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Sheet3" sheetId="58" r:id="rId24"/>
    <sheet name="Sheet1" sheetId="54" r:id="rId25"/>
    <sheet name="销售费率计算表" sheetId="5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2" hidden="1">'画堂春锦13#14#15#17#18# 商铺'!$A$3:$CE$155</definedName>
    <definedName name="_xlnm._FilterDatabase" localSheetId="16" hidden="1">'画堂春锦9#10#11#12#住宅'!$A$3:$CF$345</definedName>
    <definedName name="_xlnm._FilterDatabase" localSheetId="17" hidden="1">'画堂春锦苑1#2#3#5#7#楼住宅销售明细表'!$A$2:$BZ$446</definedName>
    <definedName name="_xlnm._FilterDatabase" localSheetId="18" hidden="1">'画堂春锦苑8#楼明细表'!$A$2:$BH$91</definedName>
    <definedName name="_xlnm._FilterDatabase" localSheetId="19" hidden="1">'画堂春锦苑住宅4#6#'!$A$3:$AY$172</definedName>
    <definedName name="_xlnm._FilterDatabase" localSheetId="20" hidden="1">'画堂春锦苑商业16#19#'!$A$3:$AX$68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预收账款+其他应付款项（储藏间）+（其他应付款-其他应付款储藏间余额）+会费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2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  <comment ref="AA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2027.12.1-2029.11.30日租金为1.39元</t>
        </r>
      </text>
    </comment>
    <comment ref="AA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2026.12.1-2027.11.30日租金1.3元、2027.12.1-2029.11.30日租金1.39元
</t>
        </r>
      </text>
    </comment>
    <comment ref="AC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半年付</t>
        </r>
      </text>
    </comment>
    <comment ref="AA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2027.12.7-2029.12.6日租金1.498元</t>
        </r>
      </text>
    </comment>
    <comment ref="AA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2025.12.16-2027.12.15日租金1.5元
2027.12.16-2029.12.15日租金1.6元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<sst xmlns="http://schemas.openxmlformats.org/spreadsheetml/2006/main" count="12030" uniqueCount="5320">
  <si>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</si>
  <si>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</si>
  <si>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</si>
  <si>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</si>
  <si>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</si>
  <si>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</si>
  <si>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</si>
  <si>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</si>
  <si>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</si>
  <si>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</si>
  <si>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</si>
  <si>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</si>
  <si>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</si>
  <si>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</si>
  <si>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</si>
  <si>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</si>
  <si>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</si>
  <si>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</si>
  <si>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</si>
  <si>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</si>
  <si>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楼盘销售月报（2024.12）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</si>
  <si>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</si>
  <si>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</si>
  <si>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</si>
  <si>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</si>
  <si>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</si>
  <si>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</si>
  <si>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</si>
  <si>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</si>
  <si>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</si>
  <si>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</si>
  <si>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</si>
  <si>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</si>
  <si>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</si>
  <si>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</si>
  <si>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</si>
  <si>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</si>
  <si>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</si>
  <si>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</si>
  <si>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</si>
  <si>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</si>
  <si>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</si>
  <si>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</si>
  <si>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</si>
  <si>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</si>
  <si>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</si>
  <si>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</si>
  <si>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税目</t>
  </si>
  <si>
    <t>摘要</t>
  </si>
  <si>
    <t>税金所属期</t>
  </si>
  <si>
    <t>计税数m²
（1）</t>
  </si>
  <si>
    <t>标准
（2）</t>
  </si>
  <si>
    <t>税额
（1）*（2）</t>
  </si>
  <si>
    <t>画堂春锦苑二期1#-3#5#/7#楼住宅销售明细表</t>
  </si>
  <si>
    <t>工会经费</t>
  </si>
  <si>
    <t>2024.10.1-2024.12.31</t>
  </si>
  <si>
    <t>画堂春锦苑二期8#楼住宅销售明细表</t>
  </si>
  <si>
    <t>画堂春锦苑住宅4#6#</t>
  </si>
  <si>
    <t>画堂春锦苑二期商业16#19#（入会）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</si>
  <si>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</si>
  <si>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</si>
  <si>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</si>
  <si>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</si>
  <si>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</si>
  <si>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</si>
  <si>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</si>
  <si>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</si>
  <si>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</si>
  <si>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</si>
  <si>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商业面积差24569
住宅面积差2916</t>
  </si>
  <si>
    <t>履约保证金</t>
  </si>
  <si>
    <t>已报税退房</t>
  </si>
  <si>
    <t>银行存款日记账SGRJZ2680退胡胜国画堂春锦苑定金
银行存款日记账SGRJZ2680退凌亚彬画堂春锦苑定金</t>
  </si>
  <si>
    <t>与系统差</t>
  </si>
  <si>
    <t>面积差退款，系统未减少24570</t>
  </si>
  <si>
    <t>银行存款日记账SGRJZ2680退屈淑红画堂春锦苑定金</t>
  </si>
  <si>
    <t>与账面差</t>
  </si>
  <si>
    <t>银行存款日记账SGRJZ2680退画高彬堂春锦苑定金</t>
  </si>
  <si>
    <t>银行存款日记账SGRJZ2680退胡胜国画堂春锦苑定金</t>
  </si>
  <si>
    <t>新疆通力房地产开发库尔勒二分公司销售不动产税金计算表（2024.11月）</t>
  </si>
  <si>
    <t>项目名称</t>
  </si>
  <si>
    <t>画堂春锦苑一期住宅9#-12#</t>
  </si>
  <si>
    <t>画堂春锦苑二期住宅1#-3#5#7#</t>
  </si>
  <si>
    <t>画堂春锦苑一期商业13#-15#17#18#</t>
  </si>
  <si>
    <t>画堂春锦苑8#楼</t>
  </si>
  <si>
    <t>画堂春锦苑商业16#19#</t>
  </si>
  <si>
    <t>画堂春锦苑游泳池设备房设备安装工程专业施工分包合同</t>
  </si>
  <si>
    <t>乌鲁木齐捷顺达工贸有限公司</t>
  </si>
  <si>
    <t>2024.10.1</t>
  </si>
  <si>
    <t>412724197310186410</t>
  </si>
  <si>
    <t>孙光立、王俊丽</t>
  </si>
  <si>
    <t>预收合计</t>
  </si>
  <si>
    <t>画堂春锦苑4#6#住宅楼16#19#商业楼房产测绘项目</t>
  </si>
  <si>
    <t>新疆科达宏祥测绘有限公司</t>
  </si>
  <si>
    <t>0000918</t>
  </si>
  <si>
    <t>413023198401080786</t>
  </si>
  <si>
    <t>刘建云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</si>
  <si>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</si>
  <si>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</si>
  <si>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</si>
  <si>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</si>
  <si>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</si>
  <si>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</si>
  <si>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画堂春锦苑竣工测量建设项目测绘技术服务</t>
  </si>
  <si>
    <t>新疆天拓空间信息测绘有限公司</t>
  </si>
  <si>
    <t>2024.11.4</t>
  </si>
  <si>
    <t>0000747</t>
  </si>
  <si>
    <t>320321198002133624</t>
  </si>
  <si>
    <t>李红艳</t>
  </si>
  <si>
    <t>预收</t>
  </si>
  <si>
    <t>税率</t>
  </si>
  <si>
    <t>画堂春锦苑隔离墩采购及安装合同</t>
  </si>
  <si>
    <t>巴州青橄榄电子科技有限公司</t>
  </si>
  <si>
    <t>2024.11.5</t>
  </si>
  <si>
    <t>0000748</t>
  </si>
  <si>
    <t>预缴增值税</t>
  </si>
  <si>
    <t>房产测绘合同</t>
  </si>
  <si>
    <t>库尔勒天平房地产评估有限责任公司</t>
  </si>
  <si>
    <t>2024.10.10</t>
  </si>
  <si>
    <t>0000719</t>
  </si>
  <si>
    <t>620121198508167215</t>
  </si>
  <si>
    <t>苏生宝</t>
  </si>
  <si>
    <t>城建税</t>
  </si>
  <si>
    <t>画堂春锦苑停车设备采购及安装工程专业施工成本合同</t>
  </si>
  <si>
    <t>巴州方程视广告有限公司</t>
  </si>
  <si>
    <t>2024.10.5</t>
  </si>
  <si>
    <t>0000718</t>
  </si>
  <si>
    <t>教育费附加</t>
  </si>
  <si>
    <t>地名数字门牌制作合同</t>
  </si>
  <si>
    <t>新疆中准标准化服务有限责任公司</t>
  </si>
  <si>
    <t>抵账高2964114</t>
  </si>
  <si>
    <t>320321197012203660</t>
  </si>
  <si>
    <t>巩凤华</t>
  </si>
  <si>
    <t>地方教育附加</t>
  </si>
  <si>
    <t>画堂春锦苑IC卡单项付费电表采购</t>
  </si>
  <si>
    <t>库尔勒亿恒拓电力器材经营部</t>
  </si>
  <si>
    <t>0001087</t>
  </si>
  <si>
    <t>652801200110273712</t>
  </si>
  <si>
    <t>牛燕</t>
  </si>
  <si>
    <t>土地增值税</t>
  </si>
  <si>
    <t>画堂春锦苑游泳池设备用房桩基基础施工工程专业施工承包合同</t>
  </si>
  <si>
    <t>山东长龙三辉建设工程有限公司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</si>
  <si>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</si>
  <si>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</si>
  <si>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</si>
  <si>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画堂春锦苑二期交付围挡工程专业施工分包合同</t>
  </si>
  <si>
    <t>新疆汇坤建设工程有限公司</t>
  </si>
  <si>
    <t>510626199311195624</t>
  </si>
  <si>
    <t>唐晓霜</t>
  </si>
  <si>
    <t>印花税</t>
  </si>
  <si>
    <t>画堂春锦苑13#14#16#17#19#商业电梯监控采购及安装工程专业施工承包合同</t>
  </si>
  <si>
    <t>2024.10.2</t>
  </si>
  <si>
    <t>0000706</t>
  </si>
  <si>
    <t>450902199407142761</t>
  </si>
  <si>
    <t>黄婷</t>
  </si>
  <si>
    <t>个人所得税</t>
  </si>
  <si>
    <t>画堂春锦苑挑檐防水维修（局部）工程专业施工分包合同（13#-15#17#18#）</t>
  </si>
  <si>
    <t>0000726</t>
  </si>
  <si>
    <t>62222519850915032X</t>
  </si>
  <si>
    <t>郭莉莉</t>
  </si>
  <si>
    <t>房产税</t>
  </si>
  <si>
    <t>从租（不含税租金*12%）</t>
  </si>
  <si>
    <t>画堂春锦苑停车护栏采购及安装工程专业施工承包合同</t>
  </si>
  <si>
    <t>2024.10.3</t>
  </si>
  <si>
    <t>0000732</t>
  </si>
  <si>
    <t>362323197903237815</t>
  </si>
  <si>
    <t>王德中</t>
  </si>
  <si>
    <t>从价自用（价值*70%*1.2%）</t>
  </si>
  <si>
    <t>画堂春锦苑门斗亮化工程专业施工承包合同（1-12#楼门斗亮化）</t>
  </si>
  <si>
    <t>511026196907044936</t>
  </si>
  <si>
    <t>刘沛林</t>
  </si>
  <si>
    <t>画堂春锦苑小区大门、连廊的基础变更项目</t>
  </si>
  <si>
    <t>中图设计有限公司巴州分公司</t>
  </si>
  <si>
    <t>2024.11.18</t>
  </si>
  <si>
    <t>652801199303245528</t>
  </si>
  <si>
    <t>王艺</t>
  </si>
  <si>
    <t>画堂春锦苑小区16#楼19#楼幕墙项目</t>
  </si>
  <si>
    <t>2024.12.26</t>
  </si>
  <si>
    <t>抵账 华汇638645</t>
  </si>
  <si>
    <t>65282919960602071X</t>
  </si>
  <si>
    <t>回志龙</t>
  </si>
  <si>
    <t>2024.9.4</t>
  </si>
  <si>
    <t>20240005087</t>
  </si>
  <si>
    <t>抵账巩红卫925697</t>
  </si>
  <si>
    <t>372925198609146957</t>
  </si>
  <si>
    <t>孙振广</t>
  </si>
  <si>
    <r>
      <rPr>
        <sz val="12"/>
        <color theme="1"/>
        <rFont val="宋体"/>
        <charset val="134"/>
        <scheme val="minor"/>
      </rPr>
      <t>注：1、本月画堂春锦苑一期项目未开发票14938832收入元应缴纳的增值税1233481.54元。新售住宅+商业开具发票1889015元应缴纳的增值税155973.72元；一期开具发票冲减未开票62153596元；二期开具发票0元；
2、租金未开票收入（454368-138169-183044）元应缴纳增值税10994.45元，
3、储藏间未开票收入33880元，应缴纳增值税2797.43元，合计缴纳增值税184879.32元
3、应缴纳的增值税（1233481.54+155973.72+10994.45+2797.43）元-本月进项</t>
    </r>
    <r>
      <rPr>
        <sz val="12"/>
        <color rgb="FFFF0000"/>
        <rFont val="宋体"/>
        <charset val="134"/>
        <scheme val="minor"/>
      </rPr>
      <t>1403247.14</t>
    </r>
    <r>
      <rPr>
        <sz val="12"/>
        <color theme="1"/>
        <rFont val="宋体"/>
        <charset val="134"/>
        <scheme val="minor"/>
      </rPr>
      <t>元-进项转出0-上期留抵0元-预交抵减0元=0元，不交；计算预收0元应预交增值税 元，附加税 ；土地增值税 元；印花税约 元。
4、其中画堂春锦苑一期住宅因面积差需退土地增值税-15.08元（房款为-548元），下期收房款后申报冲减。</t>
    </r>
  </si>
  <si>
    <t>500225198309096227</t>
  </si>
  <si>
    <t>邢冬梅</t>
  </si>
  <si>
    <t>2024年测算四季度需缴纳所得税</t>
  </si>
  <si>
    <t>商户</t>
  </si>
  <si>
    <t>商铺间</t>
  </si>
  <si>
    <t>建筑面积m²</t>
  </si>
  <si>
    <t>日租（元）</t>
  </si>
  <si>
    <t>年租金（元）</t>
  </si>
  <si>
    <t>已收租金</t>
  </si>
  <si>
    <t>退款</t>
  </si>
  <si>
    <t>已收履约金</t>
  </si>
  <si>
    <t>总租金(原值)</t>
  </si>
  <si>
    <t>计税金额</t>
  </si>
  <si>
    <t>从租房产税</t>
  </si>
  <si>
    <t>654223199807203433</t>
  </si>
  <si>
    <t>孙乾</t>
  </si>
  <si>
    <t>2024年1月-12月二期预收款</t>
  </si>
  <si>
    <t>杜涛</t>
  </si>
  <si>
    <t>17-2层04#</t>
  </si>
  <si>
    <t>2024.11.26</t>
  </si>
  <si>
    <t>652801199301216416</t>
  </si>
  <si>
    <t>石建基（暂未算业绩）</t>
  </si>
  <si>
    <t>预收账款 毛利10%</t>
  </si>
  <si>
    <t>二期预收款</t>
  </si>
  <si>
    <t>凌小小、黑红玉</t>
  </si>
  <si>
    <t>18-2层02#</t>
  </si>
  <si>
    <t>2024.11.28</t>
  </si>
  <si>
    <t>652827199903260311</t>
  </si>
  <si>
    <t>朱俞合</t>
  </si>
  <si>
    <t>一期已申报预计毛利10%</t>
  </si>
  <si>
    <t>李治仁</t>
  </si>
  <si>
    <t>18-2层03#</t>
  </si>
  <si>
    <t>2024.11.24</t>
  </si>
  <si>
    <t>王婷</t>
  </si>
  <si>
    <t>主营业务收入</t>
  </si>
  <si>
    <t>一期交房开票</t>
  </si>
  <si>
    <t>齐静轩</t>
  </si>
  <si>
    <t>18-2层04#</t>
  </si>
  <si>
    <t>652827199304170023</t>
  </si>
  <si>
    <t>刘雪薇</t>
  </si>
  <si>
    <t>其他业务收入</t>
  </si>
  <si>
    <t>租金及储藏间</t>
  </si>
  <si>
    <t>范钦</t>
  </si>
  <si>
    <t>14-1层15#</t>
  </si>
  <si>
    <t>41272320001120551X</t>
  </si>
  <si>
    <t>李尚</t>
  </si>
  <si>
    <t>营业外收入</t>
  </si>
  <si>
    <t>唐丹</t>
  </si>
  <si>
    <t>14-2层15#</t>
  </si>
  <si>
    <t>2024.7.13</t>
  </si>
  <si>
    <t>620121199711245316</t>
  </si>
  <si>
    <t>张志鹏</t>
  </si>
  <si>
    <t>主营业务成本</t>
  </si>
  <si>
    <t>2024.11.7</t>
  </si>
  <si>
    <t>刘楠楠</t>
  </si>
  <si>
    <t>税金及附加</t>
  </si>
  <si>
    <t>62272319991204071X</t>
  </si>
  <si>
    <t>李江成</t>
  </si>
  <si>
    <t>销售费用</t>
  </si>
  <si>
    <t>610122197106064934</t>
  </si>
  <si>
    <t>王新峰</t>
  </si>
  <si>
    <t>管理费用</t>
  </si>
  <si>
    <t>622301199806022817</t>
  </si>
  <si>
    <t>张生财</t>
  </si>
  <si>
    <t>财务费用</t>
  </si>
  <si>
    <t>2024.10.4</t>
  </si>
  <si>
    <t>620523199607071111</t>
  </si>
  <si>
    <t>王瑞鹏</t>
  </si>
  <si>
    <t>营业外支出</t>
  </si>
  <si>
    <t>360521199307125513</t>
  </si>
  <si>
    <t>黄峰</t>
  </si>
  <si>
    <t>411024199906245514</t>
  </si>
  <si>
    <t>陈晓飞</t>
  </si>
  <si>
    <t>利润总额</t>
  </si>
  <si>
    <t>652801198711196118</t>
  </si>
  <si>
    <t>艾合麦提·木库依提
布麦尔艳木·买买提</t>
  </si>
  <si>
    <t>需缴纳所得税金</t>
  </si>
  <si>
    <t>20240006819</t>
  </si>
  <si>
    <t>抵倪大伟771394</t>
  </si>
  <si>
    <t>652801199904244213</t>
  </si>
  <si>
    <t>何文、廖翊帆</t>
  </si>
  <si>
    <t>已缴企业所得税</t>
  </si>
  <si>
    <t>2024.11.11</t>
  </si>
  <si>
    <t>20240006545</t>
  </si>
  <si>
    <t>抵倪大伟771404</t>
  </si>
  <si>
    <t>41072519920310986X</t>
  </si>
  <si>
    <t>吕鹏娜</t>
  </si>
  <si>
    <t>实际应交企业所得税</t>
  </si>
  <si>
    <t>2024.11.16</t>
  </si>
  <si>
    <t>20240006649</t>
  </si>
  <si>
    <t>231004198904201848</t>
  </si>
  <si>
    <t>李锐</t>
  </si>
  <si>
    <t>412724199205247911</t>
  </si>
  <si>
    <t>李帅</t>
  </si>
  <si>
    <t>652822198811100568</t>
  </si>
  <si>
    <t>王前丽</t>
  </si>
  <si>
    <t>622425199908302912</t>
  </si>
  <si>
    <t>车宏伟</t>
  </si>
  <si>
    <t>2024.8.5</t>
  </si>
  <si>
    <t>61032619980818061X</t>
  </si>
  <si>
    <t>刘航</t>
  </si>
  <si>
    <t>65280119920508058X</t>
  </si>
  <si>
    <t>张瀚允</t>
  </si>
  <si>
    <t>2024.10.18</t>
  </si>
  <si>
    <t>20240006126</t>
  </si>
  <si>
    <t>650107199103040024</t>
  </si>
  <si>
    <t>窦风玲</t>
  </si>
  <si>
    <t>20240005562</t>
  </si>
  <si>
    <t>652801199408240512</t>
  </si>
  <si>
    <t>李孟晗</t>
  </si>
  <si>
    <t>20240006864</t>
  </si>
  <si>
    <t>652823198711092245</t>
  </si>
  <si>
    <t>邱红</t>
  </si>
  <si>
    <t>20240005447</t>
  </si>
  <si>
    <t>652901199610105213</t>
  </si>
  <si>
    <t>宋洋</t>
  </si>
  <si>
    <t>2024.11.27</t>
  </si>
  <si>
    <t>370783198602013976</t>
  </si>
  <si>
    <t>刘传祥</t>
  </si>
  <si>
    <t>2024.10.28</t>
  </si>
  <si>
    <t>210703200004202017</t>
  </si>
  <si>
    <t>付荣淼</t>
  </si>
  <si>
    <t>2024.11.3</t>
  </si>
  <si>
    <t>620421199303225814</t>
  </si>
  <si>
    <t>武耀帮、李慧萍</t>
  </si>
  <si>
    <t>退回手续费</t>
  </si>
  <si>
    <t>2024.11.15</t>
  </si>
  <si>
    <t>652801199801011118</t>
  </si>
  <si>
    <t>喻强</t>
  </si>
  <si>
    <t>659001199705312415</t>
  </si>
  <si>
    <t>万新辉</t>
  </si>
  <si>
    <t>652822198312080021</t>
  </si>
  <si>
    <t>周小艳
衡澳 要退</t>
  </si>
  <si>
    <t>411381200007113031</t>
  </si>
  <si>
    <t>赵建设</t>
  </si>
  <si>
    <t>2024.11.9</t>
  </si>
  <si>
    <t>652301198608256410</t>
  </si>
  <si>
    <t>王明利</t>
  </si>
  <si>
    <t>500102199703291367</t>
  </si>
  <si>
    <t>周瑶</t>
  </si>
  <si>
    <t>2024.10.26</t>
  </si>
  <si>
    <t>411503199406183316</t>
  </si>
  <si>
    <t>张明旺</t>
  </si>
  <si>
    <t>652829199703170013</t>
  </si>
  <si>
    <t>那木巴图</t>
  </si>
  <si>
    <t>2024.11.6</t>
  </si>
  <si>
    <t xml:space="preserve">
65280119530405053X</t>
  </si>
  <si>
    <t>何自将
胡胜国 退</t>
  </si>
  <si>
    <t>652801198907010514</t>
  </si>
  <si>
    <t>吕超</t>
  </si>
  <si>
    <t>622727199705102629</t>
  </si>
  <si>
    <t>李互生</t>
  </si>
  <si>
    <t>652801196810200064</t>
  </si>
  <si>
    <t>尹桂云</t>
  </si>
  <si>
    <t>2024.8.23</t>
  </si>
  <si>
    <t>320322199002164026</t>
  </si>
  <si>
    <t>周真真</t>
  </si>
  <si>
    <t>2024.11.19</t>
  </si>
  <si>
    <t>511381200201051552</t>
  </si>
  <si>
    <t>涂建伟</t>
  </si>
  <si>
    <t>412724198606296429</t>
  </si>
  <si>
    <t>任风丽</t>
  </si>
  <si>
    <t>2024.10.8</t>
  </si>
  <si>
    <t>142729198504114213</t>
  </si>
  <si>
    <t>孙帅</t>
  </si>
  <si>
    <t>2024.8.7</t>
  </si>
  <si>
    <t>65282919771223152X</t>
  </si>
  <si>
    <t>宏格尔</t>
  </si>
  <si>
    <t>511324198103174527</t>
  </si>
  <si>
    <t>吕双菊</t>
  </si>
  <si>
    <t>62242619891225314X</t>
  </si>
  <si>
    <t>田雪莉</t>
  </si>
  <si>
    <t>220702200103041218</t>
  </si>
  <si>
    <t>刘然</t>
  </si>
  <si>
    <t>622226197310300513</t>
  </si>
  <si>
    <t>杨俊涛</t>
  </si>
  <si>
    <t>410425199511206016</t>
  </si>
  <si>
    <t>程文豪</t>
  </si>
  <si>
    <t>650104197504243334</t>
  </si>
  <si>
    <t>石海江</t>
  </si>
  <si>
    <t>654124199804033310</t>
  </si>
  <si>
    <t>张福英</t>
  </si>
  <si>
    <t>411024198107010749</t>
  </si>
  <si>
    <t>石绘芳</t>
  </si>
  <si>
    <t>152827200102063913</t>
  </si>
  <si>
    <t>张炜</t>
  </si>
  <si>
    <t>610523198304022017</t>
  </si>
  <si>
    <t>王磊 成交
李宜璇 退
王小红 退</t>
  </si>
  <si>
    <t>2024.12.25</t>
  </si>
  <si>
    <t>0000932</t>
  </si>
  <si>
    <t>62012119790907631X</t>
  </si>
  <si>
    <t xml:space="preserve">蒋永祥 成交
</t>
  </si>
  <si>
    <t>2024.11.22</t>
  </si>
  <si>
    <t>0000995</t>
  </si>
  <si>
    <t>120112198111200019</t>
  </si>
  <si>
    <t>刘志鹏
胡胜国 退</t>
  </si>
  <si>
    <t>2024.12.5</t>
  </si>
  <si>
    <t>652829200302271013</t>
  </si>
  <si>
    <t>杜逸心</t>
  </si>
  <si>
    <t>2024.12.30</t>
  </si>
  <si>
    <t>350305199901232319</t>
  </si>
  <si>
    <t>林银峰</t>
  </si>
  <si>
    <t>2024.12.14</t>
  </si>
  <si>
    <t>沈梦琦</t>
  </si>
  <si>
    <t>2024.12.21</t>
  </si>
  <si>
    <t>20240007366</t>
  </si>
  <si>
    <t>652829199808061616</t>
  </si>
  <si>
    <t>阿斯尔</t>
  </si>
  <si>
    <t>2024.9.7</t>
  </si>
  <si>
    <t>20240005154</t>
  </si>
  <si>
    <t>652822199612310022</t>
  </si>
  <si>
    <t>蒋艺媛</t>
  </si>
  <si>
    <t>2024.12.15</t>
  </si>
  <si>
    <t>苟育伟、程雪娇</t>
  </si>
  <si>
    <t>2024.12.16</t>
  </si>
  <si>
    <t>130184199210265721</t>
  </si>
  <si>
    <t>底孟孟</t>
  </si>
  <si>
    <t>2024.12.20</t>
  </si>
  <si>
    <t>陈祖柏</t>
  </si>
  <si>
    <t>2024.5.4</t>
  </si>
  <si>
    <t>杨华</t>
  </si>
  <si>
    <t>412726199403135868</t>
  </si>
  <si>
    <t>赵伶俐</t>
  </si>
  <si>
    <t>612324199511050039</t>
  </si>
  <si>
    <t>李鑫</t>
  </si>
  <si>
    <t>2024.12.18</t>
  </si>
  <si>
    <t>513435199609140819</t>
  </si>
  <si>
    <t>卜德民</t>
  </si>
  <si>
    <t>411527199209105010</t>
  </si>
  <si>
    <t>孙翔</t>
  </si>
  <si>
    <t>滕丽萍
钟富斌</t>
  </si>
  <si>
    <t>2024.12.31</t>
  </si>
  <si>
    <t>张芸绮</t>
  </si>
  <si>
    <t>2024.12.24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</si>
  <si>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</si>
  <si>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</si>
  <si>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</si>
  <si>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</si>
  <si>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</si>
  <si>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</si>
  <si>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</si>
  <si>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</si>
  <si>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</si>
  <si>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</si>
  <si>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</si>
  <si>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</si>
  <si>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</si>
  <si>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</si>
  <si>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</si>
  <si>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</si>
  <si>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</si>
  <si>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</si>
  <si>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</si>
  <si>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</si>
  <si>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</si>
  <si>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</si>
  <si>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</si>
  <si>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</si>
  <si>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</si>
  <si>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</si>
  <si>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</si>
  <si>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</si>
  <si>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</si>
  <si>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</si>
  <si>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</si>
  <si>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</si>
  <si>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</si>
  <si>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</si>
  <si>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</si>
  <si>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</si>
  <si>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</si>
  <si>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</si>
  <si>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</si>
  <si>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</si>
  <si>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</si>
  <si>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</si>
  <si>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</si>
  <si>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</si>
  <si>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</si>
  <si>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</si>
  <si>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</si>
  <si>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</si>
  <si>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</si>
  <si>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</si>
  <si>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</si>
  <si>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</si>
  <si>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</si>
  <si>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</si>
  <si>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</si>
  <si>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</si>
  <si>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</si>
  <si>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</si>
  <si>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</si>
  <si>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</si>
  <si>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</si>
  <si>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</si>
  <si>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</si>
  <si>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</si>
  <si>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</si>
  <si>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</si>
  <si>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</si>
  <si>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</si>
  <si>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</si>
  <si>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</si>
  <si>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13号楼</t>
  </si>
  <si>
    <t>1层</t>
  </si>
  <si>
    <t>01</t>
  </si>
  <si>
    <t>24652000000066175913</t>
  </si>
  <si>
    <t>李福晴</t>
  </si>
  <si>
    <t>已交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</si>
  <si>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</si>
  <si>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</si>
  <si>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</si>
  <si>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</si>
  <si>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</si>
  <si>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</si>
  <si>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</si>
  <si>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</si>
  <si>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</si>
  <si>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</si>
  <si>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03</t>
  </si>
  <si>
    <t>连阵阵</t>
  </si>
  <si>
    <t>2024.11.25</t>
  </si>
  <si>
    <t>2023.12.23</t>
  </si>
  <si>
    <t>0000613</t>
  </si>
  <si>
    <t>652828200012301150</t>
  </si>
  <si>
    <t>刘忠亮</t>
  </si>
  <si>
    <t>04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</si>
  <si>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</si>
  <si>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</si>
  <si>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</si>
  <si>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</si>
  <si>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</si>
  <si>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</si>
  <si>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</si>
  <si>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</si>
  <si>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</si>
  <si>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</si>
  <si>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</si>
  <si>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</si>
  <si>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</si>
  <si>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</si>
  <si>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</si>
  <si>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</si>
  <si>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</si>
  <si>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</si>
  <si>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</si>
  <si>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</si>
  <si>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</si>
  <si>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</si>
  <si>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</si>
  <si>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07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</si>
  <si>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</si>
  <si>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</si>
  <si>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</si>
  <si>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</si>
  <si>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</si>
  <si>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</si>
  <si>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</si>
  <si>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</si>
  <si>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</si>
  <si>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</si>
  <si>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</si>
  <si>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</si>
  <si>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</si>
  <si>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</si>
  <si>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</si>
  <si>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</si>
  <si>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</si>
  <si>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</si>
  <si>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</si>
  <si>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</si>
  <si>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</si>
  <si>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</si>
  <si>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</si>
  <si>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</si>
  <si>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</si>
  <si>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</si>
  <si>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</si>
  <si>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</si>
  <si>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</si>
  <si>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</si>
  <si>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</si>
  <si>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</si>
  <si>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</si>
  <si>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 xml:space="preserve">
0000207（安学强）</t>
  </si>
  <si>
    <t xml:space="preserve">
李秀莲（安学强）</t>
  </si>
  <si>
    <t>320321198808273618</t>
  </si>
  <si>
    <t>巩红卫 成交</t>
  </si>
  <si>
    <t>0000010-13（巩红卫）</t>
  </si>
  <si>
    <t>潘亦玹（巩红卫）</t>
  </si>
  <si>
    <t>2023.12.1</t>
  </si>
  <si>
    <t>2024.7.1</t>
  </si>
  <si>
    <t>2024.8.26</t>
  </si>
  <si>
    <t>2024.11.14</t>
  </si>
  <si>
    <t>2024.3.3</t>
  </si>
  <si>
    <t>130637200011201811</t>
  </si>
  <si>
    <t>王恒州 成交</t>
  </si>
  <si>
    <t>2层</t>
  </si>
  <si>
    <t>2024.3.1</t>
  </si>
  <si>
    <t>0000741</t>
  </si>
  <si>
    <t>65282719771006362X</t>
  </si>
  <si>
    <t>梁凌芳</t>
  </si>
  <si>
    <t>王荣</t>
  </si>
  <si>
    <t>0000740</t>
  </si>
  <si>
    <t>2024.11.29</t>
  </si>
  <si>
    <t>破底不提佣</t>
  </si>
  <si>
    <t>张玉琴</t>
  </si>
  <si>
    <t>2024.11.20</t>
  </si>
  <si>
    <t>0000993</t>
  </si>
  <si>
    <t>652801197904111120</t>
  </si>
  <si>
    <t>柳继芳</t>
  </si>
  <si>
    <t>2024.9.24</t>
  </si>
  <si>
    <t>2024.10.24</t>
  </si>
  <si>
    <t>09</t>
  </si>
  <si>
    <t>24652000000060788691</t>
  </si>
  <si>
    <t>652801198709101625</t>
  </si>
  <si>
    <t>万军
刘钦</t>
  </si>
  <si>
    <t>2024.12.4</t>
  </si>
  <si>
    <t>潘亦玹
闫金秀</t>
  </si>
  <si>
    <t>华为p70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</si>
  <si>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</si>
  <si>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</si>
  <si>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</si>
  <si>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</si>
  <si>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</si>
  <si>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</si>
  <si>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</si>
  <si>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</si>
  <si>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</si>
  <si>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</si>
  <si>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</si>
  <si>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</si>
  <si>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</si>
  <si>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</si>
  <si>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</si>
  <si>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2024.12.2</t>
  </si>
  <si>
    <t>2024.6.25</t>
  </si>
  <si>
    <t>2024.8.20</t>
  </si>
  <si>
    <t>0000644</t>
  </si>
  <si>
    <t>410926197305292069</t>
  </si>
  <si>
    <t>董梅荣</t>
  </si>
  <si>
    <t>2023.11.13</t>
  </si>
  <si>
    <t>2024.3.11</t>
  </si>
  <si>
    <t>2024.4.15</t>
  </si>
  <si>
    <t>2024.5.22</t>
  </si>
  <si>
    <t>202300008542</t>
  </si>
  <si>
    <t>0000664</t>
  </si>
  <si>
    <t>500225198808217396</t>
  </si>
  <si>
    <t xml:space="preserve">易章波（易高才） 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</si>
  <si>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</si>
  <si>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</si>
  <si>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</si>
  <si>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</si>
  <si>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</si>
  <si>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</si>
  <si>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</si>
  <si>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</si>
  <si>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</si>
  <si>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</si>
  <si>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</si>
  <si>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</si>
  <si>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</si>
  <si>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</si>
  <si>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</si>
  <si>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</si>
  <si>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</si>
  <si>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</si>
  <si>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</si>
  <si>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</si>
  <si>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</si>
  <si>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</si>
  <si>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 xml:space="preserve">贾志丽 </t>
  </si>
  <si>
    <t>霍红霞（贾志丽）</t>
  </si>
  <si>
    <t>2023.10.30</t>
  </si>
  <si>
    <t>2023.11.25</t>
  </si>
  <si>
    <t>0000608</t>
  </si>
  <si>
    <t>320321198702194233</t>
  </si>
  <si>
    <t>张磊磊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</si>
  <si>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</si>
  <si>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</si>
  <si>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</si>
  <si>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</si>
  <si>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</si>
  <si>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</si>
  <si>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</si>
  <si>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</si>
  <si>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</si>
  <si>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0000201（马威）
0000202（马威）</t>
  </si>
  <si>
    <t>连阵阵（马威）</t>
  </si>
  <si>
    <t>2023.5.24</t>
  </si>
  <si>
    <t>2023.6.25</t>
  </si>
  <si>
    <t>2023.12.4</t>
  </si>
  <si>
    <t>24652000000058991006</t>
  </si>
  <si>
    <t>2024.6.14</t>
  </si>
  <si>
    <t>2024.8.25</t>
  </si>
  <si>
    <t>652824198703181121</t>
  </si>
  <si>
    <t>梁杨敏芝、张嘉恒（18-2-1/2换房来）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</si>
  <si>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</si>
  <si>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</si>
  <si>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</si>
  <si>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</si>
  <si>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</si>
  <si>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</si>
  <si>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</si>
  <si>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</si>
  <si>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</si>
  <si>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</si>
  <si>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</si>
  <si>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</si>
  <si>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</si>
  <si>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</si>
  <si>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</si>
  <si>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</si>
  <si>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</si>
  <si>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</si>
  <si>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</si>
  <si>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0000075（刘泽娇）</t>
  </si>
  <si>
    <t>王荣（刘泽娇）</t>
  </si>
  <si>
    <t>2023.12.22</t>
  </si>
  <si>
    <t>张玉琴
刘思汉</t>
  </si>
  <si>
    <t>24652000000063048097</t>
  </si>
  <si>
    <t>肖陶丽</t>
  </si>
  <si>
    <t>2024.8.30</t>
  </si>
  <si>
    <t>2024.10.31</t>
  </si>
  <si>
    <t>2024.4.4</t>
  </si>
  <si>
    <t>0000846</t>
  </si>
  <si>
    <t>652801198311290025</t>
  </si>
  <si>
    <t>胡杨</t>
  </si>
  <si>
    <t>2024.4.1</t>
  </si>
  <si>
    <t>2024.5.17</t>
  </si>
  <si>
    <t>0000637</t>
  </si>
  <si>
    <t>410621197812180063</t>
  </si>
  <si>
    <t>张江莉（郜艺博）</t>
  </si>
  <si>
    <t>李秀莲</t>
  </si>
  <si>
    <t>0000640</t>
  </si>
  <si>
    <t>410526201008210976</t>
  </si>
  <si>
    <t>郜艺博（张江莉）</t>
  </si>
  <si>
    <t>2024.1.1</t>
  </si>
  <si>
    <t>130638199306103013</t>
  </si>
  <si>
    <t>李强</t>
  </si>
  <si>
    <t>2024.8.29</t>
  </si>
  <si>
    <t>2024.9.26</t>
  </si>
  <si>
    <t>612401199210211389</t>
  </si>
  <si>
    <t>江域</t>
  </si>
  <si>
    <t>2024.1.2</t>
  </si>
  <si>
    <t>2024.10.25</t>
  </si>
  <si>
    <t>闫金秀
闫金秀</t>
  </si>
  <si>
    <t>2024.10.12</t>
  </si>
  <si>
    <t>2024.10.21</t>
  </si>
  <si>
    <t>2023.12.31</t>
  </si>
  <si>
    <t>0000623</t>
  </si>
  <si>
    <t>612125196408030533</t>
  </si>
  <si>
    <t>李花战</t>
  </si>
  <si>
    <t>2023.12.11</t>
  </si>
  <si>
    <t>2023.12.12</t>
  </si>
  <si>
    <t>2024.2.1</t>
  </si>
  <si>
    <t>0000669</t>
  </si>
  <si>
    <t>652825195208071032</t>
  </si>
  <si>
    <t>柳康林（敬天惠）</t>
  </si>
  <si>
    <t>0000635</t>
  </si>
  <si>
    <t>652827200811021618</t>
  </si>
  <si>
    <t>李玉良、李洪建</t>
  </si>
  <si>
    <t>2023.12.5</t>
  </si>
  <si>
    <t>2024.1.6</t>
  </si>
  <si>
    <t>2024.1.26</t>
  </si>
  <si>
    <t>0000668</t>
  </si>
  <si>
    <t>柳康林</t>
  </si>
  <si>
    <t>0000222（柳康林）</t>
  </si>
  <si>
    <t>肖陶丽（柳康林）</t>
  </si>
  <si>
    <t>2023.9.11</t>
  </si>
  <si>
    <t>0000666</t>
  </si>
  <si>
    <t>652825198605263023</t>
  </si>
  <si>
    <t>柳欢（退了又入）</t>
  </si>
  <si>
    <t>0000223</t>
  </si>
  <si>
    <t>2024.1.9</t>
  </si>
  <si>
    <t>2024.4.25</t>
  </si>
  <si>
    <t>610324198604190042</t>
  </si>
  <si>
    <t>张瑞宁、黄建华</t>
  </si>
  <si>
    <t>2024.7.22</t>
  </si>
  <si>
    <t>2024.1.7</t>
  </si>
  <si>
    <t>652826198408120046</t>
  </si>
  <si>
    <t>周小茜（白林清）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</si>
  <si>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</si>
  <si>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</si>
  <si>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</si>
  <si>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</si>
  <si>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</si>
  <si>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</si>
  <si>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</si>
  <si>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</si>
  <si>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</si>
  <si>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</si>
  <si>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</si>
  <si>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</si>
  <si>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</si>
  <si>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</si>
  <si>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</si>
  <si>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</si>
  <si>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</si>
  <si>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</si>
  <si>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24652000000066981179</t>
  </si>
  <si>
    <t>2024.9.19</t>
  </si>
  <si>
    <t>2024.9.20</t>
  </si>
  <si>
    <t>0001095</t>
  </si>
  <si>
    <t>652821199301293313</t>
  </si>
  <si>
    <t>余仁杰</t>
  </si>
  <si>
    <t>2024.12.19</t>
  </si>
  <si>
    <t>2024.4.18</t>
  </si>
  <si>
    <t>2024.4.28</t>
  </si>
  <si>
    <t>2024.7.26</t>
  </si>
  <si>
    <t>2023.10.12</t>
  </si>
  <si>
    <t>652801196610261663</t>
  </si>
  <si>
    <t>马江燕</t>
  </si>
  <si>
    <t>24652000000070795893</t>
  </si>
  <si>
    <t>2023.10.13</t>
  </si>
  <si>
    <t>0000589</t>
  </si>
  <si>
    <t>652827196504121644</t>
  </si>
  <si>
    <t>袁代凤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</si>
  <si>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</si>
  <si>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</si>
  <si>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</si>
  <si>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</si>
  <si>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</si>
  <si>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</si>
  <si>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</si>
  <si>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</si>
  <si>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</si>
  <si>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</si>
  <si>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</si>
  <si>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</si>
  <si>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</si>
  <si>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</si>
  <si>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</si>
  <si>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</si>
  <si>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</si>
  <si>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</si>
  <si>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</si>
  <si>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</si>
  <si>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</si>
  <si>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</si>
  <si>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</si>
  <si>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</si>
  <si>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</si>
  <si>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</si>
  <si>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</si>
  <si>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</si>
  <si>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</si>
  <si>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</si>
  <si>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</si>
  <si>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</si>
  <si>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</si>
  <si>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</si>
  <si>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</si>
  <si>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0000231
'0000230</t>
  </si>
  <si>
    <t>刘思汉</t>
  </si>
  <si>
    <t>2024.5.18</t>
  </si>
  <si>
    <t>0000894</t>
  </si>
  <si>
    <t>20240004709</t>
  </si>
  <si>
    <t>李小龙、张小凤</t>
  </si>
  <si>
    <t>霍红霞、肖陶丽</t>
  </si>
  <si>
    <t>2024.3.5</t>
  </si>
  <si>
    <t>2024.8.16</t>
  </si>
  <si>
    <t>24652000000063077038</t>
  </si>
  <si>
    <t>0000889</t>
  </si>
  <si>
    <t>652826198512190829</t>
  </si>
  <si>
    <t>马若雪</t>
  </si>
  <si>
    <t>0000196</t>
  </si>
  <si>
    <t>2024.6.11</t>
  </si>
  <si>
    <t>2024.7.12</t>
  </si>
  <si>
    <t>24652000000063056854</t>
  </si>
  <si>
    <t>24652000000060788551</t>
  </si>
  <si>
    <t>24652000000078351736</t>
  </si>
  <si>
    <t>0000997</t>
  </si>
  <si>
    <t>652801199101105527</t>
  </si>
  <si>
    <t>王秋香</t>
  </si>
  <si>
    <t>622201198511176026</t>
  </si>
  <si>
    <t>张可欣</t>
  </si>
  <si>
    <t>2024.12.23</t>
  </si>
  <si>
    <t>2023.7.26</t>
  </si>
  <si>
    <t>0000422</t>
  </si>
  <si>
    <t>652801197202031652</t>
  </si>
  <si>
    <t>袁明伟（成交）</t>
  </si>
  <si>
    <t>17号楼</t>
  </si>
  <si>
    <t>张楚轩（袁明伟）</t>
  </si>
  <si>
    <t>2023.3.15</t>
  </si>
  <si>
    <t>2023.4.4</t>
  </si>
  <si>
    <t>0000423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</si>
  <si>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</si>
  <si>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</si>
  <si>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</si>
  <si>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</si>
  <si>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</si>
  <si>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</si>
  <si>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</si>
  <si>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</si>
  <si>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</si>
  <si>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</si>
  <si>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</si>
  <si>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</si>
  <si>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</si>
  <si>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</si>
  <si>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</si>
  <si>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</si>
  <si>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</si>
  <si>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</si>
  <si>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</si>
  <si>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</si>
  <si>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</si>
  <si>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</si>
  <si>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</si>
  <si>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</si>
  <si>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0000426</t>
  </si>
  <si>
    <t>652801197705120526</t>
  </si>
  <si>
    <t>马嘉欣杨新梅（成交）</t>
  </si>
  <si>
    <t>24652000000080926857</t>
  </si>
  <si>
    <t>2024.12.27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</si>
  <si>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</si>
  <si>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</si>
  <si>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</si>
  <si>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</si>
  <si>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</si>
  <si>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</si>
  <si>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24652000000080957773</t>
  </si>
  <si>
    <t>2023.7.4</t>
  </si>
  <si>
    <t>0000428</t>
  </si>
  <si>
    <t>510723197701070744</t>
  </si>
  <si>
    <t>刘俊平（成交）</t>
  </si>
  <si>
    <t>24652000000070824961</t>
  </si>
  <si>
    <t>0000020（刘俊平）</t>
  </si>
  <si>
    <t>王荣（刘俊平）</t>
  </si>
  <si>
    <t>2024.10.23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</si>
  <si>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</si>
  <si>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</si>
  <si>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</si>
  <si>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</si>
  <si>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</si>
  <si>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</si>
  <si>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</si>
  <si>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2023.7.1</t>
  </si>
  <si>
    <t>0000401</t>
  </si>
  <si>
    <t>512929197104175645</t>
  </si>
  <si>
    <t>王琼兰（赵星）成交</t>
  </si>
  <si>
    <t>24652000000070794517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</si>
  <si>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</si>
  <si>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</si>
  <si>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</si>
  <si>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</si>
  <si>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</si>
  <si>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</si>
  <si>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</si>
  <si>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</si>
  <si>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</si>
  <si>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</si>
  <si>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</si>
  <si>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</si>
  <si>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24652000000070803895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</si>
  <si>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</si>
  <si>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</si>
  <si>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</si>
  <si>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</si>
  <si>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</si>
  <si>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</si>
  <si>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</si>
  <si>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</si>
  <si>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</si>
  <si>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</si>
  <si>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</si>
  <si>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</si>
  <si>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</si>
  <si>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0000438</t>
  </si>
  <si>
    <t>24652000000080928927</t>
  </si>
  <si>
    <t>2024.12.17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</si>
  <si>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</si>
  <si>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</si>
  <si>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</si>
  <si>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</si>
  <si>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</si>
  <si>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</si>
  <si>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</si>
  <si>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</si>
  <si>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</si>
  <si>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</si>
  <si>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</si>
  <si>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</si>
  <si>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</si>
  <si>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</si>
  <si>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</si>
  <si>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</si>
  <si>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</si>
  <si>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</si>
  <si>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</si>
  <si>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</si>
  <si>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</si>
  <si>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</si>
  <si>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</si>
  <si>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</si>
  <si>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</si>
  <si>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</si>
  <si>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</si>
  <si>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</si>
  <si>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</si>
  <si>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</si>
  <si>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</si>
  <si>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</si>
  <si>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</si>
  <si>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</si>
  <si>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</si>
  <si>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</si>
  <si>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</si>
  <si>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</si>
  <si>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</si>
  <si>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</si>
  <si>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</si>
  <si>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</si>
  <si>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</si>
  <si>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</si>
  <si>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</si>
  <si>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</si>
  <si>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</si>
  <si>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</si>
  <si>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</si>
  <si>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</si>
  <si>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</si>
  <si>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</si>
  <si>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</si>
  <si>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</si>
  <si>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</si>
  <si>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</si>
  <si>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</si>
  <si>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</si>
  <si>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</si>
  <si>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</si>
  <si>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</si>
  <si>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</si>
  <si>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</si>
  <si>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</si>
  <si>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</si>
  <si>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</si>
  <si>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</si>
  <si>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2022-7-25
2023.6.22</t>
  </si>
  <si>
    <t>0000448</t>
  </si>
  <si>
    <t>652923201407060214</t>
  </si>
  <si>
    <t>刘王子睿（刘甲政 成交）</t>
  </si>
  <si>
    <t>24652000000070773567</t>
  </si>
  <si>
    <t>闫金秀（刘甲政）</t>
  </si>
  <si>
    <t>2023.7.20</t>
  </si>
  <si>
    <t>0000449</t>
  </si>
  <si>
    <t>420381200511190029</t>
  </si>
  <si>
    <t>刘王妤丹（刘甲政成交）</t>
  </si>
  <si>
    <t>24652000000070812029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</si>
  <si>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</si>
  <si>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</si>
  <si>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</si>
  <si>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</si>
  <si>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</si>
  <si>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</si>
  <si>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</si>
  <si>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</si>
  <si>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</si>
  <si>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</si>
  <si>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</si>
  <si>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</si>
  <si>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</si>
  <si>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</si>
  <si>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</si>
  <si>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</si>
  <si>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</si>
  <si>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</si>
  <si>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</si>
  <si>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</si>
  <si>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</si>
  <si>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</si>
  <si>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</si>
  <si>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</si>
  <si>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</si>
  <si>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</si>
  <si>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</si>
  <si>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</si>
  <si>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</si>
  <si>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</si>
  <si>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</si>
  <si>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</si>
  <si>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</si>
  <si>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</si>
  <si>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</si>
  <si>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</si>
  <si>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</si>
  <si>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</si>
  <si>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</si>
  <si>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</si>
  <si>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</si>
  <si>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肖培利（成交）</t>
  </si>
  <si>
    <t>24652000000070758377</t>
  </si>
  <si>
    <t>2024.8.22</t>
  </si>
  <si>
    <t>2024.9.3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</si>
  <si>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</si>
  <si>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</si>
  <si>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</si>
  <si>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</si>
  <si>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</si>
  <si>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</si>
  <si>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</si>
  <si>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</si>
  <si>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</si>
  <si>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</si>
  <si>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</si>
  <si>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51292919760621451X</t>
  </si>
  <si>
    <t>肖培利 成交</t>
  </si>
  <si>
    <t>24652000000070727716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</si>
  <si>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</si>
  <si>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</si>
  <si>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</si>
  <si>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</si>
  <si>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</si>
  <si>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</si>
  <si>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</si>
  <si>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</si>
  <si>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</si>
  <si>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</si>
  <si>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</si>
  <si>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</si>
  <si>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</si>
  <si>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</si>
  <si>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</si>
  <si>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</si>
  <si>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</si>
  <si>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0000117（罗建生）</t>
  </si>
  <si>
    <t>王荣（罗建生）</t>
  </si>
  <si>
    <t>2023.6.30</t>
  </si>
  <si>
    <t>0000471</t>
  </si>
  <si>
    <t>652801199704041622</t>
  </si>
  <si>
    <t>韩春子（闫莉成交）</t>
  </si>
  <si>
    <t>24652000000070766125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</si>
  <si>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</si>
  <si>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</si>
  <si>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</si>
  <si>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</si>
  <si>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</si>
  <si>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</si>
  <si>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</si>
  <si>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24652000000070735712</t>
  </si>
  <si>
    <t>闫金秀（ 刘甲政）</t>
  </si>
  <si>
    <t>0000476</t>
  </si>
  <si>
    <t>刘王子睿（刘甲政成交）</t>
  </si>
  <si>
    <t>24652000000070715674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</si>
  <si>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</si>
  <si>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</si>
  <si>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</si>
  <si>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</si>
  <si>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</si>
  <si>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</si>
  <si>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</si>
  <si>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</si>
  <si>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</si>
  <si>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</si>
  <si>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</si>
  <si>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</si>
  <si>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</si>
  <si>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</si>
  <si>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</si>
  <si>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
需扣佣金15253.65</t>
  </si>
  <si>
    <t>2024.12.11</t>
  </si>
  <si>
    <t>入会</t>
  </si>
  <si>
    <t>其中：会费</t>
  </si>
  <si>
    <t>预收款</t>
  </si>
  <si>
    <t>红色字体为测绘面积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</si>
  <si>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</si>
  <si>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</si>
  <si>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</si>
  <si>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</si>
  <si>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</si>
  <si>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</si>
  <si>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</si>
  <si>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</si>
  <si>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</si>
  <si>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</si>
  <si>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</si>
  <si>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</si>
  <si>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</si>
  <si>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</si>
  <si>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</si>
  <si>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</si>
  <si>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</si>
  <si>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</si>
  <si>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</si>
  <si>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</si>
  <si>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</si>
  <si>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</si>
  <si>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</si>
  <si>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</si>
  <si>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</si>
  <si>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</si>
  <si>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</si>
  <si>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</si>
  <si>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</si>
  <si>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</si>
  <si>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</si>
  <si>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</si>
  <si>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</si>
  <si>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</si>
  <si>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</si>
  <si>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</si>
  <si>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</si>
  <si>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</si>
  <si>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</si>
  <si>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</si>
  <si>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</si>
  <si>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</si>
  <si>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</si>
  <si>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房屋性质</t>
  </si>
  <si>
    <t>号码</t>
  </si>
  <si>
    <t>开票日期</t>
  </si>
  <si>
    <t>9-负1-配电间</t>
  </si>
  <si>
    <t>李乐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</si>
  <si>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</si>
  <si>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</si>
  <si>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</si>
  <si>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</si>
  <si>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</si>
  <si>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</si>
  <si>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</si>
  <si>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</si>
  <si>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</si>
  <si>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</si>
  <si>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</si>
  <si>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</si>
  <si>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</si>
  <si>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</si>
  <si>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</si>
  <si>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</si>
  <si>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</si>
  <si>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</si>
  <si>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</si>
  <si>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</si>
  <si>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</si>
  <si>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</si>
  <si>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</si>
  <si>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</si>
  <si>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</si>
  <si>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</si>
  <si>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</si>
  <si>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</si>
  <si>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</si>
  <si>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</si>
  <si>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</si>
  <si>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</si>
  <si>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</si>
  <si>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</si>
  <si>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</si>
  <si>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</si>
  <si>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</si>
  <si>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</si>
  <si>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</si>
  <si>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</si>
  <si>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</si>
  <si>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</si>
  <si>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</si>
  <si>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</si>
  <si>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</si>
  <si>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</si>
  <si>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</si>
  <si>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</si>
  <si>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</si>
  <si>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</si>
  <si>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24652000000081555090</t>
  </si>
  <si>
    <t>2024-12.30</t>
  </si>
  <si>
    <t>2023.8.6</t>
  </si>
  <si>
    <t>652801198308076116</t>
  </si>
  <si>
    <t>李杨</t>
  </si>
  <si>
    <t>0000319</t>
  </si>
  <si>
    <t>9-1-202</t>
  </si>
  <si>
    <t>2024.4.3</t>
  </si>
  <si>
    <t>2023.2.20</t>
  </si>
  <si>
    <t>65282319860301002X</t>
  </si>
  <si>
    <t>吴莎莎</t>
  </si>
  <si>
    <t>9-1-301</t>
  </si>
  <si>
    <t>24652000000081575274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</si>
  <si>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</si>
  <si>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</si>
  <si>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</si>
  <si>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</si>
  <si>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</si>
  <si>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</si>
  <si>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</si>
  <si>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</si>
  <si>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</si>
  <si>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</si>
  <si>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</si>
  <si>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</si>
  <si>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2023.2.5</t>
  </si>
  <si>
    <t>652827199606182038</t>
  </si>
  <si>
    <t>方建成</t>
  </si>
  <si>
    <t>9-1-402</t>
  </si>
  <si>
    <t>24652000000081557692</t>
  </si>
  <si>
    <t>（方建成）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</si>
  <si>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</si>
  <si>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</si>
  <si>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</si>
  <si>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</si>
  <si>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</si>
  <si>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</si>
  <si>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</si>
  <si>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</si>
  <si>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</si>
  <si>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</si>
  <si>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</si>
  <si>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</si>
  <si>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</si>
  <si>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</si>
  <si>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</si>
  <si>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</si>
  <si>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</si>
  <si>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</si>
  <si>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</si>
  <si>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</si>
  <si>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</si>
  <si>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</si>
  <si>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</si>
  <si>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</si>
  <si>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</si>
  <si>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</si>
  <si>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</si>
  <si>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</si>
  <si>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</si>
  <si>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</si>
  <si>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</si>
  <si>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</si>
  <si>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</si>
  <si>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</si>
  <si>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</si>
  <si>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</si>
  <si>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</si>
  <si>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</si>
  <si>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</si>
  <si>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</si>
  <si>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</si>
  <si>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</si>
  <si>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</si>
  <si>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</si>
  <si>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</si>
  <si>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</si>
  <si>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</si>
  <si>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</si>
  <si>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</si>
  <si>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</si>
  <si>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</si>
  <si>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</si>
  <si>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</si>
  <si>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</si>
  <si>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</si>
  <si>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</si>
  <si>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</si>
  <si>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</si>
  <si>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</si>
  <si>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</si>
  <si>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</si>
  <si>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</si>
  <si>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</si>
  <si>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</si>
  <si>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</si>
  <si>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</si>
  <si>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</si>
  <si>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</si>
  <si>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2024-12-26</t>
  </si>
  <si>
    <t>0000082（原奥拓）</t>
  </si>
  <si>
    <t>霍红霞（原奥拓）</t>
  </si>
  <si>
    <t>2023.4.10</t>
  </si>
  <si>
    <t>620121196609240531</t>
  </si>
  <si>
    <t>王贤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</si>
  <si>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</si>
  <si>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</si>
  <si>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</si>
  <si>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</si>
  <si>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</si>
  <si>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</si>
  <si>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</si>
  <si>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</si>
  <si>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</si>
  <si>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</si>
  <si>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</si>
  <si>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</si>
  <si>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</si>
  <si>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</si>
  <si>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</si>
  <si>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</si>
  <si>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</si>
  <si>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</si>
  <si>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</si>
  <si>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2023.1.7</t>
  </si>
  <si>
    <t>652322198710153532</t>
  </si>
  <si>
    <t>9-1-1002</t>
  </si>
  <si>
    <t>24652000000081602258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</si>
  <si>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</si>
  <si>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</si>
  <si>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</si>
  <si>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</si>
  <si>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</si>
  <si>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</si>
  <si>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</si>
  <si>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</si>
  <si>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</si>
  <si>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</si>
  <si>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</si>
  <si>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</si>
  <si>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</si>
  <si>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</si>
  <si>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</si>
  <si>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</si>
  <si>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</si>
  <si>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</si>
  <si>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</si>
  <si>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</si>
  <si>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</si>
  <si>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</si>
  <si>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</si>
  <si>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</si>
  <si>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</si>
  <si>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</si>
  <si>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</si>
  <si>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</si>
  <si>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</si>
  <si>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</si>
  <si>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</si>
  <si>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</si>
  <si>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</si>
  <si>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</si>
  <si>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</si>
  <si>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</si>
  <si>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</si>
  <si>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</si>
  <si>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</si>
  <si>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</si>
  <si>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</si>
  <si>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</si>
  <si>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</si>
  <si>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</si>
  <si>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</si>
  <si>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</si>
  <si>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</si>
  <si>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潘亦玹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</si>
  <si>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</si>
  <si>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</si>
  <si>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</si>
  <si>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</si>
  <si>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</si>
  <si>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</si>
  <si>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</si>
  <si>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</si>
  <si>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</si>
  <si>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</si>
  <si>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</si>
  <si>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</si>
  <si>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</si>
  <si>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</si>
  <si>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</si>
  <si>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</si>
  <si>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</si>
  <si>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</si>
  <si>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</si>
  <si>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</si>
  <si>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</si>
  <si>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</si>
  <si>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</si>
  <si>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17767666093</t>
  </si>
  <si>
    <t>20230001507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</si>
  <si>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</si>
  <si>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</si>
  <si>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</si>
  <si>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</si>
  <si>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</si>
  <si>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</si>
  <si>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</si>
  <si>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</si>
  <si>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</si>
  <si>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</si>
  <si>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</si>
  <si>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</si>
  <si>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</si>
  <si>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</si>
  <si>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</si>
  <si>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</si>
  <si>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</si>
  <si>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</si>
  <si>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</si>
  <si>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</si>
  <si>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</si>
  <si>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</si>
  <si>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</si>
  <si>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</si>
  <si>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</si>
  <si>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</si>
  <si>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</si>
  <si>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</si>
  <si>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</si>
  <si>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</si>
  <si>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</si>
  <si>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</si>
  <si>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</si>
  <si>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</si>
  <si>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</si>
  <si>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</si>
  <si>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</si>
  <si>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</si>
  <si>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</si>
  <si>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</si>
  <si>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</si>
  <si>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</si>
  <si>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</si>
  <si>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</si>
  <si>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</si>
  <si>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</si>
  <si>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</si>
  <si>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</si>
  <si>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</si>
  <si>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</si>
  <si>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</si>
  <si>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</si>
  <si>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</si>
  <si>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</si>
  <si>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</si>
  <si>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</si>
  <si>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</si>
  <si>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</si>
  <si>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</si>
  <si>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</si>
  <si>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</si>
  <si>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</si>
  <si>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</si>
  <si>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</si>
  <si>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</si>
  <si>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</si>
  <si>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</si>
  <si>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</si>
  <si>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</si>
  <si>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</si>
  <si>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</si>
  <si>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</si>
  <si>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</si>
  <si>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</si>
  <si>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</si>
  <si>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</si>
  <si>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</si>
  <si>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</si>
  <si>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</si>
  <si>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</si>
  <si>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</si>
  <si>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</si>
  <si>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</si>
  <si>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</si>
  <si>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</si>
  <si>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</si>
  <si>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</si>
  <si>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</si>
  <si>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</si>
  <si>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</si>
  <si>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</si>
  <si>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</si>
  <si>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</si>
  <si>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</si>
  <si>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</si>
  <si>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</si>
  <si>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</si>
  <si>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</si>
  <si>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</si>
  <si>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</si>
  <si>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</si>
  <si>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</si>
  <si>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</si>
  <si>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</si>
  <si>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张金玲、张梦圆</t>
  </si>
  <si>
    <t>9-2-1001</t>
  </si>
  <si>
    <t>24652000000081684765</t>
  </si>
  <si>
    <t>13779653780</t>
  </si>
  <si>
    <t>20230001567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</si>
  <si>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</si>
  <si>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</si>
  <si>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</si>
  <si>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</si>
  <si>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</si>
  <si>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</si>
  <si>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</si>
  <si>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</si>
  <si>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</si>
  <si>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</si>
  <si>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</si>
  <si>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</si>
  <si>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</si>
  <si>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</si>
  <si>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</si>
  <si>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</si>
  <si>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</si>
  <si>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</si>
  <si>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</si>
  <si>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</si>
  <si>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</si>
  <si>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</si>
  <si>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</si>
  <si>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</si>
  <si>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</si>
  <si>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</si>
  <si>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24652000000068297177</t>
  </si>
  <si>
    <t>2024.11.12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</si>
  <si>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</si>
  <si>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</si>
  <si>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</si>
  <si>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</si>
  <si>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</si>
  <si>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</si>
  <si>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</si>
  <si>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</si>
  <si>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</si>
  <si>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</si>
  <si>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</si>
  <si>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</si>
  <si>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</si>
  <si>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</si>
  <si>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</si>
  <si>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</si>
  <si>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</si>
  <si>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</si>
  <si>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</si>
  <si>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</si>
  <si>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</si>
  <si>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</si>
  <si>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</si>
  <si>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</si>
  <si>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</si>
  <si>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</si>
  <si>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</si>
  <si>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</si>
  <si>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</si>
  <si>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</si>
  <si>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</si>
  <si>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</si>
  <si>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</si>
  <si>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</si>
  <si>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</si>
  <si>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</si>
  <si>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</si>
  <si>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</si>
  <si>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</si>
  <si>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</si>
  <si>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</si>
  <si>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</si>
  <si>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</si>
  <si>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</si>
  <si>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</si>
  <si>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</si>
  <si>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</si>
  <si>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</si>
  <si>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</si>
  <si>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20240004715</t>
  </si>
  <si>
    <t>抵账杜717812.82</t>
  </si>
  <si>
    <t>422822198809032540</t>
  </si>
  <si>
    <t>姚璐</t>
  </si>
  <si>
    <t>10-1-201</t>
  </si>
  <si>
    <t>2023.6.9</t>
  </si>
  <si>
    <t>20230004693</t>
  </si>
  <si>
    <t>652801197501211637</t>
  </si>
  <si>
    <t>赵大峰</t>
  </si>
  <si>
    <t>10-1-202</t>
  </si>
  <si>
    <t>24652000000081465633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</si>
  <si>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</si>
  <si>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</si>
  <si>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</si>
  <si>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</si>
  <si>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</si>
  <si>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</si>
  <si>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</si>
  <si>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24652000000080213307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</si>
  <si>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</si>
  <si>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</si>
  <si>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</si>
  <si>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</si>
  <si>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</si>
  <si>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</si>
  <si>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</si>
  <si>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</si>
  <si>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</si>
  <si>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</si>
  <si>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</si>
  <si>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</si>
  <si>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</si>
  <si>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</si>
  <si>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</si>
  <si>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</si>
  <si>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</si>
  <si>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</si>
  <si>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</si>
  <si>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</si>
  <si>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</si>
  <si>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</si>
  <si>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</si>
  <si>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</si>
  <si>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</si>
  <si>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</si>
  <si>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</si>
  <si>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</si>
  <si>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</si>
  <si>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</si>
  <si>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</si>
  <si>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</si>
  <si>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</si>
  <si>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</si>
  <si>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</si>
  <si>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</si>
  <si>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</si>
  <si>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</si>
  <si>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</si>
  <si>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</si>
  <si>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24652000000081468890</t>
  </si>
  <si>
    <t>18799820836</t>
  </si>
  <si>
    <t>20230001016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</si>
  <si>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</si>
  <si>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</si>
  <si>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</si>
  <si>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</si>
  <si>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</si>
  <si>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</si>
  <si>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</si>
  <si>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</si>
  <si>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</si>
  <si>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</si>
  <si>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</si>
  <si>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</si>
  <si>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</si>
  <si>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24652000000081531035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</si>
  <si>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</si>
  <si>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</si>
  <si>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</si>
  <si>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</si>
  <si>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</si>
  <si>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</si>
  <si>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</si>
  <si>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</si>
  <si>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</si>
  <si>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</si>
  <si>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</si>
  <si>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</si>
  <si>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</si>
  <si>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</si>
  <si>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</si>
  <si>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</si>
  <si>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</si>
  <si>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</si>
  <si>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</si>
  <si>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</si>
  <si>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</si>
  <si>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</si>
  <si>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</si>
  <si>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</si>
  <si>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</si>
  <si>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</si>
  <si>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</si>
  <si>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</si>
  <si>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</si>
  <si>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</si>
  <si>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</si>
  <si>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</si>
  <si>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</si>
  <si>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</si>
  <si>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</si>
  <si>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24652000000081533572</t>
  </si>
  <si>
    <t>15739857616</t>
  </si>
  <si>
    <t>20230000787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</si>
  <si>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</si>
  <si>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</si>
  <si>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</si>
  <si>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</si>
  <si>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</si>
  <si>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</si>
  <si>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</si>
  <si>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</si>
  <si>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</si>
  <si>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</si>
  <si>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</si>
  <si>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</si>
  <si>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</si>
  <si>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</si>
  <si>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</si>
  <si>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</si>
  <si>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</si>
  <si>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</si>
  <si>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</si>
  <si>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</si>
  <si>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</si>
  <si>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24652000000081407994</t>
  </si>
  <si>
    <t>2024-12-30</t>
  </si>
  <si>
    <t>18196246995</t>
  </si>
  <si>
    <t>20230001425</t>
  </si>
  <si>
    <t>62272619970316079X</t>
  </si>
  <si>
    <t>谢彪</t>
  </si>
  <si>
    <t>10-1-1001</t>
  </si>
  <si>
    <t>24652000000081515544</t>
  </si>
  <si>
    <t>20230000845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</si>
  <si>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</si>
  <si>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</si>
  <si>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</si>
  <si>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</si>
  <si>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</si>
  <si>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</si>
  <si>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</si>
  <si>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</si>
  <si>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</si>
  <si>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</si>
  <si>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</si>
  <si>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</si>
  <si>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</si>
  <si>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</si>
  <si>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</si>
  <si>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</si>
  <si>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</si>
  <si>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</si>
  <si>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</si>
  <si>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</si>
  <si>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</si>
  <si>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</si>
  <si>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</si>
  <si>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2023.3.22</t>
  </si>
  <si>
    <t>13579009541</t>
  </si>
  <si>
    <t>2023.3.14</t>
  </si>
  <si>
    <t>20230002408</t>
  </si>
  <si>
    <t>马江燕、马利忠</t>
  </si>
  <si>
    <t>0000294</t>
  </si>
  <si>
    <t>10-2-101</t>
  </si>
  <si>
    <t>24652000000070541045</t>
  </si>
  <si>
    <t>2024-11-21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</si>
  <si>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</si>
  <si>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</si>
  <si>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</si>
  <si>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</si>
  <si>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</si>
  <si>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</si>
  <si>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</si>
  <si>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</si>
  <si>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</si>
  <si>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</si>
  <si>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</si>
  <si>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</si>
  <si>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</si>
  <si>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</si>
  <si>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</si>
  <si>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</si>
  <si>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24652000000070643435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</si>
  <si>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</si>
  <si>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</si>
  <si>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</si>
  <si>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</si>
  <si>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</si>
  <si>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</si>
  <si>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</si>
  <si>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</si>
  <si>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</si>
  <si>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</si>
  <si>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2023.5.2</t>
  </si>
  <si>
    <t>20230003813</t>
  </si>
  <si>
    <t>622223199212064617</t>
  </si>
  <si>
    <t>10-2-301</t>
  </si>
  <si>
    <t>24652000000070625893</t>
  </si>
  <si>
    <t>2023.8.17</t>
  </si>
  <si>
    <t>18139096223</t>
  </si>
  <si>
    <t>20230000839</t>
  </si>
  <si>
    <t>411425198806060970</t>
  </si>
  <si>
    <t>赵东雷、崔丽</t>
  </si>
  <si>
    <t>10-2-302</t>
  </si>
  <si>
    <t>24652000000070606434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</si>
  <si>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</si>
  <si>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</si>
  <si>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</si>
  <si>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</si>
  <si>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</si>
  <si>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</si>
  <si>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</si>
  <si>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</si>
  <si>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</si>
  <si>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</si>
  <si>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</si>
  <si>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</si>
  <si>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</si>
  <si>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</si>
  <si>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</si>
  <si>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</si>
  <si>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</si>
  <si>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</si>
  <si>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</si>
  <si>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</si>
  <si>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</si>
  <si>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</si>
  <si>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</si>
  <si>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</si>
  <si>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</si>
  <si>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</si>
  <si>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</si>
  <si>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</si>
  <si>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</si>
  <si>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</si>
  <si>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</si>
  <si>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</si>
  <si>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</si>
  <si>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</si>
  <si>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</si>
  <si>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</si>
  <si>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</si>
  <si>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</si>
  <si>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</si>
  <si>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</si>
  <si>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</si>
  <si>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</si>
  <si>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</si>
  <si>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</si>
  <si>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</si>
  <si>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</si>
  <si>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</si>
  <si>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</si>
  <si>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</si>
  <si>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</si>
  <si>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</si>
  <si>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</si>
  <si>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</si>
  <si>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</si>
  <si>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</si>
  <si>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</si>
  <si>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</si>
  <si>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</si>
  <si>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</si>
  <si>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</si>
  <si>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</si>
  <si>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</si>
  <si>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</si>
  <si>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</si>
  <si>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</si>
  <si>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</si>
  <si>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</si>
  <si>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</si>
  <si>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</si>
  <si>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</si>
  <si>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</si>
  <si>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</si>
  <si>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2023.2.18</t>
  </si>
  <si>
    <t>20230001701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</si>
  <si>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</si>
  <si>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</si>
  <si>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</si>
  <si>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</si>
  <si>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</si>
  <si>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</si>
  <si>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</si>
  <si>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</si>
  <si>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</si>
  <si>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</si>
  <si>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</si>
  <si>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</si>
  <si>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</si>
  <si>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</si>
  <si>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</si>
  <si>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</si>
  <si>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</si>
  <si>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</si>
  <si>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</si>
  <si>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</si>
  <si>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</si>
  <si>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</si>
  <si>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</si>
  <si>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</si>
  <si>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</si>
  <si>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</si>
  <si>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</si>
  <si>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</si>
  <si>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</si>
  <si>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</si>
  <si>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</si>
  <si>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</si>
  <si>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</si>
  <si>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</si>
  <si>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</si>
  <si>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</si>
  <si>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</si>
  <si>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</si>
  <si>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</si>
  <si>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</si>
  <si>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</si>
  <si>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</si>
  <si>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</si>
  <si>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</si>
  <si>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</si>
  <si>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</si>
  <si>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</si>
  <si>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</si>
  <si>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</si>
  <si>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</si>
  <si>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</si>
  <si>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</si>
  <si>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</si>
  <si>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</si>
  <si>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</si>
  <si>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</si>
  <si>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</si>
  <si>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</si>
  <si>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</si>
  <si>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</si>
  <si>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</si>
  <si>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</si>
  <si>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</si>
  <si>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</si>
  <si>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</si>
  <si>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</si>
  <si>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</si>
  <si>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</si>
  <si>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</si>
  <si>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</si>
  <si>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</si>
  <si>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</si>
  <si>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</si>
  <si>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</si>
  <si>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</si>
  <si>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</si>
  <si>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</si>
  <si>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</si>
  <si>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20230000774</t>
  </si>
  <si>
    <t>13043019941102151X</t>
  </si>
  <si>
    <t>刘钦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</si>
  <si>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</si>
  <si>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</si>
  <si>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</si>
  <si>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</si>
  <si>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</si>
  <si>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</si>
  <si>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</si>
  <si>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</si>
  <si>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</si>
  <si>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</si>
  <si>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</si>
  <si>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</si>
  <si>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</si>
  <si>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</si>
  <si>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</si>
  <si>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</si>
  <si>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</si>
  <si>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</si>
  <si>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</si>
  <si>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</si>
  <si>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</si>
  <si>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</si>
  <si>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</si>
  <si>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</si>
  <si>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24652000000074260381</t>
  </si>
  <si>
    <t>王荣（刘柯）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</si>
  <si>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</si>
  <si>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</si>
  <si>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</si>
  <si>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</si>
  <si>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</si>
  <si>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</si>
  <si>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</si>
  <si>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</si>
  <si>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</si>
  <si>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</si>
  <si>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</si>
  <si>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</si>
  <si>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</si>
  <si>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</si>
  <si>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</si>
  <si>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</si>
  <si>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</si>
  <si>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</si>
  <si>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</si>
  <si>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</si>
  <si>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</si>
  <si>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</si>
  <si>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</si>
  <si>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</si>
  <si>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</si>
  <si>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</si>
  <si>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</si>
  <si>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</si>
  <si>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</si>
  <si>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</si>
  <si>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</si>
  <si>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</si>
  <si>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</si>
  <si>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</si>
  <si>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24652000000074581656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</si>
  <si>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</si>
  <si>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</si>
  <si>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</si>
  <si>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</si>
  <si>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</si>
  <si>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</si>
  <si>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</si>
  <si>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</si>
  <si>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</si>
  <si>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</si>
  <si>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</si>
  <si>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</si>
  <si>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</si>
  <si>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</si>
  <si>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</si>
  <si>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</si>
  <si>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</si>
  <si>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</si>
  <si>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24652000000074553060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</si>
  <si>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</si>
  <si>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</si>
  <si>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</si>
  <si>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</si>
  <si>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</si>
  <si>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</si>
  <si>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</si>
  <si>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</si>
  <si>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</si>
  <si>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</si>
  <si>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</si>
  <si>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</si>
  <si>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</si>
  <si>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</si>
  <si>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</si>
  <si>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</si>
  <si>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</si>
  <si>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</si>
  <si>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</si>
  <si>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</si>
  <si>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</si>
  <si>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</si>
  <si>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</si>
  <si>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</si>
  <si>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</si>
  <si>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</si>
  <si>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</si>
  <si>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</si>
  <si>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</si>
  <si>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</si>
  <si>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</si>
  <si>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</si>
  <si>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</si>
  <si>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24652000000081439467</t>
  </si>
  <si>
    <t>崔丽</t>
  </si>
  <si>
    <t>13999608599</t>
  </si>
  <si>
    <t>20230001409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</si>
  <si>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</si>
  <si>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</si>
  <si>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</si>
  <si>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</si>
  <si>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</si>
  <si>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</si>
  <si>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</si>
  <si>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</si>
  <si>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</si>
  <si>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</si>
  <si>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</si>
  <si>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</si>
  <si>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</si>
  <si>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</si>
  <si>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</si>
  <si>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</si>
  <si>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</si>
  <si>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</si>
  <si>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</si>
  <si>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</si>
  <si>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</si>
  <si>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</si>
  <si>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</si>
  <si>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</si>
  <si>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</si>
  <si>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</si>
  <si>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</si>
  <si>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</si>
  <si>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</si>
  <si>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</si>
  <si>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</si>
  <si>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</si>
  <si>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</si>
  <si>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</si>
  <si>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</si>
  <si>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</si>
  <si>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</si>
  <si>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</si>
  <si>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</si>
  <si>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</si>
  <si>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</si>
  <si>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</si>
  <si>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</si>
  <si>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</si>
  <si>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</si>
  <si>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</si>
  <si>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</si>
  <si>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</si>
  <si>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</si>
  <si>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</si>
  <si>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</si>
  <si>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24652000000082000200</t>
  </si>
  <si>
    <t>2024-12-31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</si>
  <si>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</si>
  <si>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</si>
  <si>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</si>
  <si>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</si>
  <si>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</si>
  <si>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</si>
  <si>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</si>
  <si>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</si>
  <si>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</si>
  <si>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</si>
  <si>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</si>
  <si>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</si>
  <si>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</si>
  <si>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</si>
  <si>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</si>
  <si>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</si>
  <si>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</si>
  <si>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</si>
  <si>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</si>
  <si>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</si>
  <si>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</si>
  <si>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</si>
  <si>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</si>
  <si>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</si>
  <si>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</si>
  <si>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</si>
  <si>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</si>
  <si>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</si>
  <si>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</si>
  <si>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</si>
  <si>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</si>
  <si>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</si>
  <si>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</si>
  <si>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</si>
  <si>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有问题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</si>
  <si>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</si>
  <si>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</si>
  <si>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</si>
  <si>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</si>
  <si>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</si>
  <si>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</si>
  <si>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</si>
  <si>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</si>
  <si>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</si>
  <si>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</si>
  <si>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</si>
  <si>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</si>
  <si>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</si>
  <si>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</si>
  <si>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</si>
  <si>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</si>
  <si>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</si>
  <si>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</si>
  <si>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</si>
  <si>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</si>
  <si>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</si>
  <si>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</si>
  <si>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</si>
  <si>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</si>
  <si>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</si>
  <si>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</si>
  <si>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</si>
  <si>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</si>
  <si>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</si>
  <si>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</si>
  <si>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</si>
  <si>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</si>
  <si>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</si>
  <si>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</si>
  <si>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</si>
  <si>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</si>
  <si>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</si>
  <si>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</si>
  <si>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</si>
  <si>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</si>
  <si>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</si>
  <si>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</si>
  <si>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</si>
  <si>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</si>
  <si>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</si>
  <si>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</si>
  <si>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</si>
  <si>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</si>
  <si>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</si>
  <si>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</si>
  <si>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</si>
  <si>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</si>
  <si>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</si>
  <si>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</si>
  <si>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</si>
  <si>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</si>
  <si>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</si>
  <si>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</si>
  <si>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</si>
  <si>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</si>
  <si>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</si>
  <si>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</si>
  <si>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</si>
  <si>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</si>
  <si>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</si>
  <si>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</si>
  <si>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</si>
  <si>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</si>
  <si>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</si>
  <si>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</si>
  <si>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</si>
  <si>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</si>
  <si>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</si>
  <si>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</si>
  <si>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</si>
  <si>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</si>
  <si>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</si>
  <si>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</si>
  <si>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</si>
  <si>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</si>
  <si>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</si>
  <si>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</si>
  <si>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</si>
  <si>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24652000000068331217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</si>
  <si>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</si>
  <si>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</si>
  <si>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</si>
  <si>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</si>
  <si>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</si>
  <si>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</si>
  <si>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</si>
  <si>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</si>
  <si>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</si>
  <si>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24652000000068361107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</si>
  <si>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</si>
  <si>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</si>
  <si>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</si>
  <si>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</si>
  <si>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</si>
  <si>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</si>
  <si>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</si>
  <si>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</si>
  <si>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</si>
  <si>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</si>
  <si>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</si>
  <si>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</si>
  <si>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</si>
  <si>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</si>
  <si>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</si>
  <si>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</si>
  <si>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</si>
  <si>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</si>
  <si>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</si>
  <si>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</si>
  <si>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</si>
  <si>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</si>
  <si>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</si>
  <si>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18622101517</t>
  </si>
  <si>
    <t>20230005209</t>
  </si>
  <si>
    <t>652201199109171649</t>
  </si>
  <si>
    <t>0000374</t>
  </si>
  <si>
    <t>11-1-702</t>
  </si>
  <si>
    <t>24652000000068415462</t>
  </si>
  <si>
    <t>2024.11.13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</si>
  <si>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</si>
  <si>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</si>
  <si>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</si>
  <si>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</si>
  <si>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</si>
  <si>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</si>
  <si>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</si>
  <si>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</si>
  <si>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</si>
  <si>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</si>
  <si>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</si>
  <si>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</si>
  <si>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</si>
  <si>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</si>
  <si>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</si>
  <si>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</si>
  <si>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24652000000068426513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</si>
  <si>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</si>
  <si>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</si>
  <si>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</si>
  <si>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</si>
  <si>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</si>
  <si>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</si>
  <si>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</si>
  <si>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</si>
  <si>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</si>
  <si>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</si>
  <si>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</si>
  <si>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</si>
  <si>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</si>
  <si>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</si>
  <si>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</si>
  <si>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</si>
  <si>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</si>
  <si>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</si>
  <si>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</si>
  <si>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</si>
  <si>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</si>
  <si>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</si>
  <si>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24652000000068408847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</si>
  <si>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</si>
  <si>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</si>
  <si>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</si>
  <si>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</si>
  <si>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</si>
  <si>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</si>
  <si>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</si>
  <si>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</si>
  <si>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</si>
  <si>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</si>
  <si>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</si>
  <si>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</si>
  <si>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</si>
  <si>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</si>
  <si>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</si>
  <si>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</si>
  <si>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</si>
  <si>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</si>
  <si>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</si>
  <si>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</si>
  <si>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</si>
  <si>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</si>
  <si>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</si>
  <si>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</si>
  <si>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</si>
  <si>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</si>
  <si>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</si>
  <si>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</si>
  <si>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</si>
  <si>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</si>
  <si>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</si>
  <si>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</si>
  <si>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</si>
  <si>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</si>
  <si>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</si>
  <si>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</si>
  <si>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</si>
  <si>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</si>
  <si>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</si>
  <si>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</si>
  <si>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</si>
  <si>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</si>
  <si>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</si>
  <si>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</si>
  <si>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</si>
  <si>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</si>
  <si>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</si>
  <si>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</si>
  <si>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</si>
  <si>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</si>
  <si>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</si>
  <si>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</si>
  <si>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</si>
  <si>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</si>
  <si>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</si>
  <si>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</si>
  <si>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</si>
  <si>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</si>
  <si>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</si>
  <si>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</si>
  <si>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</si>
  <si>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</si>
  <si>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</si>
  <si>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</si>
  <si>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</si>
  <si>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</si>
  <si>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</si>
  <si>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</si>
  <si>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</si>
  <si>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</si>
  <si>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</si>
  <si>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</si>
  <si>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</si>
  <si>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</si>
  <si>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</si>
  <si>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</si>
  <si>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</si>
  <si>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</si>
  <si>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</si>
  <si>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</si>
  <si>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</si>
  <si>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</si>
  <si>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</si>
  <si>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</si>
  <si>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</si>
  <si>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</si>
  <si>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</si>
  <si>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</si>
  <si>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</si>
  <si>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</si>
  <si>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</si>
  <si>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</si>
  <si>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</si>
  <si>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</si>
  <si>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</si>
  <si>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</si>
  <si>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</si>
  <si>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</si>
  <si>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</si>
  <si>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</si>
  <si>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</si>
  <si>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</si>
  <si>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</si>
  <si>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</si>
  <si>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</si>
  <si>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</si>
  <si>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</si>
  <si>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</si>
  <si>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</si>
  <si>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</si>
  <si>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</si>
  <si>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</si>
  <si>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</si>
  <si>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</si>
  <si>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</si>
  <si>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</si>
  <si>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</si>
  <si>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</si>
  <si>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</si>
  <si>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</si>
  <si>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</si>
  <si>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</si>
  <si>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</si>
  <si>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</si>
  <si>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</si>
  <si>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</si>
  <si>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</si>
  <si>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</si>
  <si>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</si>
  <si>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</si>
  <si>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</si>
  <si>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</si>
  <si>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</si>
  <si>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</si>
  <si>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</si>
  <si>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</si>
  <si>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</si>
  <si>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</si>
  <si>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</si>
  <si>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</si>
  <si>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</si>
  <si>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</si>
  <si>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</si>
  <si>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</si>
  <si>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</si>
  <si>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</si>
  <si>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</si>
  <si>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</si>
  <si>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</si>
  <si>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</si>
  <si>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</si>
  <si>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</si>
  <si>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</si>
  <si>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</si>
  <si>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</si>
  <si>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</si>
  <si>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</si>
  <si>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</si>
  <si>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</si>
  <si>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</si>
  <si>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</si>
  <si>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</si>
  <si>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</si>
  <si>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</si>
  <si>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</si>
  <si>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</si>
  <si>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</si>
  <si>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</si>
  <si>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</si>
  <si>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</si>
  <si>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</si>
  <si>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</si>
  <si>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</si>
  <si>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</si>
  <si>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</si>
  <si>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</si>
  <si>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</si>
  <si>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</si>
  <si>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</si>
  <si>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</si>
  <si>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</si>
  <si>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</si>
  <si>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</si>
  <si>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</si>
  <si>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</si>
  <si>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</si>
  <si>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</si>
  <si>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</si>
  <si>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</si>
  <si>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</si>
  <si>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</si>
  <si>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抵账杜633166</t>
  </si>
  <si>
    <t>11-3-201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</si>
  <si>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</si>
  <si>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</si>
  <si>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</si>
  <si>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</si>
  <si>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</si>
  <si>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</si>
  <si>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</si>
  <si>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</si>
  <si>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</si>
  <si>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</si>
  <si>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</si>
  <si>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</si>
  <si>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</si>
  <si>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</si>
  <si>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</si>
  <si>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</si>
  <si>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</si>
  <si>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</si>
  <si>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</si>
  <si>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</si>
  <si>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</si>
  <si>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</si>
  <si>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</si>
  <si>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</si>
  <si>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</si>
  <si>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</si>
  <si>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</si>
  <si>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</si>
  <si>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</si>
  <si>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</si>
  <si>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</si>
  <si>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</si>
  <si>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</si>
  <si>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</si>
  <si>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</si>
  <si>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</si>
  <si>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</si>
  <si>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</si>
  <si>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</si>
  <si>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</si>
  <si>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</si>
  <si>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</si>
  <si>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</si>
  <si>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</si>
  <si>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</si>
  <si>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</si>
  <si>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</si>
  <si>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</si>
  <si>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</si>
  <si>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</si>
  <si>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</si>
  <si>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</si>
  <si>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</si>
  <si>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</si>
  <si>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</si>
  <si>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</si>
  <si>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</si>
  <si>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</si>
  <si>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</si>
  <si>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</si>
  <si>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</si>
  <si>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</si>
  <si>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</si>
  <si>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</si>
  <si>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</si>
  <si>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</si>
  <si>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</si>
  <si>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</si>
  <si>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</si>
  <si>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</si>
  <si>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</si>
  <si>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</si>
  <si>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</si>
  <si>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</si>
  <si>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</si>
  <si>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</si>
  <si>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</si>
  <si>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</si>
  <si>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</si>
  <si>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</si>
  <si>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</si>
  <si>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</si>
  <si>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</si>
  <si>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</si>
  <si>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</si>
  <si>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</si>
  <si>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</si>
  <si>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</si>
  <si>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</si>
  <si>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</si>
  <si>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</si>
  <si>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</si>
  <si>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</si>
  <si>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</si>
  <si>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</si>
  <si>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</si>
  <si>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</si>
  <si>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</si>
  <si>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</si>
  <si>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</si>
  <si>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</si>
  <si>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</si>
  <si>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</si>
  <si>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</si>
  <si>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</si>
  <si>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</si>
  <si>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</si>
  <si>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</si>
  <si>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</si>
  <si>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</si>
  <si>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</si>
  <si>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</si>
  <si>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</si>
  <si>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</si>
  <si>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</si>
  <si>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</si>
  <si>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</si>
  <si>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</si>
  <si>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</si>
  <si>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</si>
  <si>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</si>
  <si>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</si>
  <si>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</si>
  <si>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</si>
  <si>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</si>
  <si>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</si>
  <si>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</si>
  <si>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</si>
  <si>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</si>
  <si>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</si>
  <si>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</si>
  <si>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</si>
  <si>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</si>
  <si>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</si>
  <si>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</si>
  <si>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</si>
  <si>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</si>
  <si>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</si>
  <si>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</si>
  <si>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</si>
  <si>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</si>
  <si>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</si>
  <si>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</si>
  <si>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</si>
  <si>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</si>
  <si>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</si>
  <si>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</si>
  <si>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</si>
  <si>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</si>
  <si>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</si>
  <si>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</si>
  <si>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</si>
  <si>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</si>
  <si>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</si>
  <si>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</si>
  <si>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</si>
  <si>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</si>
  <si>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</si>
  <si>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</si>
  <si>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</si>
  <si>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</si>
  <si>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</si>
  <si>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</si>
  <si>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</si>
  <si>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</si>
  <si>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</si>
  <si>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</si>
  <si>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</si>
  <si>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</si>
  <si>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杨太红</t>
  </si>
  <si>
    <t>12-1-102</t>
  </si>
  <si>
    <t>抵账 华汇638309</t>
  </si>
  <si>
    <t>12-1-201</t>
  </si>
  <si>
    <t>12-1-202</t>
  </si>
  <si>
    <t>24652000000080677985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</si>
  <si>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</si>
  <si>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</si>
  <si>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</si>
  <si>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</si>
  <si>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</si>
  <si>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</si>
  <si>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</si>
  <si>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</si>
  <si>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</si>
  <si>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</si>
  <si>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</si>
  <si>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</si>
  <si>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</si>
  <si>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</si>
  <si>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</si>
  <si>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</si>
  <si>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</si>
  <si>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</si>
  <si>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</si>
  <si>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</si>
  <si>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</si>
  <si>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</si>
  <si>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</si>
  <si>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</si>
  <si>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</si>
  <si>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</si>
  <si>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</si>
  <si>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</si>
  <si>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</si>
  <si>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</si>
  <si>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</si>
  <si>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</si>
  <si>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</si>
  <si>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</si>
  <si>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</si>
  <si>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</si>
  <si>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</si>
  <si>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</si>
  <si>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</si>
  <si>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</si>
  <si>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</si>
  <si>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</si>
  <si>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</si>
  <si>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</si>
  <si>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</si>
  <si>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</si>
  <si>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</si>
  <si>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</si>
  <si>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</si>
  <si>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</si>
  <si>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</si>
  <si>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</si>
  <si>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</si>
  <si>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</si>
  <si>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</si>
  <si>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</si>
  <si>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</si>
  <si>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</si>
  <si>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</si>
  <si>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</si>
  <si>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</si>
  <si>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</si>
  <si>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</si>
  <si>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</si>
  <si>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</si>
  <si>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</si>
  <si>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</si>
  <si>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</si>
  <si>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</si>
  <si>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</si>
  <si>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</si>
  <si>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</si>
  <si>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</si>
  <si>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</si>
  <si>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</si>
  <si>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</si>
  <si>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</si>
  <si>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</si>
  <si>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</si>
  <si>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</si>
  <si>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</si>
  <si>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</si>
  <si>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</si>
  <si>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</si>
  <si>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</si>
  <si>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</si>
  <si>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</si>
  <si>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</si>
  <si>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</si>
  <si>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</si>
  <si>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</si>
  <si>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</si>
  <si>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</si>
  <si>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</si>
  <si>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</si>
  <si>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</si>
  <si>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</si>
  <si>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</si>
  <si>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</si>
  <si>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</si>
  <si>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</si>
  <si>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</si>
  <si>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</si>
  <si>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</si>
  <si>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</si>
  <si>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</si>
  <si>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</si>
  <si>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</si>
  <si>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</si>
  <si>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</si>
  <si>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15099258463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</si>
  <si>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</si>
  <si>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</si>
  <si>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</si>
  <si>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</si>
  <si>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</si>
  <si>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</si>
  <si>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</si>
  <si>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</si>
  <si>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</si>
  <si>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</si>
  <si>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</si>
  <si>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</si>
  <si>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</si>
  <si>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</si>
  <si>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</si>
  <si>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</si>
  <si>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陈自伟</t>
  </si>
  <si>
    <t>12-2-102</t>
  </si>
  <si>
    <t>2024.12.3</t>
  </si>
  <si>
    <t>抵账639354 唐山通宝</t>
  </si>
  <si>
    <t>12-2-201</t>
  </si>
  <si>
    <t>肖陶丽（周萍）已退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</si>
  <si>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</si>
  <si>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</si>
  <si>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</si>
  <si>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</si>
  <si>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</si>
  <si>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</si>
  <si>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</si>
  <si>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</si>
  <si>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</si>
  <si>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</si>
  <si>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</si>
  <si>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</si>
  <si>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</si>
  <si>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</si>
  <si>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</si>
  <si>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</si>
  <si>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</si>
  <si>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</si>
  <si>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</si>
  <si>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</si>
  <si>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</si>
  <si>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</si>
  <si>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</si>
  <si>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</si>
  <si>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</si>
  <si>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</si>
  <si>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</si>
  <si>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</si>
  <si>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</si>
  <si>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</si>
  <si>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</si>
  <si>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</si>
  <si>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</si>
  <si>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</si>
  <si>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</si>
  <si>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</si>
  <si>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</si>
  <si>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</si>
  <si>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</si>
  <si>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</si>
  <si>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</si>
  <si>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</si>
  <si>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</si>
  <si>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</si>
  <si>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</si>
  <si>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</si>
  <si>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</si>
  <si>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</si>
  <si>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</si>
  <si>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</si>
  <si>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</si>
  <si>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</si>
  <si>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</si>
  <si>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</si>
  <si>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</si>
  <si>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</si>
  <si>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</si>
  <si>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</si>
  <si>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</si>
  <si>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</si>
  <si>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</si>
  <si>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</si>
  <si>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</si>
  <si>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</si>
  <si>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</si>
  <si>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</si>
  <si>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</si>
  <si>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</si>
  <si>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</si>
  <si>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</si>
  <si>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</si>
  <si>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</si>
  <si>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</si>
  <si>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</si>
  <si>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</si>
  <si>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</si>
  <si>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</si>
  <si>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</si>
  <si>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</si>
  <si>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</si>
  <si>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</si>
  <si>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</si>
  <si>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</si>
  <si>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</si>
  <si>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</si>
  <si>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</si>
  <si>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</si>
  <si>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</si>
  <si>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</si>
  <si>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</si>
  <si>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</si>
  <si>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</si>
  <si>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</si>
  <si>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</si>
  <si>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</si>
  <si>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</si>
  <si>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</si>
  <si>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</si>
  <si>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</si>
  <si>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</si>
  <si>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</si>
  <si>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</si>
  <si>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</si>
  <si>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</si>
  <si>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24652000000070550033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</si>
  <si>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</si>
  <si>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</si>
  <si>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</si>
  <si>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</si>
  <si>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</si>
  <si>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</si>
  <si>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</si>
  <si>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</si>
  <si>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</si>
  <si>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</si>
  <si>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</si>
  <si>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</si>
  <si>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</si>
  <si>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</si>
  <si>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</si>
  <si>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</si>
  <si>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</si>
  <si>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</si>
  <si>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</si>
  <si>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</si>
  <si>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</si>
  <si>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</si>
  <si>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</si>
  <si>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</si>
  <si>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</si>
  <si>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</si>
  <si>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</si>
  <si>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</si>
  <si>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</si>
  <si>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</si>
  <si>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</si>
  <si>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</si>
  <si>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</si>
  <si>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</si>
  <si>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</si>
  <si>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</si>
  <si>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抵账高798627</t>
  </si>
  <si>
    <t>高邵博</t>
  </si>
  <si>
    <t>12-2-1102</t>
  </si>
  <si>
    <t>2024.7.18</t>
  </si>
  <si>
    <t>12-3-101</t>
  </si>
  <si>
    <t>24652000000065383428</t>
  </si>
  <si>
    <t>2024-11-1</t>
  </si>
  <si>
    <t>2024.11.1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</si>
  <si>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</si>
  <si>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</si>
  <si>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</si>
  <si>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</si>
  <si>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</si>
  <si>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</si>
  <si>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</si>
  <si>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</si>
  <si>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</si>
  <si>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</si>
  <si>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</si>
  <si>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</si>
  <si>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</si>
  <si>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</si>
  <si>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</si>
  <si>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</si>
  <si>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</si>
  <si>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</si>
  <si>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</si>
  <si>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</si>
  <si>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</si>
  <si>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</si>
  <si>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</si>
  <si>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</si>
  <si>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</si>
  <si>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</si>
  <si>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</si>
  <si>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</si>
  <si>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</si>
  <si>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</si>
  <si>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</si>
  <si>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</si>
  <si>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</si>
  <si>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</si>
  <si>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</si>
  <si>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</si>
  <si>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</si>
  <si>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</si>
  <si>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</si>
  <si>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</si>
  <si>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</si>
  <si>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</si>
  <si>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</si>
  <si>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</si>
  <si>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</si>
  <si>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</si>
  <si>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</si>
  <si>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</si>
  <si>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</si>
  <si>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</si>
  <si>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</si>
  <si>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</si>
  <si>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</si>
  <si>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</si>
  <si>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</si>
  <si>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</si>
  <si>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</si>
  <si>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</si>
  <si>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</si>
  <si>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</si>
  <si>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</si>
  <si>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</si>
  <si>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</si>
  <si>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</si>
  <si>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</si>
  <si>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</si>
  <si>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</si>
  <si>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</si>
  <si>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</si>
  <si>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</si>
  <si>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</si>
  <si>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</si>
  <si>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</si>
  <si>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</si>
  <si>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</si>
  <si>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</si>
  <si>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</si>
  <si>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</si>
  <si>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</si>
  <si>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</si>
  <si>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</si>
  <si>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</si>
  <si>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</si>
  <si>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</si>
  <si>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</si>
  <si>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</si>
  <si>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</si>
  <si>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</si>
  <si>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</si>
  <si>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</si>
  <si>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</si>
  <si>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</si>
  <si>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</si>
  <si>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</si>
  <si>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</si>
  <si>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</si>
  <si>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</si>
  <si>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</si>
  <si>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</si>
  <si>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</si>
  <si>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</si>
  <si>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</si>
  <si>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</si>
  <si>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</si>
  <si>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</si>
  <si>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</si>
  <si>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</si>
  <si>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</si>
  <si>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</si>
  <si>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</si>
  <si>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</si>
  <si>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</si>
  <si>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</si>
  <si>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</si>
  <si>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</si>
  <si>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</si>
  <si>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</si>
  <si>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</si>
  <si>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</si>
  <si>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</si>
  <si>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</si>
  <si>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</si>
  <si>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</si>
  <si>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</si>
  <si>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</si>
  <si>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</si>
  <si>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</si>
  <si>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</si>
  <si>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</si>
  <si>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</si>
  <si>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</si>
  <si>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</si>
  <si>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</si>
  <si>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</si>
  <si>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</si>
  <si>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</si>
  <si>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</si>
  <si>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</si>
  <si>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</si>
  <si>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</si>
  <si>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</si>
  <si>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</si>
  <si>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</si>
  <si>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</si>
  <si>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</si>
  <si>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</si>
  <si>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</si>
  <si>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</si>
  <si>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</si>
  <si>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</si>
  <si>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</si>
  <si>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</si>
  <si>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</si>
  <si>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</si>
  <si>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</si>
  <si>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</si>
  <si>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</si>
  <si>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</si>
  <si>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</si>
  <si>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</si>
  <si>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</si>
  <si>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</si>
  <si>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</si>
  <si>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</si>
  <si>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</si>
  <si>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</si>
  <si>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</si>
  <si>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</si>
  <si>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</si>
  <si>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</si>
  <si>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</si>
  <si>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</si>
  <si>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</si>
  <si>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</si>
  <si>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</si>
  <si>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</si>
  <si>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</si>
  <si>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</si>
  <si>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</si>
  <si>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</si>
  <si>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</si>
  <si>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</si>
  <si>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</si>
  <si>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</si>
  <si>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</si>
  <si>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</si>
  <si>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</si>
  <si>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</si>
  <si>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</si>
  <si>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</si>
  <si>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</si>
  <si>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</si>
  <si>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</si>
  <si>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</si>
  <si>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</si>
  <si>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</si>
  <si>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</si>
  <si>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</si>
  <si>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</si>
  <si>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</si>
  <si>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</si>
  <si>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</si>
  <si>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</si>
  <si>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</si>
  <si>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</si>
  <si>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</si>
  <si>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</si>
  <si>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</si>
  <si>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</si>
  <si>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0000702</t>
  </si>
  <si>
    <t>1-1-102</t>
  </si>
  <si>
    <t>1-1-201</t>
  </si>
  <si>
    <t>0000909</t>
  </si>
  <si>
    <t>1-1-202</t>
  </si>
  <si>
    <t>2024.12.9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</si>
  <si>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</si>
  <si>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</si>
  <si>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</si>
  <si>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</si>
  <si>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</si>
  <si>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</si>
  <si>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</si>
  <si>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</si>
  <si>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0001012</t>
  </si>
  <si>
    <t>1-1-302</t>
  </si>
  <si>
    <t>2024.12.1</t>
  </si>
  <si>
    <t>有车位</t>
  </si>
  <si>
    <t>1-1-401</t>
  </si>
  <si>
    <t>1-1-402</t>
  </si>
  <si>
    <t>622301200012132817</t>
  </si>
  <si>
    <t>张龙年</t>
  </si>
  <si>
    <t>0000957</t>
  </si>
  <si>
    <t>1-1-501</t>
  </si>
  <si>
    <t>2024.8.18</t>
  </si>
  <si>
    <t>无车位送3年物业费</t>
  </si>
  <si>
    <t>1-1-502</t>
  </si>
  <si>
    <t>1-1-601</t>
  </si>
  <si>
    <t>0000899</t>
  </si>
  <si>
    <t>1-1-602</t>
  </si>
  <si>
    <t>0000546</t>
  </si>
  <si>
    <t>2024.1.5</t>
  </si>
  <si>
    <t>2024.6.9</t>
  </si>
  <si>
    <t>1-1-701</t>
  </si>
  <si>
    <t>1-1-702</t>
  </si>
  <si>
    <t>1-1-801</t>
  </si>
  <si>
    <t>652325199804053018</t>
  </si>
  <si>
    <t>谷泽群</t>
  </si>
  <si>
    <t>0000982</t>
  </si>
  <si>
    <t>1-1-802</t>
  </si>
  <si>
    <t>不要车位送2年物业费</t>
  </si>
  <si>
    <t>0000905</t>
  </si>
  <si>
    <t>1-1-901</t>
  </si>
  <si>
    <t>2024.8.10</t>
  </si>
  <si>
    <t>1-1-902</t>
  </si>
  <si>
    <t>1-1-1001</t>
  </si>
  <si>
    <t>无车位</t>
  </si>
  <si>
    <t>1-1-1002</t>
  </si>
  <si>
    <t>0000958</t>
  </si>
  <si>
    <t>1-1-1101</t>
  </si>
  <si>
    <t>2024.8.24</t>
  </si>
  <si>
    <t>2024.9-13</t>
  </si>
  <si>
    <t>无车位、送两年物业费</t>
  </si>
  <si>
    <t>1-1-1102</t>
  </si>
  <si>
    <t>1-2-101</t>
  </si>
  <si>
    <t>1-2-102</t>
  </si>
  <si>
    <t>1-2-201</t>
  </si>
  <si>
    <t>1-2-202</t>
  </si>
  <si>
    <t>620421199501142550</t>
  </si>
  <si>
    <t>段国政</t>
  </si>
  <si>
    <t>0000977</t>
  </si>
  <si>
    <t>1-2-301</t>
  </si>
  <si>
    <t>2024.12.28</t>
  </si>
  <si>
    <t>511321199406023481</t>
  </si>
  <si>
    <t>邓凤英
张炜</t>
  </si>
  <si>
    <t>1-2-302</t>
  </si>
  <si>
    <t>1-2-401</t>
  </si>
  <si>
    <t>1-2-402</t>
  </si>
  <si>
    <t>0000713</t>
  </si>
  <si>
    <t>1-2-501</t>
  </si>
  <si>
    <t>2024.9.21</t>
  </si>
  <si>
    <t>无物业费15000商业抵用券</t>
  </si>
  <si>
    <t>1-2-502</t>
  </si>
  <si>
    <t>2024.10.14</t>
  </si>
  <si>
    <t>覃华见</t>
  </si>
  <si>
    <t>1-2-601</t>
  </si>
  <si>
    <t>0000545</t>
  </si>
  <si>
    <t>1-2-602</t>
  </si>
  <si>
    <t>0000715</t>
  </si>
  <si>
    <t>1-2-701</t>
  </si>
  <si>
    <t>1-2-702</t>
  </si>
  <si>
    <t>2年物业费</t>
  </si>
  <si>
    <t>杨旭元</t>
  </si>
  <si>
    <t>1-2-801</t>
  </si>
  <si>
    <t>无车位2年物业费</t>
  </si>
  <si>
    <t>0000969</t>
  </si>
  <si>
    <t>1-2-802</t>
  </si>
  <si>
    <t>2024.12.10</t>
  </si>
  <si>
    <t>不要车位</t>
  </si>
  <si>
    <t>0000731</t>
  </si>
  <si>
    <t>1-2-901</t>
  </si>
  <si>
    <t>1-2-902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</si>
  <si>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</si>
  <si>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</si>
  <si>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</si>
  <si>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</si>
  <si>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</si>
  <si>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</si>
  <si>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</si>
  <si>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</si>
  <si>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</si>
  <si>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</si>
  <si>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</si>
  <si>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</si>
  <si>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1-3-402</t>
  </si>
  <si>
    <t>1-3-501</t>
  </si>
  <si>
    <t>1-3-502</t>
  </si>
  <si>
    <t>1-3-601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</si>
  <si>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</si>
  <si>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</si>
  <si>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</si>
  <si>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</si>
  <si>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</si>
  <si>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</si>
  <si>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</si>
  <si>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</si>
  <si>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</si>
  <si>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黄珍珍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</si>
  <si>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</si>
  <si>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</si>
  <si>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</si>
  <si>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</si>
  <si>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</si>
  <si>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</si>
  <si>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</si>
  <si>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</si>
  <si>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</si>
  <si>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</si>
  <si>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</si>
  <si>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</si>
  <si>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</si>
  <si>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</si>
  <si>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</si>
  <si>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</si>
  <si>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</si>
  <si>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</si>
  <si>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</si>
  <si>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</si>
  <si>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</si>
  <si>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</si>
  <si>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</si>
  <si>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</si>
  <si>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</si>
  <si>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</si>
  <si>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</si>
  <si>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</si>
  <si>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</si>
  <si>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</si>
  <si>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</si>
  <si>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</si>
  <si>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</si>
  <si>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</si>
  <si>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</si>
  <si>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</si>
  <si>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</si>
  <si>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</si>
  <si>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</si>
  <si>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</si>
  <si>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</si>
  <si>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</si>
  <si>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</si>
  <si>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</si>
  <si>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</si>
  <si>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</si>
  <si>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</si>
  <si>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</si>
  <si>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</si>
  <si>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</si>
  <si>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</si>
  <si>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</si>
  <si>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</si>
  <si>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</si>
  <si>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</si>
  <si>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</si>
  <si>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</si>
  <si>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</si>
  <si>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</si>
  <si>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</si>
  <si>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</si>
  <si>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</si>
  <si>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</si>
  <si>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</si>
  <si>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</si>
  <si>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</si>
  <si>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</si>
  <si>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</si>
  <si>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</si>
  <si>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</si>
  <si>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</si>
  <si>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</si>
  <si>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</si>
  <si>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</si>
  <si>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</si>
  <si>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</si>
  <si>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</si>
  <si>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</si>
  <si>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</si>
  <si>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</si>
  <si>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</si>
  <si>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</si>
  <si>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</si>
  <si>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</si>
  <si>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</si>
  <si>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</si>
  <si>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</si>
  <si>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</si>
  <si>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</si>
  <si>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</si>
  <si>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</si>
  <si>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</si>
  <si>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</si>
  <si>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</si>
  <si>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</si>
  <si>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</si>
  <si>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</si>
  <si>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</si>
  <si>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</si>
  <si>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</si>
  <si>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</si>
  <si>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</si>
  <si>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</si>
  <si>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</si>
  <si>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</si>
  <si>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</si>
  <si>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</si>
  <si>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</si>
  <si>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</si>
  <si>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</si>
  <si>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</si>
  <si>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</si>
  <si>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</si>
  <si>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</si>
  <si>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</si>
  <si>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</si>
  <si>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</si>
  <si>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</si>
  <si>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</si>
  <si>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</si>
  <si>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</si>
  <si>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</si>
  <si>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</si>
  <si>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</si>
  <si>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</si>
  <si>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</si>
  <si>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</si>
  <si>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</si>
  <si>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</si>
  <si>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</si>
  <si>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</si>
  <si>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</si>
  <si>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</si>
  <si>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</si>
  <si>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</si>
  <si>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</si>
  <si>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</si>
  <si>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</si>
  <si>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</si>
  <si>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</si>
  <si>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</si>
  <si>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</si>
  <si>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</si>
  <si>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</si>
  <si>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</si>
  <si>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</si>
  <si>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</si>
  <si>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</si>
  <si>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</si>
  <si>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</si>
  <si>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</si>
  <si>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</si>
  <si>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</si>
  <si>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</si>
  <si>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</si>
  <si>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</si>
  <si>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</si>
  <si>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</si>
  <si>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</si>
  <si>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</si>
  <si>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</si>
  <si>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</si>
  <si>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</si>
  <si>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</si>
  <si>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</si>
  <si>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</si>
  <si>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</si>
  <si>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</si>
  <si>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</si>
  <si>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</si>
  <si>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</si>
  <si>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</si>
  <si>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</si>
  <si>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</si>
  <si>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</si>
  <si>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</si>
  <si>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</si>
  <si>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</si>
  <si>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</si>
  <si>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</si>
  <si>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</si>
  <si>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</si>
  <si>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</si>
  <si>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</si>
  <si>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</si>
  <si>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</si>
  <si>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</si>
  <si>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</si>
  <si>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</si>
  <si>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</si>
  <si>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</si>
  <si>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</si>
  <si>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</si>
  <si>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</si>
  <si>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</si>
  <si>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</si>
  <si>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</si>
  <si>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</si>
  <si>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</si>
  <si>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</si>
  <si>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</si>
  <si>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</si>
  <si>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</si>
  <si>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2-1-1302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</si>
  <si>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</si>
  <si>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</si>
  <si>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</si>
  <si>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</si>
  <si>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</si>
  <si>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</si>
  <si>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</si>
  <si>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</si>
  <si>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</si>
  <si>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</si>
  <si>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</si>
  <si>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</si>
  <si>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</si>
  <si>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</si>
  <si>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</si>
  <si>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</si>
  <si>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</si>
  <si>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</si>
  <si>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</si>
  <si>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</si>
  <si>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</si>
  <si>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</si>
  <si>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</si>
  <si>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</si>
  <si>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</si>
  <si>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</si>
  <si>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</si>
  <si>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</si>
  <si>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</si>
  <si>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</si>
  <si>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</si>
  <si>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</si>
  <si>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</si>
  <si>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</si>
  <si>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</si>
  <si>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</si>
  <si>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</si>
  <si>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</si>
  <si>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</si>
  <si>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</si>
  <si>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衡俊安、邢雨轩</t>
  </si>
  <si>
    <t>0000882</t>
  </si>
  <si>
    <t>2-2-103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</si>
  <si>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</si>
  <si>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</si>
  <si>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</si>
  <si>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</si>
  <si>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</si>
  <si>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</si>
  <si>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</si>
  <si>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</si>
  <si>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</si>
  <si>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</si>
  <si>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</si>
  <si>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</si>
  <si>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</si>
  <si>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</si>
  <si>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</si>
  <si>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</si>
  <si>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</si>
  <si>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</si>
  <si>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</si>
  <si>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</si>
  <si>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</si>
  <si>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</si>
  <si>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</si>
  <si>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</si>
  <si>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</si>
  <si>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</si>
  <si>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</si>
  <si>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</si>
  <si>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</si>
  <si>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</si>
  <si>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</si>
  <si>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</si>
  <si>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</si>
  <si>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</si>
  <si>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</si>
  <si>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</si>
  <si>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</si>
  <si>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</si>
  <si>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</si>
  <si>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</si>
  <si>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</si>
  <si>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</si>
  <si>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</si>
  <si>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</si>
  <si>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</si>
  <si>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</si>
  <si>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</si>
  <si>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</si>
  <si>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</si>
  <si>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</si>
  <si>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</si>
  <si>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</si>
  <si>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</si>
  <si>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</si>
  <si>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</si>
  <si>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</si>
  <si>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</si>
  <si>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</si>
  <si>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</si>
  <si>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</si>
  <si>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</si>
  <si>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</si>
  <si>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</si>
  <si>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</si>
  <si>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</si>
  <si>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</si>
  <si>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</si>
  <si>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</si>
  <si>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</si>
  <si>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</si>
  <si>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</si>
  <si>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</si>
  <si>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</si>
  <si>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</si>
  <si>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</si>
  <si>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</si>
  <si>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</si>
  <si>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</si>
  <si>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</si>
  <si>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</si>
  <si>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</si>
  <si>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</si>
  <si>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</si>
  <si>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</si>
  <si>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</si>
  <si>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</si>
  <si>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</si>
  <si>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</si>
  <si>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</si>
  <si>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</si>
  <si>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</si>
  <si>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</si>
  <si>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</si>
  <si>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</si>
  <si>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</si>
  <si>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</si>
  <si>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</si>
  <si>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</si>
  <si>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</si>
  <si>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</si>
  <si>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</si>
  <si>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</si>
  <si>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</si>
  <si>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</si>
  <si>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</si>
  <si>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622126199612191424</t>
  </si>
  <si>
    <t>祁婷</t>
  </si>
  <si>
    <t>0001010</t>
  </si>
  <si>
    <t>2-2-902</t>
  </si>
  <si>
    <t>610424199806050814</t>
  </si>
  <si>
    <t>高旭</t>
  </si>
  <si>
    <t>0001077</t>
  </si>
  <si>
    <t>2-2-903</t>
  </si>
  <si>
    <t>2024.2.3</t>
  </si>
  <si>
    <t>610125199809195533</t>
  </si>
  <si>
    <t>梁梦凡</t>
  </si>
  <si>
    <t>2-2-1001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</si>
  <si>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</si>
  <si>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</si>
  <si>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</si>
  <si>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</si>
  <si>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</si>
  <si>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</si>
  <si>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</si>
  <si>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</si>
  <si>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</si>
  <si>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</si>
  <si>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</si>
  <si>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</si>
  <si>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</si>
  <si>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房票0000118#
房票0000117#</t>
  </si>
  <si>
    <t>汉沙古力·依达也提
吐尔逊江·克依木</t>
  </si>
  <si>
    <t>2-2-1102</t>
  </si>
  <si>
    <t>2024.12.13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</si>
  <si>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</si>
  <si>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</si>
  <si>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</si>
  <si>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</si>
  <si>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</si>
  <si>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</si>
  <si>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</si>
  <si>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</si>
  <si>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</si>
  <si>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</si>
  <si>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2-2-1202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</si>
  <si>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</si>
  <si>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</si>
  <si>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</si>
  <si>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</si>
  <si>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</si>
  <si>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</si>
  <si>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</si>
  <si>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</si>
  <si>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</si>
  <si>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</si>
  <si>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</si>
  <si>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</si>
  <si>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</si>
  <si>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</si>
  <si>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</si>
  <si>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</si>
  <si>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</si>
  <si>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</si>
  <si>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</si>
  <si>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</si>
  <si>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</si>
  <si>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</si>
  <si>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</si>
  <si>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</si>
  <si>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</si>
  <si>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</si>
  <si>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</si>
  <si>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</si>
  <si>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</si>
  <si>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</si>
  <si>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</si>
  <si>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</si>
  <si>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</si>
  <si>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</si>
  <si>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</si>
  <si>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</si>
  <si>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</si>
  <si>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</si>
  <si>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</si>
  <si>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</si>
  <si>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</si>
  <si>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</si>
  <si>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</si>
  <si>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</si>
  <si>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</si>
  <si>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</si>
  <si>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</si>
  <si>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</si>
  <si>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</si>
  <si>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</si>
  <si>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</si>
  <si>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</si>
  <si>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</si>
  <si>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</si>
  <si>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</si>
  <si>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</si>
  <si>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</si>
  <si>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</si>
  <si>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</si>
  <si>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</si>
  <si>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</si>
  <si>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</si>
  <si>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</si>
  <si>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</si>
  <si>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</si>
  <si>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</si>
  <si>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</si>
  <si>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</si>
  <si>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</si>
  <si>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</si>
  <si>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</si>
  <si>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</si>
  <si>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</si>
  <si>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</si>
  <si>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</si>
  <si>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</si>
  <si>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</si>
  <si>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</si>
  <si>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</si>
  <si>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</si>
  <si>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</si>
  <si>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</si>
  <si>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</si>
  <si>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</si>
  <si>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</si>
  <si>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</si>
  <si>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</si>
  <si>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</si>
  <si>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</si>
  <si>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</si>
  <si>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</si>
  <si>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</si>
  <si>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</si>
  <si>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</si>
  <si>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</si>
  <si>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</si>
  <si>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</si>
  <si>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</si>
  <si>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</si>
  <si>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</si>
  <si>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</si>
  <si>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</si>
  <si>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</si>
  <si>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</si>
  <si>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</si>
  <si>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</si>
  <si>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</si>
  <si>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</si>
  <si>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</si>
  <si>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</si>
  <si>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</si>
  <si>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</si>
  <si>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</si>
  <si>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</si>
  <si>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</si>
  <si>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</si>
  <si>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</si>
  <si>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</si>
  <si>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</si>
  <si>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</si>
  <si>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</si>
  <si>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</si>
  <si>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</si>
  <si>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</si>
  <si>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</si>
  <si>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</si>
  <si>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</si>
  <si>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</si>
  <si>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</si>
  <si>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</si>
  <si>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</si>
  <si>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</si>
  <si>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</si>
  <si>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</si>
  <si>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</si>
  <si>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</si>
  <si>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</si>
  <si>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</si>
  <si>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</si>
  <si>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</si>
  <si>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</si>
  <si>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</si>
  <si>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</si>
  <si>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</si>
  <si>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</si>
  <si>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</si>
  <si>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</si>
  <si>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</si>
  <si>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</si>
  <si>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</si>
  <si>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</si>
  <si>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</si>
  <si>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</si>
  <si>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</si>
  <si>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</si>
  <si>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</si>
  <si>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</si>
  <si>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</si>
  <si>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</si>
  <si>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</si>
  <si>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</si>
  <si>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</si>
  <si>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</si>
  <si>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</si>
  <si>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</si>
  <si>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</si>
  <si>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</si>
  <si>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</si>
  <si>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</si>
  <si>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</si>
  <si>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</si>
  <si>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</si>
  <si>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</si>
  <si>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</si>
  <si>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</si>
  <si>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</si>
  <si>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</si>
  <si>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</si>
  <si>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</si>
  <si>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</si>
  <si>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</si>
  <si>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</si>
  <si>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</si>
  <si>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</si>
  <si>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</si>
  <si>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</si>
  <si>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</si>
  <si>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</si>
  <si>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</si>
  <si>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</si>
  <si>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</si>
  <si>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</si>
  <si>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</si>
  <si>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</si>
  <si>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</si>
  <si>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</si>
  <si>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</si>
  <si>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</si>
  <si>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</si>
  <si>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</si>
  <si>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</si>
  <si>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</si>
  <si>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</si>
  <si>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</si>
  <si>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</si>
  <si>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</si>
  <si>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</si>
  <si>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</si>
  <si>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</si>
  <si>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</si>
  <si>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</si>
  <si>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</si>
  <si>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</si>
  <si>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</si>
  <si>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</si>
  <si>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</si>
  <si>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</si>
  <si>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</si>
  <si>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3-1-201</t>
  </si>
  <si>
    <t>2024.12.6</t>
  </si>
  <si>
    <t>15002844835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</si>
  <si>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</si>
  <si>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</si>
  <si>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</si>
  <si>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</si>
  <si>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</si>
  <si>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</si>
  <si>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</si>
  <si>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</si>
  <si>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</si>
  <si>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</si>
  <si>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</si>
  <si>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</si>
  <si>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</si>
  <si>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</si>
  <si>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</si>
  <si>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</si>
  <si>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</si>
  <si>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</si>
  <si>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</si>
  <si>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</si>
  <si>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</si>
  <si>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</si>
  <si>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</si>
  <si>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</si>
  <si>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</si>
  <si>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</si>
  <si>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</si>
  <si>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</si>
  <si>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</si>
  <si>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</si>
  <si>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</si>
  <si>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</si>
  <si>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</si>
  <si>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</si>
  <si>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</si>
  <si>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</si>
  <si>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</si>
  <si>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</si>
  <si>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</si>
  <si>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</si>
  <si>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</si>
  <si>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</si>
  <si>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</si>
  <si>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</si>
  <si>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</si>
  <si>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</si>
  <si>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</si>
  <si>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</si>
  <si>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</si>
  <si>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</si>
  <si>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</si>
  <si>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</si>
  <si>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</si>
  <si>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</si>
  <si>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</si>
  <si>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</si>
  <si>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</si>
  <si>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</si>
  <si>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</si>
  <si>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</si>
  <si>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</si>
  <si>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</si>
  <si>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</si>
  <si>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</si>
  <si>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</si>
  <si>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</si>
  <si>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</si>
  <si>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</si>
  <si>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</si>
  <si>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</si>
  <si>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</si>
  <si>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</si>
  <si>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</si>
  <si>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</si>
  <si>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</si>
  <si>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</si>
  <si>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</si>
  <si>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</si>
  <si>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</si>
  <si>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</si>
  <si>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</si>
  <si>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</si>
  <si>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</si>
  <si>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</si>
  <si>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</si>
  <si>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</si>
  <si>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</si>
  <si>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</si>
  <si>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</si>
  <si>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</si>
  <si>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</si>
  <si>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</si>
  <si>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</si>
  <si>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</si>
  <si>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0001011</t>
  </si>
  <si>
    <t>3-1-1002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</si>
  <si>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</si>
  <si>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</si>
  <si>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</si>
  <si>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</si>
  <si>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</si>
  <si>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</si>
  <si>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</si>
  <si>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</si>
  <si>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</si>
  <si>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</si>
  <si>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</si>
  <si>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</si>
  <si>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652824197107041136</t>
  </si>
  <si>
    <t>陈建军</t>
  </si>
  <si>
    <t>0000735</t>
  </si>
  <si>
    <t>3-2-102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</si>
  <si>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</si>
  <si>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</si>
  <si>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</si>
  <si>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</si>
  <si>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</si>
  <si>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</si>
  <si>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</si>
  <si>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</si>
  <si>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</si>
  <si>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</si>
  <si>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</si>
  <si>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</si>
  <si>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</si>
  <si>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</si>
  <si>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</si>
  <si>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</si>
  <si>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</si>
  <si>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</si>
  <si>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</si>
  <si>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</si>
  <si>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</si>
  <si>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</si>
  <si>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</si>
  <si>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</si>
  <si>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</si>
  <si>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</si>
  <si>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</si>
  <si>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</si>
  <si>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</si>
  <si>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</si>
  <si>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</si>
  <si>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</si>
  <si>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</si>
  <si>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</si>
  <si>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</si>
  <si>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</si>
  <si>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</si>
  <si>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</si>
  <si>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</si>
  <si>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</si>
  <si>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</si>
  <si>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</si>
  <si>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</si>
  <si>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</si>
  <si>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</si>
  <si>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</si>
  <si>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</si>
  <si>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</si>
  <si>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</si>
  <si>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</si>
  <si>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</si>
  <si>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</si>
  <si>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</si>
  <si>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</si>
  <si>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</si>
  <si>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</si>
  <si>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</si>
  <si>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</si>
  <si>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</si>
  <si>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</si>
  <si>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</si>
  <si>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</si>
  <si>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</si>
  <si>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</si>
  <si>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</si>
  <si>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</si>
  <si>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</si>
  <si>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</si>
  <si>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</si>
  <si>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</si>
  <si>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</si>
  <si>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</si>
  <si>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</si>
  <si>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</si>
  <si>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</si>
  <si>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</si>
  <si>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</si>
  <si>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</si>
  <si>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</si>
  <si>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</si>
  <si>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</si>
  <si>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</si>
  <si>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</si>
  <si>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</si>
  <si>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</si>
  <si>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</si>
  <si>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</si>
  <si>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</si>
  <si>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</si>
  <si>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</si>
  <si>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</si>
  <si>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</si>
  <si>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</si>
  <si>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</si>
  <si>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</si>
  <si>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</si>
  <si>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</si>
  <si>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</si>
  <si>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</si>
  <si>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</si>
  <si>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</si>
  <si>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</si>
  <si>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</si>
  <si>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</si>
  <si>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</si>
  <si>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</si>
  <si>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</si>
  <si>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</si>
  <si>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</si>
  <si>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</si>
  <si>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</si>
  <si>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</si>
  <si>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</si>
  <si>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</si>
  <si>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</si>
  <si>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</si>
  <si>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</si>
  <si>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</si>
  <si>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</si>
  <si>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</si>
  <si>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</si>
  <si>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</si>
  <si>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</si>
  <si>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</si>
  <si>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</si>
  <si>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</si>
  <si>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</si>
  <si>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</si>
  <si>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</si>
  <si>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</si>
  <si>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</si>
  <si>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</si>
  <si>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</si>
  <si>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</si>
  <si>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</si>
  <si>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</si>
  <si>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</si>
  <si>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</si>
  <si>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</si>
  <si>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</si>
  <si>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</si>
  <si>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</si>
  <si>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</si>
  <si>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</si>
  <si>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</si>
  <si>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</si>
  <si>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</si>
  <si>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</si>
  <si>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</si>
  <si>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</si>
  <si>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</si>
  <si>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</si>
  <si>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</si>
  <si>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</si>
  <si>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</si>
  <si>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</si>
  <si>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</si>
  <si>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</si>
  <si>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</si>
  <si>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</si>
  <si>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</si>
  <si>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</si>
  <si>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</si>
  <si>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</si>
  <si>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</si>
  <si>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</si>
  <si>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</si>
  <si>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</si>
  <si>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</si>
  <si>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</si>
  <si>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</si>
  <si>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</si>
  <si>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</si>
  <si>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</si>
  <si>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</si>
  <si>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</si>
  <si>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</si>
  <si>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</si>
  <si>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</si>
  <si>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</si>
  <si>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</si>
  <si>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</si>
  <si>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</si>
  <si>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</si>
  <si>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</si>
  <si>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</si>
  <si>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</si>
  <si>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</si>
  <si>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</si>
  <si>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</si>
  <si>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</si>
  <si>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</si>
  <si>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</si>
  <si>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</si>
  <si>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</si>
  <si>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</si>
  <si>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</si>
  <si>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</si>
  <si>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</si>
  <si>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</si>
  <si>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</si>
  <si>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</si>
  <si>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</si>
  <si>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</si>
  <si>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</si>
  <si>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</si>
  <si>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</si>
  <si>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</si>
  <si>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</si>
  <si>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</si>
  <si>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</si>
  <si>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</si>
  <si>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</si>
  <si>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</si>
  <si>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</si>
  <si>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</si>
  <si>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</si>
  <si>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</si>
  <si>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</si>
  <si>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</si>
  <si>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</si>
  <si>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3-3-1102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</si>
  <si>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</si>
  <si>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</si>
  <si>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</si>
  <si>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</si>
  <si>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</si>
  <si>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</si>
  <si>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</si>
  <si>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</si>
  <si>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</si>
  <si>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</si>
  <si>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</si>
  <si>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</si>
  <si>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</si>
  <si>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</si>
  <si>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</si>
  <si>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</si>
  <si>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</si>
  <si>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</si>
  <si>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</si>
  <si>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</si>
  <si>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</si>
  <si>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</si>
  <si>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</si>
  <si>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</si>
  <si>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</si>
  <si>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</si>
  <si>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</si>
  <si>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</si>
  <si>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</si>
  <si>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</si>
  <si>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</si>
  <si>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</si>
  <si>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0000723</t>
  </si>
  <si>
    <t>5-1-201</t>
  </si>
  <si>
    <t>15276663303</t>
  </si>
  <si>
    <t>钱欢丽</t>
  </si>
  <si>
    <t>5-1-202</t>
  </si>
  <si>
    <t>安尼娃
马小岚 退</t>
  </si>
  <si>
    <t>5-1-301</t>
  </si>
  <si>
    <t>肖陶丽
连阵阵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</si>
  <si>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</si>
  <si>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</si>
  <si>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</si>
  <si>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</si>
  <si>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</si>
  <si>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</si>
  <si>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</si>
  <si>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</si>
  <si>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</si>
  <si>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</si>
  <si>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</si>
  <si>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</si>
  <si>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</si>
  <si>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</si>
  <si>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</si>
  <si>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</si>
  <si>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</si>
  <si>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</si>
  <si>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</si>
  <si>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</si>
  <si>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</si>
  <si>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</si>
  <si>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</si>
  <si>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</si>
  <si>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</si>
  <si>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</si>
  <si>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</si>
  <si>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</si>
  <si>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</si>
  <si>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</si>
  <si>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</si>
  <si>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</si>
  <si>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</si>
  <si>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</si>
  <si>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</si>
  <si>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</si>
  <si>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</si>
  <si>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</si>
  <si>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</si>
  <si>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</si>
  <si>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</si>
  <si>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</si>
  <si>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</si>
  <si>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</si>
  <si>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</si>
  <si>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</si>
  <si>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</si>
  <si>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</si>
  <si>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</si>
  <si>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0000565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</si>
  <si>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</si>
  <si>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</si>
  <si>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</si>
  <si>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</si>
  <si>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</si>
  <si>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</si>
  <si>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</si>
  <si>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</si>
  <si>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</si>
  <si>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</si>
  <si>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</si>
  <si>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</si>
  <si>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</si>
  <si>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</si>
  <si>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</si>
  <si>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</si>
  <si>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</si>
  <si>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</si>
  <si>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</si>
  <si>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</si>
  <si>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</si>
  <si>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</si>
  <si>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</si>
  <si>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</si>
  <si>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</si>
  <si>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</si>
  <si>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</si>
  <si>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</si>
  <si>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</si>
  <si>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</si>
  <si>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</si>
  <si>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</si>
  <si>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</si>
  <si>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</si>
  <si>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</si>
  <si>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</si>
  <si>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</si>
  <si>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</si>
  <si>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</si>
  <si>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</si>
  <si>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</si>
  <si>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杨丽丽 退</t>
  </si>
  <si>
    <t>5-1-1102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</si>
  <si>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</si>
  <si>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</si>
  <si>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</si>
  <si>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</si>
  <si>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</si>
  <si>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</si>
  <si>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</si>
  <si>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</si>
  <si>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</si>
  <si>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</si>
  <si>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5-2-201</t>
  </si>
  <si>
    <t>17590023693</t>
  </si>
  <si>
    <t>5-2-202</t>
  </si>
  <si>
    <t>622323198912053434</t>
  </si>
  <si>
    <t>姚国瑾</t>
  </si>
  <si>
    <t>0000615</t>
  </si>
  <si>
    <t>5-2-301</t>
  </si>
  <si>
    <t>15899033249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</si>
  <si>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</si>
  <si>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</si>
  <si>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</si>
  <si>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</si>
  <si>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</si>
  <si>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</si>
  <si>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</si>
  <si>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</si>
  <si>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</si>
  <si>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</si>
  <si>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</si>
  <si>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</si>
  <si>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</si>
  <si>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</si>
  <si>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</si>
  <si>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</si>
  <si>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</si>
  <si>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</si>
  <si>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</si>
  <si>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</si>
  <si>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</si>
  <si>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</si>
  <si>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</si>
  <si>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</si>
  <si>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</si>
  <si>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</si>
  <si>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</si>
  <si>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</si>
  <si>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</si>
  <si>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</si>
  <si>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</si>
  <si>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</si>
  <si>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</si>
  <si>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</si>
  <si>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</si>
  <si>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</si>
  <si>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</si>
  <si>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</si>
  <si>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</si>
  <si>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</si>
  <si>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</si>
  <si>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</si>
  <si>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</si>
  <si>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</si>
  <si>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</si>
  <si>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</si>
  <si>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</si>
  <si>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</si>
  <si>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</si>
  <si>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</si>
  <si>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</si>
  <si>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</si>
  <si>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</si>
  <si>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</si>
  <si>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</si>
  <si>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</si>
  <si>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</si>
  <si>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</si>
  <si>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</si>
  <si>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</si>
  <si>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</si>
  <si>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</si>
  <si>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</si>
  <si>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</si>
  <si>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</si>
  <si>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</si>
  <si>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</si>
  <si>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</si>
  <si>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</si>
  <si>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</si>
  <si>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</si>
  <si>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</si>
  <si>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</si>
  <si>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</si>
  <si>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</si>
  <si>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</si>
  <si>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</si>
  <si>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</si>
  <si>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0000915</t>
  </si>
  <si>
    <t>5-2-1002</t>
  </si>
  <si>
    <t>18709966520</t>
  </si>
  <si>
    <t>5-2-1101</t>
  </si>
  <si>
    <t>652801197301272224</t>
  </si>
  <si>
    <t>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</si>
  <si>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</si>
  <si>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</si>
  <si>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</si>
  <si>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</si>
  <si>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</si>
  <si>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</si>
  <si>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</si>
  <si>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</si>
  <si>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</si>
  <si>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</si>
  <si>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</si>
  <si>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</si>
  <si>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</si>
  <si>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</si>
  <si>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</si>
  <si>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</si>
  <si>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</si>
  <si>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</si>
  <si>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</si>
  <si>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</si>
  <si>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</si>
  <si>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</si>
  <si>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652325199503150025</t>
  </si>
  <si>
    <t>哈提帕·阿合米提</t>
  </si>
  <si>
    <t>0000973</t>
  </si>
  <si>
    <t>7-1-201</t>
  </si>
  <si>
    <t>19309960025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</si>
  <si>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</si>
  <si>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</si>
  <si>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</si>
  <si>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</si>
  <si>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</si>
  <si>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</si>
  <si>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</si>
  <si>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</si>
  <si>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</si>
  <si>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</si>
  <si>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</si>
  <si>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</si>
  <si>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</si>
  <si>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</si>
  <si>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</si>
  <si>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</si>
  <si>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</si>
  <si>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</si>
  <si>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</si>
  <si>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</si>
  <si>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</si>
  <si>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</si>
  <si>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</si>
  <si>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</si>
  <si>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</si>
  <si>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</si>
  <si>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</si>
  <si>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</si>
  <si>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</si>
  <si>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</si>
  <si>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</si>
  <si>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</si>
  <si>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</si>
  <si>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</si>
  <si>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</si>
  <si>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</si>
  <si>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</si>
  <si>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</si>
  <si>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</si>
  <si>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</si>
  <si>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</si>
  <si>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</si>
  <si>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</si>
  <si>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</si>
  <si>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</si>
  <si>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</si>
  <si>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</si>
  <si>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</si>
  <si>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</si>
  <si>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</si>
  <si>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</si>
  <si>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</si>
  <si>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</si>
  <si>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</si>
  <si>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</si>
  <si>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</si>
  <si>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</si>
  <si>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</si>
  <si>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</si>
  <si>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</si>
  <si>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</si>
  <si>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</si>
  <si>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</si>
  <si>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</si>
  <si>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</si>
  <si>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</si>
  <si>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</si>
  <si>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</si>
  <si>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</si>
  <si>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</si>
  <si>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</si>
  <si>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</si>
  <si>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</si>
  <si>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</si>
  <si>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</si>
  <si>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</si>
  <si>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</si>
  <si>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</si>
  <si>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</si>
  <si>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</si>
  <si>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</si>
  <si>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</si>
  <si>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</si>
  <si>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</si>
  <si>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</si>
  <si>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</si>
  <si>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</si>
  <si>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</si>
  <si>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</si>
  <si>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</si>
  <si>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</si>
  <si>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</si>
  <si>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</si>
  <si>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</si>
  <si>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</si>
  <si>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</si>
  <si>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</si>
  <si>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</si>
  <si>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</si>
  <si>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</si>
  <si>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</si>
  <si>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</si>
  <si>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</si>
  <si>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</si>
  <si>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</si>
  <si>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</si>
  <si>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</si>
  <si>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</si>
  <si>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</si>
  <si>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</si>
  <si>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</si>
  <si>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</si>
  <si>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</si>
  <si>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</si>
  <si>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</si>
  <si>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</si>
  <si>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</si>
  <si>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</si>
  <si>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</si>
  <si>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</si>
  <si>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</si>
  <si>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</si>
  <si>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</si>
  <si>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</si>
  <si>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</si>
  <si>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7-2-201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</si>
  <si>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</si>
  <si>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</si>
  <si>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</si>
  <si>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</si>
  <si>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</si>
  <si>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</si>
  <si>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</si>
  <si>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</si>
  <si>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</si>
  <si>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</si>
  <si>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</si>
  <si>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</si>
  <si>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</si>
  <si>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</si>
  <si>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</si>
  <si>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</si>
  <si>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</si>
  <si>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</si>
  <si>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</si>
  <si>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</si>
  <si>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0000923</t>
  </si>
  <si>
    <t>7-2-402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</si>
  <si>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</si>
  <si>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</si>
  <si>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</si>
  <si>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</si>
  <si>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</si>
  <si>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</si>
  <si>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</si>
  <si>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</si>
  <si>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</si>
  <si>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</si>
  <si>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</si>
  <si>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</si>
  <si>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</si>
  <si>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</si>
  <si>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</si>
  <si>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</si>
  <si>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</si>
  <si>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</si>
  <si>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</si>
  <si>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</si>
  <si>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</si>
  <si>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</si>
  <si>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</si>
  <si>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</si>
  <si>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</si>
  <si>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</si>
  <si>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</si>
  <si>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</si>
  <si>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</si>
  <si>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</si>
  <si>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</si>
  <si>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</si>
  <si>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</si>
  <si>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</si>
  <si>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</si>
  <si>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</si>
  <si>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</si>
  <si>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</si>
  <si>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</si>
  <si>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</si>
  <si>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</si>
  <si>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</si>
  <si>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</si>
  <si>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</si>
  <si>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</si>
  <si>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</si>
  <si>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</si>
  <si>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</si>
  <si>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</si>
  <si>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</si>
  <si>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</si>
  <si>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</si>
  <si>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</si>
  <si>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</si>
  <si>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</si>
  <si>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</si>
  <si>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</si>
  <si>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</si>
  <si>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</si>
  <si>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</si>
  <si>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</si>
  <si>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</si>
  <si>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</si>
  <si>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</si>
  <si>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</si>
  <si>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</si>
  <si>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</si>
  <si>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</si>
  <si>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</si>
  <si>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</si>
  <si>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</si>
  <si>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652801198701241114</t>
  </si>
  <si>
    <t>肖萧</t>
  </si>
  <si>
    <t>0001000</t>
  </si>
  <si>
    <t>7-2-1101</t>
  </si>
  <si>
    <t>18139095557</t>
  </si>
  <si>
    <t>62272719860616351X</t>
  </si>
  <si>
    <t>贾龙</t>
  </si>
  <si>
    <t>0000554</t>
  </si>
  <si>
    <t>7-2-1102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</si>
  <si>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</si>
  <si>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</si>
  <si>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</si>
  <si>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</si>
  <si>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</si>
  <si>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</si>
  <si>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</si>
  <si>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</si>
  <si>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</si>
  <si>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</si>
  <si>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</si>
  <si>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</si>
  <si>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</si>
  <si>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</si>
  <si>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</si>
  <si>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</si>
  <si>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</si>
  <si>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</si>
  <si>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</si>
  <si>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</si>
  <si>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</si>
  <si>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</si>
  <si>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</si>
  <si>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</si>
  <si>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</si>
  <si>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</si>
  <si>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</si>
  <si>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</si>
  <si>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</si>
  <si>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</si>
  <si>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</si>
  <si>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</si>
  <si>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</si>
  <si>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</si>
  <si>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</si>
  <si>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</si>
  <si>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</si>
  <si>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0000962</t>
  </si>
  <si>
    <t>8-1-201</t>
  </si>
  <si>
    <t>2024.11.10</t>
  </si>
  <si>
    <t>0000961</t>
  </si>
  <si>
    <t>8-1-202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</si>
  <si>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</si>
  <si>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</si>
  <si>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</si>
  <si>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</si>
  <si>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</si>
  <si>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</si>
  <si>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</si>
  <si>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8-1-401</t>
  </si>
  <si>
    <t>211282199906013016</t>
  </si>
  <si>
    <t>钟正</t>
  </si>
  <si>
    <t>0000868</t>
  </si>
  <si>
    <t>8-1-402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</si>
  <si>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</si>
  <si>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</si>
  <si>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</si>
  <si>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</si>
  <si>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</si>
  <si>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</si>
  <si>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</si>
  <si>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</si>
  <si>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</si>
  <si>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</si>
  <si>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</si>
  <si>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</si>
  <si>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</si>
  <si>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</si>
  <si>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</si>
  <si>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</si>
  <si>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</si>
  <si>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8-1-702</t>
  </si>
  <si>
    <t>无家装、有车位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</si>
  <si>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</si>
  <si>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</si>
  <si>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</si>
  <si>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</si>
  <si>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</si>
  <si>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</si>
  <si>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</si>
  <si>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</si>
  <si>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</si>
  <si>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</si>
  <si>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</si>
  <si>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</si>
  <si>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</si>
  <si>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</si>
  <si>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</si>
  <si>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</si>
  <si>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</si>
  <si>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</si>
  <si>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</si>
  <si>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</si>
  <si>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</si>
  <si>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</si>
  <si>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</si>
  <si>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</si>
  <si>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0000559</t>
  </si>
  <si>
    <t>8-1-1101</t>
  </si>
  <si>
    <t>8-1-1102</t>
  </si>
  <si>
    <t>8-2-101</t>
  </si>
  <si>
    <t>何自将</t>
  </si>
  <si>
    <t>0000724</t>
  </si>
  <si>
    <t>8-2-102</t>
  </si>
  <si>
    <t>8-2-201</t>
  </si>
  <si>
    <t>8-2-202</t>
  </si>
  <si>
    <t>652801197309194523</t>
  </si>
  <si>
    <t>屈淑红 退</t>
  </si>
  <si>
    <t>0000927</t>
  </si>
  <si>
    <t>8-2-301</t>
  </si>
  <si>
    <t>8-2-302</t>
  </si>
  <si>
    <t>送冰箱</t>
  </si>
  <si>
    <t>0000996</t>
  </si>
  <si>
    <t>8-2-401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</si>
  <si>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</si>
  <si>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</si>
  <si>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</si>
  <si>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</si>
  <si>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</si>
  <si>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</si>
  <si>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</si>
  <si>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</si>
  <si>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</si>
  <si>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</si>
  <si>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</si>
  <si>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8-2-601</t>
  </si>
  <si>
    <t>2024-9-10
2024.12.16</t>
  </si>
  <si>
    <t>8-2-602</t>
  </si>
  <si>
    <t>2024.7.17</t>
  </si>
  <si>
    <t>不要车位无家装送冰箱</t>
  </si>
  <si>
    <t>8-2-701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</si>
  <si>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</si>
  <si>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</si>
  <si>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</si>
  <si>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</si>
  <si>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</si>
  <si>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</si>
  <si>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</si>
  <si>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320321198210303026</t>
  </si>
  <si>
    <t>刘美丽</t>
  </si>
  <si>
    <t>0000698</t>
  </si>
  <si>
    <t>8-2-802</t>
  </si>
  <si>
    <t>8-2-901</t>
  </si>
  <si>
    <t>0000926</t>
  </si>
  <si>
    <t>8-2-902</t>
  </si>
  <si>
    <t>622323200009247216</t>
  </si>
  <si>
    <t>马海平</t>
  </si>
  <si>
    <t>0000978</t>
  </si>
  <si>
    <t>8-2-1001</t>
  </si>
  <si>
    <t>0001007</t>
  </si>
  <si>
    <t>8-2-1002</t>
  </si>
  <si>
    <t>8-2-1101</t>
  </si>
  <si>
    <t>8-2-1102</t>
  </si>
  <si>
    <t>8-3-101</t>
  </si>
  <si>
    <t>8-3-102</t>
  </si>
  <si>
    <t>8-3-201</t>
  </si>
  <si>
    <t>8-3-202</t>
  </si>
  <si>
    <t>0000736</t>
  </si>
  <si>
    <t>8-3-301</t>
  </si>
  <si>
    <t>1年物业费</t>
  </si>
  <si>
    <t>8-3-302</t>
  </si>
  <si>
    <t>8-3-401</t>
  </si>
  <si>
    <t>8-3-402</t>
  </si>
  <si>
    <t>0000904</t>
  </si>
  <si>
    <t>8-3-501</t>
  </si>
  <si>
    <t>无家装送冰箱</t>
  </si>
  <si>
    <t>8-3-502</t>
  </si>
  <si>
    <t>0000745</t>
  </si>
  <si>
    <t>8-3-601</t>
  </si>
  <si>
    <t>0000728</t>
  </si>
  <si>
    <t>8-3-602</t>
  </si>
  <si>
    <t>8-3-701</t>
  </si>
  <si>
    <t>0001009</t>
  </si>
  <si>
    <t>8-3-702</t>
  </si>
  <si>
    <t>8-3-801</t>
  </si>
  <si>
    <t>659001199007203625</t>
  </si>
  <si>
    <t>李欣宴</t>
  </si>
  <si>
    <t>0001004</t>
  </si>
  <si>
    <t>8-3-802</t>
  </si>
  <si>
    <t>8-3-901</t>
  </si>
  <si>
    <t>8-3-902</t>
  </si>
  <si>
    <t>8-3-1001</t>
  </si>
  <si>
    <t>8-3-1002</t>
  </si>
  <si>
    <t>652827198805261615</t>
  </si>
  <si>
    <t>李龙</t>
  </si>
  <si>
    <t>0001005</t>
  </si>
  <si>
    <t>8-3-1101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</si>
  <si>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</si>
  <si>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</si>
  <si>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</si>
  <si>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</si>
  <si>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</si>
  <si>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</si>
  <si>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</si>
  <si>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</si>
  <si>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</si>
  <si>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</si>
  <si>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</si>
  <si>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</si>
  <si>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</si>
  <si>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</si>
  <si>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</si>
  <si>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</si>
  <si>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</si>
  <si>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</si>
  <si>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</si>
  <si>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</si>
  <si>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</si>
  <si>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</si>
  <si>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</si>
  <si>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</si>
  <si>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</si>
  <si>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</si>
  <si>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</si>
  <si>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4-1-402</t>
  </si>
  <si>
    <t>4-1-501</t>
  </si>
  <si>
    <t>4-1-502</t>
  </si>
  <si>
    <t>0000733</t>
  </si>
  <si>
    <t>4-1-601</t>
  </si>
  <si>
    <t>15000商业抵用券</t>
  </si>
  <si>
    <t>4-1-602</t>
  </si>
  <si>
    <t>4-1-701</t>
  </si>
  <si>
    <t>2024.10.6</t>
  </si>
  <si>
    <t>4-1-702</t>
  </si>
  <si>
    <t>4-1-801</t>
  </si>
  <si>
    <t>4-1-802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</si>
  <si>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</si>
  <si>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</si>
  <si>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</si>
  <si>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</si>
  <si>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</si>
  <si>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</si>
  <si>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</si>
  <si>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</si>
  <si>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</si>
  <si>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</si>
  <si>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</si>
  <si>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</si>
  <si>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</si>
  <si>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</si>
  <si>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4-2-501</t>
  </si>
  <si>
    <t>4-2-502</t>
  </si>
  <si>
    <t>4-2-601</t>
  </si>
  <si>
    <t>4-2-602</t>
  </si>
  <si>
    <t>652823200008053316</t>
  </si>
  <si>
    <t>袁宇龙</t>
  </si>
  <si>
    <t>0000970</t>
  </si>
  <si>
    <t>4-2-701</t>
  </si>
  <si>
    <t>4-2-702</t>
  </si>
  <si>
    <t>4-2-801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</si>
  <si>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</si>
  <si>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</si>
  <si>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</si>
  <si>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</si>
  <si>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</si>
  <si>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</si>
  <si>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</si>
  <si>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</si>
  <si>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</si>
  <si>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</si>
  <si>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</si>
  <si>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</si>
  <si>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</si>
  <si>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</si>
  <si>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</si>
  <si>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</si>
  <si>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</si>
  <si>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</si>
  <si>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</si>
  <si>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</si>
  <si>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</si>
  <si>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</si>
  <si>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</si>
  <si>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</si>
  <si>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</si>
  <si>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</si>
  <si>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</si>
  <si>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</si>
  <si>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</si>
  <si>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</si>
  <si>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</si>
  <si>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</si>
  <si>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</si>
  <si>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</si>
  <si>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</si>
  <si>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</si>
  <si>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</si>
  <si>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</si>
  <si>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</si>
  <si>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</si>
  <si>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</si>
  <si>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</si>
  <si>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</si>
  <si>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</si>
  <si>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</si>
  <si>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</si>
  <si>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</si>
  <si>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</si>
  <si>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</si>
  <si>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</si>
  <si>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</si>
  <si>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</si>
  <si>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</si>
  <si>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</si>
  <si>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</si>
  <si>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</si>
  <si>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</si>
  <si>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</si>
  <si>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</si>
  <si>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</si>
  <si>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</si>
  <si>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</si>
  <si>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</si>
  <si>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</si>
  <si>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6-1-902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</si>
  <si>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</si>
  <si>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</si>
  <si>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</si>
  <si>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</si>
  <si>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</si>
  <si>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</si>
  <si>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</si>
  <si>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</si>
  <si>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6-2-301</t>
  </si>
  <si>
    <t>622425199711117019</t>
  </si>
  <si>
    <t>马宏伟</t>
  </si>
  <si>
    <t>6-2-302</t>
  </si>
  <si>
    <t>6-2-401</t>
  </si>
  <si>
    <t>6-2-402</t>
  </si>
  <si>
    <t>高彬 退</t>
  </si>
  <si>
    <t>6-2-501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</si>
  <si>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</si>
  <si>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</si>
  <si>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</si>
  <si>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</si>
  <si>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</si>
  <si>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</si>
  <si>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</si>
  <si>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</si>
  <si>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要车位</t>
  </si>
  <si>
    <t>6-2-602</t>
  </si>
  <si>
    <t>0000968</t>
  </si>
  <si>
    <t>6-2-701</t>
  </si>
  <si>
    <t>2024.12.8</t>
  </si>
  <si>
    <t>6-2-702</t>
  </si>
  <si>
    <t>6-2-801</t>
  </si>
  <si>
    <t>6-2-802</t>
  </si>
  <si>
    <t>6-2-901</t>
  </si>
  <si>
    <t>6-2-902</t>
  </si>
  <si>
    <t>6-2-1001</t>
  </si>
  <si>
    <t>6-2-1002</t>
  </si>
  <si>
    <t>6-2-1101</t>
  </si>
  <si>
    <t>6-2-1102</t>
  </si>
  <si>
    <t>王磊</t>
  </si>
  <si>
    <t>6-3-101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</si>
  <si>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</si>
  <si>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</si>
  <si>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</si>
  <si>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</si>
  <si>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</si>
  <si>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</si>
  <si>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</si>
  <si>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</si>
  <si>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</si>
  <si>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6-3-601</t>
  </si>
  <si>
    <t>6-3-602</t>
  </si>
  <si>
    <t>6-3-701</t>
  </si>
  <si>
    <t>6-3-702</t>
  </si>
  <si>
    <t>6-3-801</t>
  </si>
  <si>
    <t>6-3-802</t>
  </si>
  <si>
    <t>0000999</t>
  </si>
  <si>
    <t>6-3-901</t>
  </si>
  <si>
    <t>6-3-902</t>
  </si>
  <si>
    <t>6-3-1001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</si>
  <si>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</si>
  <si>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</si>
  <si>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</si>
  <si>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</si>
  <si>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</si>
  <si>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</si>
  <si>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16#19#楼住宅销售明细表 </t>
  </si>
  <si>
    <t>16-1层01</t>
  </si>
  <si>
    <t>0000240</t>
  </si>
  <si>
    <t>郭莉莉
李玲 退</t>
  </si>
  <si>
    <t>16-1层02</t>
  </si>
  <si>
    <t>霍红霞
米云鹤</t>
  </si>
  <si>
    <t>16-1层03</t>
  </si>
  <si>
    <t>陈国超 退</t>
  </si>
  <si>
    <t>16-1层04</t>
  </si>
  <si>
    <t>16-1层05</t>
  </si>
  <si>
    <t>薛勇 退</t>
  </si>
  <si>
    <t>16-1层06</t>
  </si>
  <si>
    <t>0000242</t>
  </si>
  <si>
    <t>2024.10.7</t>
  </si>
  <si>
    <t>吴玉伟</t>
  </si>
  <si>
    <t>16-1层07</t>
  </si>
  <si>
    <t>16-1层08</t>
  </si>
  <si>
    <t>16-1层09</t>
  </si>
  <si>
    <t>16-1层10</t>
  </si>
  <si>
    <t>公厕</t>
  </si>
  <si>
    <t>16-1层11</t>
  </si>
  <si>
    <t>16-1层12</t>
  </si>
  <si>
    <t>16-1层13</t>
  </si>
  <si>
    <t>16-1层14</t>
  </si>
  <si>
    <t>16-1层15</t>
  </si>
  <si>
    <t>16-1层16</t>
  </si>
  <si>
    <t>黄艾琳、阳君11.30
（韩双曼 退）</t>
  </si>
  <si>
    <t>16-1层17</t>
  </si>
  <si>
    <t>米云鹤 
连阵阵</t>
  </si>
  <si>
    <t>黄艾琳、阳君11.30
（郭亚坤 退）</t>
  </si>
  <si>
    <t>16-1层18</t>
  </si>
  <si>
    <t>16-2层01</t>
  </si>
  <si>
    <t>16-2层02</t>
  </si>
  <si>
    <t>16-2层03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</si>
  <si>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</si>
  <si>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</si>
  <si>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</si>
  <si>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</si>
  <si>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</si>
  <si>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</si>
  <si>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</si>
  <si>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</si>
  <si>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</si>
  <si>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16-2层13</t>
  </si>
  <si>
    <t>16-2层14</t>
  </si>
  <si>
    <t>16-2层15</t>
  </si>
  <si>
    <t>16-2层16</t>
  </si>
  <si>
    <t>16-2层17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</si>
  <si>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</si>
  <si>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</si>
  <si>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</si>
  <si>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</si>
  <si>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</si>
  <si>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</si>
  <si>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</si>
  <si>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</si>
  <si>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</si>
  <si>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</si>
  <si>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</si>
  <si>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</si>
  <si>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</si>
  <si>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</si>
  <si>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</si>
  <si>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</si>
  <si>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</si>
  <si>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</si>
  <si>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</si>
  <si>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</si>
  <si>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</si>
  <si>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</si>
  <si>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</si>
  <si>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</si>
  <si>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</si>
  <si>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</si>
  <si>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19-2层01</t>
  </si>
  <si>
    <t>19-2层02</t>
  </si>
  <si>
    <t>19-2层03</t>
  </si>
  <si>
    <t>19-2层04</t>
  </si>
  <si>
    <t>预约金</t>
  </si>
  <si>
    <t>收19-1层19 张芸绮 购房款(诚意金排号费转房款)
收16-1层17 黄艾琳 购房款(诚意金排号费转房款)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</si>
  <si>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</si>
  <si>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</si>
  <si>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</si>
  <si>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</si>
  <si>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</si>
  <si>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</si>
  <si>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</si>
  <si>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</si>
  <si>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</si>
  <si>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</si>
  <si>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</si>
  <si>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</si>
  <si>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</si>
  <si>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</si>
  <si>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</si>
  <si>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</si>
  <si>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</si>
  <si>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</si>
  <si>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</si>
  <si>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</si>
  <si>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</si>
  <si>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刘桂芝、陈浩</t>
  </si>
  <si>
    <t>张梦圆、张金玲</t>
  </si>
  <si>
    <t>652801196009091659</t>
  </si>
  <si>
    <t>202300000774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</si>
  <si>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</si>
  <si>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</si>
  <si>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</si>
  <si>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</si>
  <si>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</si>
  <si>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</si>
  <si>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</si>
  <si>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</si>
  <si>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</si>
  <si>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</si>
  <si>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</si>
  <si>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</si>
  <si>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</si>
  <si>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</si>
  <si>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</si>
  <si>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</si>
  <si>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</si>
  <si>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易章波（易高才） 成交</t>
  </si>
  <si>
    <t>贾志丽 成交</t>
  </si>
  <si>
    <t>牛燕
徐爽崴成交
艾建 退</t>
  </si>
  <si>
    <t>412722199006201192</t>
  </si>
  <si>
    <t>凌亚彬</t>
  </si>
  <si>
    <t>余仁杰 成交</t>
  </si>
  <si>
    <t xml:space="preserve">袁明伟（成交）
</t>
  </si>
  <si>
    <t>杨新梅（成交）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</si>
  <si>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</si>
  <si>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</si>
  <si>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
白奎 退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</si>
  <si>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</si>
  <si>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</si>
  <si>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</si>
  <si>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652801197206251628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</si>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</sst>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%"/>
    <numFmt numFmtId="201" formatCode="0.00_);[Red]\(0.00\)"/>
    <numFmt numFmtId="202" formatCode="yyyy&quot;年&quot;m&quot;月&quot;d&quot;日&quot;;@"/>
    <numFmt numFmtId="203" formatCode="yyyy/m/d;@"/>
    <numFmt numFmtId="204" formatCode="0.0000%"/>
    <numFmt numFmtId="205" formatCode="#,##0.0_ "/>
    <numFmt numFmtId="206" formatCode="0.0_ "/>
    <numFmt numFmtId="207" formatCode="#,##0.000_ "/>
    <numFmt numFmtId="208" formatCode="_ * #,##0.000_ ;_ * \-#,##0.000_ ;_ * &quot;-&quot;??.0_ ;_ @_ "/>
    <numFmt numFmtId="209" formatCode="m/d;@"/>
    <numFmt numFmtId="210" formatCode="#,##0_ "/>
    <numFmt numFmtId="211" formatCode="_ * #,##0.0000_ ;_ * \-#,##0.0000_ ;_ * &quot;-&quot;??.00_ ;_ @_ "/>
    <numFmt numFmtId="212" formatCode="0.000_ "/>
    <numFmt numFmtId="213" formatCode="0;[Red]0"/>
    <numFmt numFmtId="214" formatCode="0.0000_ "/>
    <numFmt numFmtId="215" formatCode="0_);[Red]\(0\)"/>
    <numFmt numFmtId="216" formatCode="#,##0_);[Red]\(#,##0\)"/>
    <numFmt numFmtId="217" formatCode="#,##0;[Red]#,##0"/>
    <numFmt numFmtId="218" formatCode="_ * #,##0_ ;_ * \-#,##0_ ;_ * &quot;-&quot;??_ ;_ @_ "/>
    <numFmt numFmtId="219" formatCode="#,##0.000"/>
  </numFmts>
  <fonts count="153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8"/>
      <name val="仿宋"/>
      <charset val="134"/>
    </font>
    <font>
      <sz val="11"/>
      <color theme="1"/>
      <name val="仿宋"/>
      <charset val="134"/>
    </font>
    <font>
      <sz val="12"/>
      <color rgb="FF92D050"/>
      <name val="仿宋"/>
      <charset val="134"/>
    </font>
    <font>
      <sz val="12"/>
      <color rgb="FF7030A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9" tint="0.4"/>
      <name val="仿宋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8"/>
      <name val="宋体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sz val="10"/>
      <name val="宋体"/>
      <charset val="134"/>
      <scheme val="minor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2"/>
      <color rgb="FFFF0000"/>
      <name val="宋体"/>
      <charset val="134"/>
      <scheme val="minor"/>
    </font>
    <font>
      <sz val="11"/>
      <color theme="1"/>
      <name val="SimSun"/>
      <charset val="134"/>
    </font>
    <font>
      <sz val="9"/>
      <name val="宋体"/>
      <charset val="134"/>
    </font>
    <font>
      <b/>
      <sz val="9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55" fillId="17" borderId="28" applyNumberFormat="0" applyFon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9" applyNumberFormat="0" applyFill="0" applyAlignment="0" applyProtection="0">
      <alignment vertical="center"/>
    </xf>
    <xf numFmtId="0" fontId="80" fillId="0" borderId="29" applyNumberFormat="0" applyFill="0" applyAlignment="0" applyProtection="0">
      <alignment vertical="center"/>
    </xf>
    <xf numFmtId="0" fontId="81" fillId="0" borderId="30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18" borderId="31" applyNumberFormat="0" applyAlignment="0" applyProtection="0">
      <alignment vertical="center"/>
    </xf>
    <xf numFmtId="0" fontId="83" fillId="19" borderId="32" applyNumberFormat="0" applyAlignment="0" applyProtection="0">
      <alignment vertical="center"/>
    </xf>
    <xf numFmtId="0" fontId="84" fillId="19" borderId="31" applyNumberFormat="0" applyAlignment="0" applyProtection="0">
      <alignment vertical="center"/>
    </xf>
    <xf numFmtId="0" fontId="85" fillId="20" borderId="33" applyNumberFormat="0" applyAlignment="0" applyProtection="0">
      <alignment vertical="center"/>
    </xf>
    <xf numFmtId="0" fontId="86" fillId="0" borderId="34" applyNumberFormat="0" applyFill="0" applyAlignment="0" applyProtection="0">
      <alignment vertical="center"/>
    </xf>
    <xf numFmtId="0" fontId="87" fillId="0" borderId="35" applyNumberFormat="0" applyFill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9" fillId="22" borderId="0" applyNumberFormat="0" applyBorder="0" applyAlignment="0" applyProtection="0">
      <alignment vertical="center"/>
    </xf>
    <xf numFmtId="0" fontId="90" fillId="23" borderId="0" applyNumberFormat="0" applyBorder="0" applyAlignment="0" applyProtection="0">
      <alignment vertical="center"/>
    </xf>
    <xf numFmtId="0" fontId="91" fillId="24" borderId="0" applyNumberFormat="0" applyBorder="0" applyAlignment="0" applyProtection="0">
      <alignment vertical="center"/>
    </xf>
    <xf numFmtId="0" fontId="92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1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1" fillId="31" borderId="0" applyNumberFormat="0" applyBorder="0" applyAlignment="0" applyProtection="0">
      <alignment vertical="center"/>
    </xf>
    <xf numFmtId="0" fontId="91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1" fillId="35" borderId="0" applyNumberFormat="0" applyBorder="0" applyAlignment="0" applyProtection="0">
      <alignment vertical="center"/>
    </xf>
    <xf numFmtId="0" fontId="91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1" fillId="39" borderId="0" applyNumberFormat="0" applyBorder="0" applyAlignment="0" applyProtection="0">
      <alignment vertical="center"/>
    </xf>
    <xf numFmtId="0" fontId="91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1" fillId="43" borderId="0" applyNumberFormat="0" applyBorder="0" applyAlignment="0" applyProtection="0">
      <alignment vertical="center"/>
    </xf>
    <xf numFmtId="0" fontId="91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1" fillId="47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9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1" fillId="0" borderId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5" fontId="107" fillId="0" borderId="0" applyFont="0" applyFill="0" applyBorder="0" applyAlignment="0" applyProtection="0"/>
    <xf numFmtId="0" fontId="98" fillId="51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9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1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78" fontId="115" fillId="65" borderId="0">
      <alignment vertical="center"/>
    </xf>
    <xf numFmtId="0" fontId="48" fillId="54" borderId="0" applyNumberFormat="0" applyBorder="0" applyAlignment="0" applyProtection="0"/>
    <xf numFmtId="0" fontId="48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5" fillId="6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58" borderId="0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1" fillId="0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38" fontId="100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6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6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60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5" borderId="0" applyNumberFormat="0" applyBorder="0" applyAlignment="0" applyProtection="0"/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55" fillId="0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12" fillId="0" borderId="0"/>
    <xf numFmtId="0" fontId="55" fillId="63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1" fillId="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7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0" fontId="60" fillId="0" borderId="43" applyNumberFormat="0" applyFill="0" applyAlignment="0" applyProtection="0">
      <alignment vertical="center"/>
    </xf>
    <xf numFmtId="0" fontId="71" fillId="0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2" fillId="0" borderId="0"/>
    <xf numFmtId="0" fontId="47" fillId="5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112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2" fillId="0" borderId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2" fillId="0" borderId="0"/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112" fillId="0" borderId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2" fillId="0" borderId="0"/>
    <xf numFmtId="0" fontId="104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2" fillId="0" borderId="0"/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55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0" borderId="0"/>
    <xf numFmtId="0" fontId="98" fillId="4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12" fillId="0" borderId="0">
      <alignment vertical="center"/>
    </xf>
    <xf numFmtId="10" fontId="37" fillId="0" borderId="0" applyFont="0" applyFill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55" fillId="58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98" fillId="4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0" borderId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48" fillId="1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7" fillId="0" borderId="0"/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0" fontId="117" fillId="0" borderId="0"/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1" fillId="0" borderId="0">
      <alignment vertical="center"/>
    </xf>
    <xf numFmtId="0" fontId="112" fillId="0" borderId="0"/>
    <xf numFmtId="0" fontId="120" fillId="9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1" fillId="0" borderId="0"/>
    <xf numFmtId="0" fontId="47" fillId="60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9" fontId="37" fillId="0" borderId="0" applyFont="0" applyFill="0" applyBorder="0" applyAlignment="0" applyProtection="0"/>
    <xf numFmtId="0" fontId="104" fillId="0" borderId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24" fillId="67" borderId="1" applyAlignment="0" applyProtection="0">
      <alignment vertical="center"/>
    </xf>
    <xf numFmtId="0" fontId="37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37" fillId="0" borderId="0"/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2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2" fillId="0" borderId="0"/>
    <xf numFmtId="0" fontId="48" fillId="54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1" fillId="0" borderId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0" fillId="0" borderId="0">
      <alignment vertical="center"/>
    </xf>
    <xf numFmtId="0" fontId="101" fillId="0" borderId="0"/>
    <xf numFmtId="0" fontId="101" fillId="0" borderId="0"/>
    <xf numFmtId="0" fontId="101" fillId="0" borderId="0"/>
    <xf numFmtId="0" fontId="60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1" fillId="0" borderId="0"/>
    <xf numFmtId="0" fontId="109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102" fillId="51" borderId="0" applyNumberFormat="0" applyBorder="0" applyAlignment="0" applyProtection="0">
      <alignment vertical="center"/>
    </xf>
    <xf numFmtId="0" fontId="101" fillId="0" borderId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2" fillId="0" borderId="0"/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47" fillId="60" borderId="0" applyNumberFormat="0" applyBorder="0" applyAlignment="0" applyProtection="0">
      <alignment vertical="center"/>
    </xf>
    <xf numFmtId="0" fontId="112" fillId="0" borderId="0"/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112" fillId="0" borderId="0"/>
    <xf numFmtId="0" fontId="112" fillId="0" borderId="0"/>
    <xf numFmtId="0" fontId="112" fillId="0" borderId="0"/>
    <xf numFmtId="0" fontId="48" fillId="13" borderId="0" applyNumberFormat="0" applyBorder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2" fillId="0" borderId="0"/>
    <xf numFmtId="0" fontId="105" fillId="53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2" fillId="0" borderId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7" fillId="0" borderId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0" borderId="0"/>
    <xf numFmtId="0" fontId="102" fillId="51" borderId="0" applyNumberFormat="0" applyBorder="0" applyAlignment="0" applyProtection="0">
      <alignment vertical="center"/>
    </xf>
    <xf numFmtId="0" fontId="117" fillId="0" borderId="0"/>
    <xf numFmtId="0" fontId="97" fillId="0" borderId="38">
      <alignment horizont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7" fillId="0" borderId="0"/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117" fillId="0" borderId="0"/>
    <xf numFmtId="0" fontId="97" fillId="0" borderId="38">
      <alignment horizont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7" fillId="0" borderId="0"/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7" fillId="0" borderId="0"/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8">
      <alignment horizont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7" fillId="0" borderId="0"/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13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2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2" fillId="0" borderId="0">
      <alignment vertical="center"/>
    </xf>
    <xf numFmtId="0" fontId="112" fillId="0" borderId="0">
      <alignment vertical="center"/>
    </xf>
    <xf numFmtId="0" fontId="112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  <protection locked="0"/>
    </xf>
    <xf numFmtId="0" fontId="60" fillId="0" borderId="43" applyNumberFormat="0" applyFill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6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6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93" fillId="13" borderId="36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2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54" borderId="0" applyNumberFormat="0" applyBorder="0" applyAlignment="0" applyProtection="0"/>
    <xf numFmtId="0" fontId="105" fillId="1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5" fillId="57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2" fillId="0" borderId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0" fontId="113" fillId="6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0" fontId="114" fillId="0" borderId="43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12" fillId="0" borderId="0"/>
    <xf numFmtId="0" fontId="114" fillId="0" borderId="43" applyNumberFormat="0" applyFill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2" fillId="0" borderId="0"/>
    <xf numFmtId="0" fontId="98" fillId="54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48" fillId="54" borderId="0" applyNumberFormat="0" applyBorder="0" applyAlignment="0" applyProtection="0"/>
    <xf numFmtId="178" fontId="115" fillId="65" borderId="0"/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48" fillId="54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112" fillId="0" borderId="0"/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protection locked="0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3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1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41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41" applyNumberFormat="0" applyFont="0" applyAlignment="0" applyProtection="0">
      <alignment vertical="center"/>
    </xf>
    <xf numFmtId="0" fontId="112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  <protection locked="0"/>
    </xf>
    <xf numFmtId="0" fontId="119" fillId="0" borderId="11">
      <alignment horizontal="left" vertical="center"/>
    </xf>
    <xf numFmtId="0" fontId="0" fillId="48" borderId="41" applyNumberFormat="0" applyFont="0" applyAlignment="0" applyProtection="0">
      <alignment vertical="center"/>
    </xf>
    <xf numFmtId="0" fontId="112" fillId="0" borderId="0">
      <alignment vertical="center"/>
    </xf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0" fillId="48" borderId="41" applyNumberFormat="0" applyFont="0" applyAlignment="0" applyProtection="0">
      <alignment vertical="center"/>
    </xf>
    <xf numFmtId="0" fontId="112" fillId="0" borderId="0">
      <alignment vertical="center"/>
    </xf>
    <xf numFmtId="0" fontId="105" fillId="56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13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5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8" fillId="1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8" fillId="13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8" fillId="64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8" fillId="54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04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4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8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8" fillId="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8" fillId="9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9" borderId="0" applyNumberFormat="0" applyBorder="0" applyAlignment="0" applyProtection="0"/>
    <xf numFmtId="0" fontId="47" fillId="54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178" fontId="115" fillId="65" borderId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/>
    <xf numFmtId="0" fontId="47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9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8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71" fillId="0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50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98" fillId="50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79" fontId="12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5" fontId="10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55" fillId="0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179" fontId="12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79" fontId="12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0" fillId="0" borderId="0"/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49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49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9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9" borderId="0" applyNumberFormat="0" applyBorder="0" applyAlignment="0" applyProtection="0">
      <alignment vertical="center"/>
    </xf>
    <xf numFmtId="0" fontId="55" fillId="5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98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7" fillId="0" borderId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2" fillId="51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27" fillId="0" borderId="0">
      <alignment horizontal="center" vertical="center" wrapText="1"/>
      <protection locked="0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178" fontId="115" fillId="65" borderId="0"/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0" fontId="48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8" fillId="9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9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97" fillId="0" borderId="38">
      <alignment horizontal="center" vertical="center"/>
    </xf>
    <xf numFmtId="0" fontId="47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97" fillId="0" borderId="38">
      <alignment horizontal="center" vertical="center"/>
    </xf>
    <xf numFmtId="0" fontId="47" fillId="6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2" fillId="6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60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25" fillId="0" borderId="45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178" fontId="115" fillId="65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178" fontId="115" fillId="65" borderId="0"/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55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/>
    <xf numFmtId="0" fontId="47" fillId="51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9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7" fillId="6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7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8" fillId="64" borderId="0" applyNumberFormat="0" applyBorder="0" applyAlignment="0" applyProtection="0">
      <alignment vertical="center"/>
    </xf>
    <xf numFmtId="0" fontId="9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64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40" fontId="103" fillId="0" borderId="1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54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9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17" fillId="0" borderId="0">
      <protection locked="0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05" fillId="63" borderId="0" applyNumberFormat="0" applyBorder="0" applyAlignment="0" applyProtection="0"/>
    <xf numFmtId="0" fontId="98" fillId="51" borderId="0" applyNumberFormat="0" applyBorder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37" fontId="133" fillId="0" borderId="0">
      <alignment vertical="center"/>
    </xf>
    <xf numFmtId="0" fontId="55" fillId="51" borderId="0" applyNumberFormat="0" applyBorder="0" applyAlignment="0" applyProtection="0">
      <alignment vertical="center"/>
    </xf>
    <xf numFmtId="37" fontId="133" fillId="0" borderId="0"/>
    <xf numFmtId="0" fontId="98" fillId="49" borderId="0" applyNumberFormat="0" applyBorder="0" applyAlignment="0" applyProtection="0">
      <alignment vertical="center"/>
    </xf>
    <xf numFmtId="37" fontId="133" fillId="0" borderId="0">
      <alignment vertical="center"/>
    </xf>
    <xf numFmtId="0" fontId="55" fillId="5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8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05" fillId="63" borderId="0" applyNumberFormat="0" applyBorder="0" applyAlignment="0" applyProtection="0"/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49" borderId="0" applyNumberFormat="0" applyBorder="0" applyAlignment="0" applyProtection="0">
      <alignment vertical="center"/>
    </xf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0" fillId="0" borderId="0"/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4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9" applyNumberFormat="0" applyFill="0" applyProtection="0">
      <alignment horizontal="center"/>
    </xf>
    <xf numFmtId="0" fontId="47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99" fillId="0" borderId="39" applyNumberFormat="0" applyFill="0" applyProtection="0">
      <alignment horizont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47" fillId="6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71" fillId="0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71" fillId="0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0" fillId="0" borderId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7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6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7" fillId="0" borderId="0">
      <protection locked="0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8" fillId="49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4" fillId="0" borderId="0">
      <alignment vertical="center"/>
    </xf>
    <xf numFmtId="0" fontId="47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8" fillId="49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82" fontId="126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179" fontId="12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179" fontId="126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protection locked="0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3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61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8">
      <alignment horizontal="center" vertical="center"/>
    </xf>
    <xf numFmtId="0" fontId="47" fillId="61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5" fillId="55" borderId="0" applyNumberFormat="0" applyBorder="0" applyAlignment="0" applyProtection="0"/>
    <xf numFmtId="0" fontId="97" fillId="0" borderId="38">
      <alignment horizontal="center"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7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5" fillId="9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55" fillId="9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98" fillId="61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protection locked="0"/>
    </xf>
    <xf numFmtId="0" fontId="47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47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6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13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13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8" fillId="13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8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55" fillId="63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8" fillId="54" borderId="0" applyNumberFormat="0" applyBorder="0" applyAlignment="0" applyProtection="0"/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05" fillId="55" borderId="0" applyNumberFormat="0" applyBorder="0" applyAlignment="0" applyProtection="0"/>
    <xf numFmtId="0" fontId="55" fillId="0" borderId="0" applyNumberFormat="0" applyBorder="0" applyAlignment="0" applyProtection="0"/>
    <xf numFmtId="0" fontId="48" fillId="54" borderId="0" applyNumberFormat="0" applyBorder="0" applyAlignment="0" applyProtection="0"/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98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79" fontId="126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79" fontId="126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8" fillId="48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48" fillId="48" borderId="0" applyNumberFormat="0" applyBorder="0" applyAlignment="0" applyProtection="0"/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8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9" borderId="0" applyNumberFormat="0" applyBorder="0" applyAlignment="0" applyProtection="0"/>
    <xf numFmtId="0" fontId="48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48" borderId="0" applyNumberFormat="0" applyBorder="0" applyAlignment="0" applyProtection="0"/>
    <xf numFmtId="0" fontId="113" fillId="53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5" fillId="57" borderId="0" applyNumberFormat="0" applyBorder="0" applyAlignment="0" applyProtection="0"/>
    <xf numFmtId="0" fontId="98" fillId="60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6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7" fillId="0" borderId="0">
      <alignment vertical="center"/>
    </xf>
    <xf numFmtId="0" fontId="48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11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71" fillId="7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1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13" borderId="0" applyNumberFormat="0" applyBorder="0" applyAlignment="0" applyProtection="0"/>
    <xf numFmtId="0" fontId="113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98" fillId="63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98" fillId="6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78" fontId="129" fillId="71" borderId="0">
      <alignment vertical="center"/>
    </xf>
    <xf numFmtId="0" fontId="47" fillId="63" borderId="0" applyNumberFormat="0" applyBorder="0" applyAlignment="0" applyProtection="0">
      <alignment vertical="center"/>
    </xf>
    <xf numFmtId="178" fontId="129" fillId="71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97" fillId="0" borderId="38">
      <alignment horizont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60" fillId="0" borderId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47" fillId="52" borderId="0" applyNumberFormat="0" applyBorder="0" applyAlignment="0" applyProtection="0">
      <alignment vertical="center"/>
    </xf>
    <xf numFmtId="15" fontId="107" fillId="0" borderId="0"/>
    <xf numFmtId="0" fontId="47" fillId="52" borderId="0" applyNumberFormat="0" applyBorder="0" applyAlignment="0" applyProtection="0">
      <alignment vertical="center"/>
    </xf>
    <xf numFmtId="15" fontId="107" fillId="0" borderId="0"/>
    <xf numFmtId="0" fontId="47" fillId="52" borderId="0" applyNumberFormat="0" applyBorder="0" applyAlignment="0" applyProtection="0">
      <alignment vertical="center"/>
    </xf>
    <xf numFmtId="15" fontId="107" fillId="0" borderId="0"/>
    <xf numFmtId="0" fontId="47" fillId="52" borderId="0" applyNumberFormat="0" applyBorder="0" applyAlignment="0" applyProtection="0">
      <alignment vertical="center"/>
    </xf>
    <xf numFmtId="15" fontId="107" fillId="0" borderId="0"/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5" fillId="7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55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13" borderId="0" applyNumberFormat="0" applyBorder="0" applyAlignment="0" applyProtection="0"/>
    <xf numFmtId="0" fontId="105" fillId="53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98" fillId="52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8" fillId="5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14" fontId="127" fillId="0" borderId="0">
      <alignment horizontal="center" wrapText="1"/>
      <protection locked="0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99" fillId="0" borderId="39" applyNumberFormat="0" applyFill="0" applyProtection="0">
      <alignment horizont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47" fillId="5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55" fillId="0" borderId="0" applyNumberFormat="0" applyBorder="0" applyAlignment="0" applyProtection="0"/>
    <xf numFmtId="0" fontId="71" fillId="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71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55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5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7" fontId="3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6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93" fillId="13" borderId="36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63" borderId="0" applyNumberFormat="0" applyBorder="0" applyAlignment="0" applyProtection="0"/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3" fillId="5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8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79" fontId="126" fillId="0" borderId="0"/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8" fillId="54" borderId="0" applyNumberFormat="0" applyBorder="0" applyAlignment="0" applyProtection="0"/>
    <xf numFmtId="0" fontId="105" fillId="63" borderId="0" applyNumberFormat="0" applyBorder="0" applyAlignment="0" applyProtection="0"/>
    <xf numFmtId="179" fontId="126" fillId="0" borderId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05" fillId="63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2" fillId="61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2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8" fillId="1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55" fillId="7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61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37" fontId="55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3" borderId="0" applyNumberFormat="0" applyBorder="0" applyAlignment="0" applyProtection="0">
      <alignment vertical="center"/>
    </xf>
    <xf numFmtId="37" fontId="55" fillId="0" borderId="0">
      <alignment vertical="center"/>
    </xf>
    <xf numFmtId="0" fontId="102" fillId="6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8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7" fillId="0" borderId="38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7" fillId="0" borderId="38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7" fillId="0" borderId="38">
      <alignment horizontal="center" vertical="center"/>
    </xf>
    <xf numFmtId="0" fontId="102" fillId="51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8" borderId="0" applyNumberFormat="0" applyBorder="0" applyAlignment="0" applyProtection="0"/>
    <xf numFmtId="0" fontId="117" fillId="0" borderId="0">
      <alignment vertical="center"/>
      <protection locked="0"/>
    </xf>
    <xf numFmtId="0" fontId="102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5" fillId="56" borderId="0" applyNumberFormat="0" applyBorder="0" applyAlignment="0" applyProtection="0"/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/>
    <xf numFmtId="0" fontId="113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97" fillId="0" borderId="38">
      <alignment horizont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3" fillId="51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4" fillId="72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3" fillId="62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3" fillId="62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17" fillId="0" borderId="0">
      <protection locked="0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71" fillId="0" borderId="0" applyNumberFormat="0" applyBorder="0" applyAlignment="0" applyProtection="0"/>
    <xf numFmtId="0" fontId="105" fillId="5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5" fillId="56" borderId="0" applyNumberFormat="0" applyBorder="0" applyAlignment="0" applyProtection="0"/>
    <xf numFmtId="0" fontId="71" fillId="0" borderId="0" applyNumberFormat="0" applyBorder="0" applyAlignment="0" applyProtection="0"/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5" fillId="5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8" fillId="64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71" fillId="0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71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/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/>
    <xf numFmtId="0" fontId="105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71" fillId="58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71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3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13" fillId="57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2" fillId="57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102" fillId="57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57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117" fillId="0" borderId="0">
      <protection locked="0"/>
    </xf>
    <xf numFmtId="0" fontId="105" fillId="58" borderId="0" applyNumberFormat="0" applyBorder="0" applyAlignment="0" applyProtection="0"/>
    <xf numFmtId="0" fontId="117" fillId="0" borderId="0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7" fillId="0" borderId="0">
      <protection locked="0"/>
    </xf>
    <xf numFmtId="0" fontId="116" fillId="50" borderId="0" applyNumberFormat="0" applyBorder="0" applyAlignment="0" applyProtection="0">
      <alignment vertical="center"/>
    </xf>
    <xf numFmtId="0" fontId="117" fillId="0" borderId="0">
      <alignment vertical="center"/>
      <protection locked="0"/>
    </xf>
    <xf numFmtId="0" fontId="55" fillId="63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178" fontId="129" fillId="71" borderId="0">
      <alignment vertical="center"/>
    </xf>
    <xf numFmtId="0" fontId="120" fillId="9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37" fontId="133" fillId="0" borderId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48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48" fillId="54" borderId="0" applyNumberFormat="0" applyBorder="0" applyAlignment="0" applyProtection="0"/>
    <xf numFmtId="0" fontId="55" fillId="0" borderId="0" applyNumberFormat="0" applyBorder="0" applyAlignment="0" applyProtection="0"/>
    <xf numFmtId="10" fontId="100" fillId="48" borderId="1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55" fillId="72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55" fillId="72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105" fillId="13" borderId="0" applyNumberFormat="0" applyBorder="0" applyAlignment="0" applyProtection="0"/>
    <xf numFmtId="0" fontId="47" fillId="0" borderId="0">
      <alignment vertical="center"/>
    </xf>
    <xf numFmtId="0" fontId="48" fillId="54" borderId="0" applyNumberFormat="0" applyBorder="0" applyAlignment="0" applyProtection="0"/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105" fillId="13" borderId="0" applyNumberFormat="0" applyBorder="0" applyAlignment="0" applyProtection="0"/>
    <xf numFmtId="0" fontId="48" fillId="54" borderId="0" applyNumberFormat="0" applyBorder="0" applyAlignment="0" applyProtection="0"/>
    <xf numFmtId="0" fontId="105" fillId="13" borderId="0" applyNumberFormat="0" applyBorder="0" applyAlignment="0" applyProtection="0"/>
    <xf numFmtId="0" fontId="55" fillId="63" borderId="0" applyNumberFormat="0" applyBorder="0" applyAlignment="0" applyProtection="0"/>
    <xf numFmtId="0" fontId="105" fillId="13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5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5" fillId="63" borderId="0" applyNumberFormat="0" applyBorder="0" applyAlignment="0" applyProtection="0"/>
    <xf numFmtId="0" fontId="47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47" fillId="0" borderId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71" fillId="58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/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71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0" fontId="48" fillId="48" borderId="0" applyNumberFormat="0" applyBorder="0" applyAlignment="0" applyProtection="0"/>
    <xf numFmtId="0" fontId="107" fillId="68" borderId="0" applyNumberFormat="0" applyFon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63" borderId="0" applyNumberFormat="0" applyBorder="0" applyAlignment="0" applyProtection="0"/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8" fillId="48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0" fontId="105" fillId="5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71" fillId="52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71" fillId="5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97" fillId="0" borderId="38">
      <alignment horizontal="center" vertical="center"/>
    </xf>
    <xf numFmtId="0" fontId="105" fillId="58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8" fillId="9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48" fillId="9" borderId="0" applyNumberFormat="0" applyBorder="0" applyAlignment="0" applyProtection="0"/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48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6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55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6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71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79" fontId="126" fillId="0" borderId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48" fillId="48" borderId="0" applyNumberFormat="0" applyBorder="0" applyAlignment="0" applyProtection="0"/>
    <xf numFmtId="0" fontId="105" fillId="55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105" fillId="13" borderId="0" applyNumberFormat="0" applyBorder="0" applyAlignment="0" applyProtection="0"/>
    <xf numFmtId="0" fontId="48" fillId="13" borderId="0" applyNumberFormat="0" applyBorder="0" applyAlignment="0" applyProtection="0"/>
    <xf numFmtId="0" fontId="105" fillId="13" borderId="0" applyNumberFormat="0" applyBorder="0" applyAlignment="0" applyProtection="0"/>
    <xf numFmtId="0" fontId="48" fillId="13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8" fillId="13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48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121" fillId="66" borderId="44">
      <alignment vertical="center"/>
      <protection locked="0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5" fillId="0" borderId="45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/>
    <xf numFmtId="0" fontId="48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48" fillId="49" borderId="0" applyNumberFormat="0" applyBorder="0" applyAlignment="0" applyProtection="0"/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5" borderId="0" applyNumberFormat="0" applyBorder="0" applyAlignment="0" applyProtection="0"/>
    <xf numFmtId="0" fontId="48" fillId="49" borderId="0" applyNumberFormat="0" applyBorder="0" applyAlignment="0" applyProtection="0"/>
    <xf numFmtId="0" fontId="105" fillId="58" borderId="0" applyNumberFormat="0" applyBorder="0" applyAlignment="0" applyProtection="0"/>
    <xf numFmtId="0" fontId="105" fillId="55" borderId="0" applyNumberFormat="0" applyBorder="0" applyAlignment="0" applyProtection="0"/>
    <xf numFmtId="0" fontId="48" fillId="49" borderId="0" applyNumberFormat="0" applyBorder="0" applyAlignment="0" applyProtection="0"/>
    <xf numFmtId="0" fontId="105" fillId="58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0" fontId="48" fillId="49" borderId="0" applyNumberFormat="0" applyBorder="0" applyAlignment="0" applyProtection="0"/>
    <xf numFmtId="0" fontId="105" fillId="58" borderId="0" applyNumberFormat="0" applyBorder="0" applyAlignment="0" applyProtection="0"/>
    <xf numFmtId="0" fontId="121" fillId="66" borderId="44">
      <alignment vertical="center"/>
      <protection locked="0"/>
    </xf>
    <xf numFmtId="0" fontId="105" fillId="58" borderId="0" applyNumberFormat="0" applyBorder="0" applyAlignment="0" applyProtection="0"/>
    <xf numFmtId="0" fontId="121" fillId="66" borderId="44">
      <alignment vertical="center"/>
      <protection locked="0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9" fontId="60" fillId="0" borderId="0" applyFont="0" applyFill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2" fillId="6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5" fillId="55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3" fillId="7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2" fillId="7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36" fillId="50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105" fillId="55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05" fillId="55" borderId="0" applyNumberFormat="0" applyBorder="0" applyAlignment="0" applyProtection="0"/>
    <xf numFmtId="14" fontId="127" fillId="0" borderId="0">
      <alignment horizontal="center" wrapText="1"/>
      <protection locked="0"/>
    </xf>
    <xf numFmtId="0" fontId="55" fillId="58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6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63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/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60" fillId="0" borderId="0">
      <alignment vertical="center"/>
    </xf>
    <xf numFmtId="0" fontId="105" fillId="55" borderId="0" applyNumberFormat="0" applyBorder="0" applyAlignment="0" applyProtection="0"/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97" fillId="0" borderId="38">
      <alignment horizontal="center"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48" fillId="13" borderId="0" applyNumberFormat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6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55" fillId="63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4" fillId="0" borderId="0">
      <alignment vertical="center"/>
    </xf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105" fillId="55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104" fillId="0" borderId="0">
      <alignment vertical="center"/>
    </xf>
    <xf numFmtId="0" fontId="48" fillId="4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71" fillId="58" borderId="0" applyNumberFormat="0" applyBorder="0" applyAlignment="0" applyProtection="0"/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71" fillId="58" borderId="0" applyNumberFormat="0" applyBorder="0" applyAlignment="0" applyProtection="0"/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/>
    <xf numFmtId="0" fontId="48" fillId="54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9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8" fillId="48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105" fillId="13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40" fontId="123" fillId="0" borderId="1" applyFill="0" applyAlignment="0" applyProtection="0">
      <alignment vertical="center"/>
    </xf>
    <xf numFmtId="178" fontId="115" fillId="65" borderId="0">
      <alignment vertical="center"/>
    </xf>
    <xf numFmtId="0" fontId="48" fillId="9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48" fillId="9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8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182" fontId="126" fillId="0" borderId="0"/>
    <xf numFmtId="0" fontId="48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8" fillId="9" borderId="0" applyNumberFormat="0" applyBorder="0" applyAlignment="0" applyProtection="0"/>
    <xf numFmtId="0" fontId="107" fillId="0" borderId="0" applyNumberFormat="0" applyFont="0" applyFill="0" applyBorder="0" applyAlignment="0" applyProtection="0">
      <alignment horizontal="left"/>
    </xf>
    <xf numFmtId="0" fontId="48" fillId="9" borderId="0" applyNumberFormat="0" applyBorder="0" applyAlignment="0" applyProtection="0"/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0" fontId="105" fillId="63" borderId="0" applyNumberFormat="0" applyBorder="0" applyAlignment="0" applyProtection="0"/>
    <xf numFmtId="0" fontId="48" fillId="9" borderId="0" applyNumberFormat="0" applyBorder="0" applyAlignment="0" applyProtection="0"/>
    <xf numFmtId="0" fontId="105" fillId="63" borderId="0" applyNumberFormat="0" applyBorder="0" applyAlignment="0" applyProtection="0"/>
    <xf numFmtId="0" fontId="48" fillId="9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8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13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13" borderId="0" applyNumberFormat="0" applyBorder="0" applyAlignment="0" applyProtection="0"/>
    <xf numFmtId="0" fontId="47" fillId="0" borderId="0">
      <alignment vertical="center"/>
    </xf>
    <xf numFmtId="0" fontId="105" fillId="13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176" fontId="60" fillId="0" borderId="0" applyFont="0" applyFill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48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5" fillId="58" borderId="0" applyNumberFormat="0" applyBorder="0" applyAlignment="0" applyProtection="0"/>
    <xf numFmtId="0" fontId="48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48" fillId="13" borderId="0" applyNumberFormat="0" applyBorder="0" applyAlignment="0" applyProtection="0"/>
    <xf numFmtId="0" fontId="105" fillId="58" borderId="0" applyNumberFormat="0" applyBorder="0" applyAlignment="0" applyProtection="0"/>
    <xf numFmtId="0" fontId="60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105" fillId="58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7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8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8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7" fillId="0" borderId="0">
      <alignment vertical="center"/>
    </xf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26" fillId="0" borderId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105" fillId="58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71" fillId="0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96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55" fillId="7" borderId="0" applyNumberFormat="0" applyBorder="0" applyAlignment="0" applyProtection="0"/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55" fillId="7" borderId="0" applyNumberFormat="0" applyBorder="0" applyAlignment="0" applyProtection="0"/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48" fillId="5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/>
    <xf numFmtId="0" fontId="48" fillId="49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122" fillId="0" borderId="0" applyNumberFormat="0" applyFill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8" fillId="13" borderId="0" applyNumberFormat="0" applyBorder="0" applyAlignment="0" applyProtection="0"/>
    <xf numFmtId="0" fontId="105" fillId="56" borderId="0" applyNumberFormat="0" applyBorder="0" applyAlignment="0" applyProtection="0"/>
    <xf numFmtId="0" fontId="48" fillId="13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0" fillId="0" borderId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48" fillId="13" borderId="0" applyNumberFormat="0" applyBorder="0" applyAlignment="0" applyProtection="0"/>
    <xf numFmtId="0" fontId="105" fillId="49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97" fillId="0" borderId="38">
      <alignment horizontal="center" vertical="center"/>
    </xf>
    <xf numFmtId="0" fontId="48" fillId="13" borderId="0" applyNumberFormat="0" applyBorder="0" applyAlignment="0" applyProtection="0"/>
    <xf numFmtId="0" fontId="48" fillId="64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8" fillId="1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/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0" fontId="119" fillId="0" borderId="11">
      <alignment horizontal="left"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5" fillId="13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0" fontId="105" fillId="13" borderId="0" applyNumberFormat="0" applyBorder="0" applyAlignment="0" applyProtection="0"/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5" fillId="1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0" fontId="10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6" fillId="5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left"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40" fontId="123" fillId="0" borderId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3" borderId="0" applyNumberFormat="0" applyBorder="0" applyAlignment="0" applyProtection="0"/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105" fillId="56" borderId="0" applyNumberFormat="0" applyBorder="0" applyAlignment="0" applyProtection="0"/>
    <xf numFmtId="178" fontId="129" fillId="71" borderId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0" fontId="105" fillId="53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6" fillId="0" borderId="40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56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55" fillId="59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48" fillId="48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48" fillId="48" borderId="0" applyNumberFormat="0" applyBorder="0" applyAlignment="0" applyProtection="0"/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105" fillId="56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6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9" fontId="60" fillId="0" borderId="0" applyFont="0" applyFill="0" applyBorder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55" fillId="72" borderId="0" applyNumberFormat="0" applyBorder="0" applyAlignment="0" applyProtection="0"/>
    <xf numFmtId="0" fontId="105" fillId="56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6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2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6" borderId="0" applyNumberFormat="0" applyBorder="0" applyAlignment="0" applyProtection="0"/>
    <xf numFmtId="0" fontId="48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8" fillId="64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6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55" fillId="7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5" fillId="72" borderId="0" applyNumberFormat="0" applyBorder="0" applyAlignment="0" applyProtection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0" fontId="48" fillId="64" borderId="0" applyNumberFormat="0" applyBorder="0" applyAlignment="0" applyProtection="0"/>
    <xf numFmtId="0" fontId="48" fillId="64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48" fillId="6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64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5" fontId="107" fillId="0" borderId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48" fillId="49" borderId="0" applyNumberFormat="0" applyBorder="0" applyAlignment="0" applyProtection="0"/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10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55" fillId="7" borderId="0" applyNumberFormat="0" applyBorder="0" applyAlignment="0" applyProtection="0"/>
    <xf numFmtId="0" fontId="48" fillId="54" borderId="0" applyNumberFormat="0" applyBorder="0" applyAlignment="0" applyProtection="0"/>
    <xf numFmtId="179" fontId="126" fillId="0" borderId="0">
      <alignment vertical="center"/>
    </xf>
    <xf numFmtId="0" fontId="48" fillId="54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7" borderId="0" applyNumberFormat="0" applyBorder="0" applyAlignment="0" applyProtection="0"/>
    <xf numFmtId="0" fontId="119" fillId="0" borderId="11">
      <alignment horizontal="left" vertical="center"/>
    </xf>
    <xf numFmtId="0" fontId="48" fillId="54" borderId="0" applyNumberFormat="0" applyBorder="0" applyAlignment="0" applyProtection="0"/>
    <xf numFmtId="0" fontId="128" fillId="0" borderId="42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48" fillId="54" borderId="0" applyNumberFormat="0" applyBorder="0" applyAlignment="0" applyProtection="0"/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10" fontId="100" fillId="48" borderId="1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8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54" borderId="0" applyNumberFormat="0" applyBorder="0" applyAlignment="0" applyProtection="0">
      <alignment vertical="center"/>
    </xf>
    <xf numFmtId="0" fontId="104" fillId="0" borderId="0">
      <alignment vertical="center"/>
    </xf>
    <xf numFmtId="0" fontId="105" fillId="57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7" fillId="0" borderId="38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7" fillId="0" borderId="38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05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7" fillId="0" borderId="38">
      <alignment horizontal="center" vertical="center"/>
    </xf>
    <xf numFmtId="0" fontId="105" fillId="6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178" fontId="115" fillId="65" borderId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6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6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71" fillId="52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63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71" fillId="52" borderId="0" applyNumberFormat="0" applyBorder="0" applyAlignment="0" applyProtection="0"/>
    <xf numFmtId="0" fontId="105" fillId="53" borderId="0" applyNumberFormat="0" applyBorder="0" applyAlignment="0" applyProtection="0"/>
    <xf numFmtId="0" fontId="55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97" fillId="0" borderId="38">
      <alignment horizontal="center"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36" fillId="50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37" fontId="133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37" fontId="133" fillId="0" borderId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37" fontId="133" fillId="0" borderId="0"/>
    <xf numFmtId="0" fontId="105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9" fillId="13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55" fillId="6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105" fillId="53" borderId="0" applyNumberFormat="0" applyBorder="0" applyAlignment="0" applyProtection="0"/>
    <xf numFmtId="0" fontId="105" fillId="49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55" fillId="6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79" fontId="126" fillId="0" borderId="0"/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40" fontId="123" fillId="0" borderId="0" applyFill="0" applyAlignment="0" applyProtection="0">
      <alignment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0" fontId="119" fillId="0" borderId="11">
      <alignment horizontal="left"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177" fontId="37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55" fillId="6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83" fontId="126" fillId="0" borderId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0" fontId="105" fillId="53" borderId="0" applyNumberFormat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0" fillId="0" borderId="0">
      <alignment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3" borderId="0" applyNumberFormat="0" applyBorder="0" applyAlignment="0" applyProtection="0"/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3" borderId="0" applyNumberFormat="0" applyBorder="0" applyAlignment="0" applyProtection="0"/>
    <xf numFmtId="0" fontId="97" fillId="0" borderId="38">
      <alignment horizontal="center"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105" fillId="53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5" fillId="53" borderId="0" applyNumberFormat="0" applyBorder="0" applyAlignment="0" applyProtection="0"/>
    <xf numFmtId="0" fontId="105" fillId="53" borderId="0" applyNumberFormat="0" applyBorder="0" applyAlignment="0" applyProtection="0"/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60" fillId="0" borderId="0">
      <alignment vertical="center"/>
    </xf>
    <xf numFmtId="0" fontId="48" fillId="4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71" fillId="0" borderId="0" applyNumberFormat="0" applyBorder="0" applyAlignment="0" applyProtection="0"/>
    <xf numFmtId="0" fontId="0" fillId="0" borderId="0"/>
    <xf numFmtId="0" fontId="71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8" fillId="48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7" fillId="0" borderId="0">
      <alignment vertical="center"/>
    </xf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0" fontId="108" fillId="49" borderId="36" applyNumberFormat="0" applyAlignment="0" applyProtection="0">
      <alignment vertical="center"/>
    </xf>
    <xf numFmtId="0" fontId="48" fillId="4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182" fontId="126" fillId="0" borderId="0"/>
    <xf numFmtId="0" fontId="0" fillId="48" borderId="41" applyNumberFormat="0" applyFont="0" applyAlignment="0" applyProtection="0">
      <alignment vertical="center"/>
    </xf>
    <xf numFmtId="0" fontId="48" fillId="49" borderId="0" applyNumberFormat="0" applyBorder="0" applyAlignment="0" applyProtection="0"/>
    <xf numFmtId="0" fontId="55" fillId="0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8" fillId="49" borderId="0" applyNumberFormat="0" applyBorder="0" applyAlignment="0" applyProtection="0"/>
    <xf numFmtId="182" fontId="126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48" fillId="49" borderId="0" applyNumberFormat="0" applyBorder="0" applyAlignment="0" applyProtection="0"/>
    <xf numFmtId="182" fontId="126" fillId="0" borderId="0">
      <alignment vertical="center"/>
    </xf>
    <xf numFmtId="0" fontId="48" fillId="49" borderId="0" applyNumberFormat="0" applyBorder="0" applyAlignment="0" applyProtection="0"/>
    <xf numFmtId="182" fontId="126" fillId="0" borderId="0">
      <alignment vertical="center"/>
    </xf>
    <xf numFmtId="0" fontId="55" fillId="7" borderId="0" applyNumberFormat="0" applyBorder="0" applyAlignment="0" applyProtection="0"/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9" fontId="6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/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/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182" fontId="126" fillId="0" borderId="0">
      <alignment vertical="center"/>
    </xf>
    <xf numFmtId="0" fontId="55" fillId="7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49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48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4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57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15" fontId="107" fillId="0" borderId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5" fillId="49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/>
    <xf numFmtId="0" fontId="10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49" borderId="0" applyNumberFormat="0" applyBorder="0" applyAlignment="0" applyProtection="0"/>
    <xf numFmtId="0" fontId="97" fillId="0" borderId="38">
      <alignment horizontal="center" vertical="center"/>
    </xf>
    <xf numFmtId="0" fontId="105" fillId="49" borderId="0" applyNumberFormat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5" fillId="57" borderId="0" applyNumberFormat="0" applyBorder="0" applyAlignment="0" applyProtection="0"/>
    <xf numFmtId="0" fontId="104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118" fillId="49" borderId="36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23" fillId="0" borderId="1" applyFill="0" applyAlignment="0" applyProtection="0">
      <alignment vertical="center"/>
    </xf>
    <xf numFmtId="177" fontId="37" fillId="0" borderId="0"/>
    <xf numFmtId="40" fontId="123" fillId="0" borderId="1" applyFill="0" applyAlignment="0" applyProtection="0">
      <alignment vertical="center"/>
    </xf>
    <xf numFmtId="177" fontId="37" fillId="0" borderId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6" applyNumberFormat="0" applyAlignment="0" applyProtection="0">
      <alignment vertical="center"/>
    </xf>
    <xf numFmtId="0" fontId="105" fillId="57" borderId="0" applyNumberFormat="0" applyBorder="0" applyAlignment="0" applyProtection="0"/>
    <xf numFmtId="0" fontId="134" fillId="58" borderId="46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8" fillId="49" borderId="36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18" fillId="49" borderId="36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5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5" fillId="57" borderId="0" applyNumberFormat="0" applyBorder="0" applyAlignment="0" applyProtection="0"/>
    <xf numFmtId="0" fontId="105" fillId="57" borderId="0" applyNumberFormat="0" applyBorder="0" applyAlignment="0" applyProtection="0"/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5" fillId="57" borderId="0" applyNumberFormat="0" applyBorder="0" applyAlignment="0" applyProtection="0"/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04" fillId="58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10" fontId="100" fillId="48" borderId="1" applyNumberFormat="0" applyBorder="0" applyAlignment="0" applyProtection="0">
      <alignment vertical="center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127" fillId="0" borderId="0">
      <alignment horizontal="center" wrapText="1"/>
      <protection locked="0"/>
    </xf>
    <xf numFmtId="0" fontId="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124" fillId="67" borderId="1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179" fontId="126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79" fontId="126" fillId="0" borderId="0"/>
    <xf numFmtId="0" fontId="47" fillId="0" borderId="0">
      <alignment vertical="center"/>
    </xf>
    <xf numFmtId="0" fontId="0" fillId="0" borderId="0">
      <alignment vertical="center"/>
    </xf>
    <xf numFmtId="179" fontId="126" fillId="0" borderId="0"/>
    <xf numFmtId="179" fontId="126" fillId="0" borderId="0"/>
    <xf numFmtId="179" fontId="126" fillId="0" borderId="0"/>
    <xf numFmtId="179" fontId="126" fillId="0" borderId="0"/>
    <xf numFmtId="179" fontId="126" fillId="0" borderId="0"/>
    <xf numFmtId="0" fontId="47" fillId="0" borderId="0">
      <alignment vertical="center"/>
    </xf>
    <xf numFmtId="0" fontId="47" fillId="0" borderId="0">
      <alignment vertical="center"/>
    </xf>
    <xf numFmtId="179" fontId="126" fillId="0" borderId="0"/>
    <xf numFmtId="179" fontId="126" fillId="0" borderId="0"/>
    <xf numFmtId="186" fontId="37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82" fontId="126" fillId="0" borderId="0">
      <alignment vertical="center"/>
    </xf>
    <xf numFmtId="0" fontId="55" fillId="0" borderId="0" applyNumberFormat="0" applyBorder="0" applyAlignment="0" applyProtection="0"/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182" fontId="126" fillId="0" borderId="0">
      <alignment vertical="center"/>
    </xf>
    <xf numFmtId="0" fontId="47" fillId="0" borderId="0">
      <alignment vertical="center"/>
    </xf>
    <xf numFmtId="182" fontId="126" fillId="0" borderId="0"/>
    <xf numFmtId="0" fontId="47" fillId="0" borderId="0">
      <alignment vertical="center"/>
    </xf>
    <xf numFmtId="182" fontId="126" fillId="0" borderId="0"/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2" fontId="126" fillId="0" borderId="0"/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82" fontId="126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82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2" fontId="126" fillId="0" borderId="0">
      <alignment vertical="center"/>
    </xf>
    <xf numFmtId="15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15" fontId="10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15" fontId="107" fillId="0" borderId="0">
      <alignment vertical="center"/>
    </xf>
    <xf numFmtId="0" fontId="109" fillId="13" borderId="36" applyNumberFormat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/>
    <xf numFmtId="0" fontId="47" fillId="0" borderId="0">
      <alignment vertical="center"/>
    </xf>
    <xf numFmtId="15" fontId="107" fillId="0" borderId="0"/>
    <xf numFmtId="0" fontId="118" fillId="49" borderId="36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5" fontId="107" fillId="0" borderId="0"/>
    <xf numFmtId="15" fontId="107" fillId="0" borderId="0"/>
    <xf numFmtId="15" fontId="107" fillId="0" borderId="0"/>
    <xf numFmtId="0" fontId="55" fillId="0" borderId="0" applyNumberFormat="0" applyBorder="0" applyAlignment="0" applyProtection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5" fontId="107" fillId="0" borderId="0">
      <alignment vertical="center"/>
    </xf>
    <xf numFmtId="177" fontId="37" fillId="0" borderId="0"/>
    <xf numFmtId="15" fontId="107" fillId="0" borderId="0">
      <alignment vertical="center"/>
    </xf>
    <xf numFmtId="0" fontId="109" fillId="13" borderId="36" applyNumberFormat="0" applyAlignment="0" applyProtection="0">
      <alignment vertical="center"/>
    </xf>
    <xf numFmtId="0" fontId="103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183" fontId="126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183" fontId="126" fillId="0" borderId="0"/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183" fontId="126" fillId="0" borderId="0"/>
    <xf numFmtId="0" fontId="104" fillId="0" borderId="0">
      <alignment vertical="center"/>
    </xf>
    <xf numFmtId="183" fontId="126" fillId="0" borderId="0"/>
    <xf numFmtId="183" fontId="126" fillId="0" borderId="0"/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3" fontId="126" fillId="0" borderId="0"/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83" fontId="126" fillId="0" borderId="0"/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83" fontId="126" fillId="0" borderId="0"/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83" fontId="126" fillId="0" borderId="0"/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left"/>
    </xf>
    <xf numFmtId="183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3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6" fillId="13" borderId="37" applyNumberFormat="0" applyAlignment="0" applyProtection="0">
      <alignment vertical="center"/>
    </xf>
    <xf numFmtId="0" fontId="0" fillId="0" borderId="0">
      <alignment vertical="center"/>
    </xf>
    <xf numFmtId="0" fontId="96" fillId="13" borderId="37" applyNumberFormat="0" applyAlignment="0" applyProtection="0">
      <alignment vertical="center"/>
    </xf>
    <xf numFmtId="0" fontId="0" fillId="0" borderId="0">
      <alignment vertical="center"/>
    </xf>
    <xf numFmtId="0" fontId="96" fillId="1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10" fontId="100" fillId="48" borderId="1" applyNumberFormat="0" applyBorder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60" fillId="0" borderId="43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107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47" fillId="0" borderId="0">
      <alignment vertical="center"/>
    </xf>
    <xf numFmtId="0" fontId="10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178" fontId="129" fillId="71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04" fillId="0" borderId="0" applyNumberFormat="0" applyFont="0" applyAlignment="0" applyProtection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38" fontId="100" fillId="13" borderId="0" applyNumberFormat="0" applyBorder="0" applyAlignment="0" applyProtection="0"/>
    <xf numFmtId="0" fontId="104" fillId="0" borderId="0">
      <alignment vertical="center"/>
    </xf>
    <xf numFmtId="38" fontId="100" fillId="1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104" fillId="10" borderId="0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38" fontId="100" fillId="1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38" fontId="100" fillId="13" borderId="0" applyNumberFormat="0" applyBorder="0" applyAlignment="0" applyProtection="0"/>
    <xf numFmtId="0" fontId="94" fillId="0" borderId="15" applyNumberFormat="0" applyFill="0" applyProtection="0">
      <alignment horizontal="center" vertical="center"/>
    </xf>
    <xf numFmtId="0" fontId="55" fillId="7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38" fontId="100" fillId="13" borderId="0" applyNumberFormat="0" applyBorder="0" applyAlignment="0" applyProtection="0">
      <alignment vertical="center"/>
    </xf>
    <xf numFmtId="0" fontId="119" fillId="0" borderId="47" applyNumberFormat="0" applyAlignment="0" applyProtection="0">
      <alignment horizontal="left" vertical="center"/>
    </xf>
    <xf numFmtId="0" fontId="60" fillId="0" borderId="0">
      <alignment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47" applyNumberFormat="0" applyAlignment="0" applyProtection="0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38" fillId="0" borderId="4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38" fillId="0" borderId="48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0" fontId="107" fillId="0" borderId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9" fillId="0" borderId="11">
      <alignment horizontal="left"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81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71" fillId="0" borderId="0" applyNumberFormat="0" applyBorder="0" applyAlignment="0" applyProtection="0"/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3" fillId="0" borderId="1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20" fillId="9" borderId="0" applyNumberFormat="0" applyBorder="0" applyAlignment="0" applyProtection="0"/>
    <xf numFmtId="0" fontId="55" fillId="13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177" fontId="37" fillId="0" borderId="0"/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/>
    <xf numFmtId="40" fontId="103" fillId="0" borderId="1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55" fillId="63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5" fontId="107" fillId="0" borderId="0" applyFont="0" applyFill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9" fillId="13" borderId="36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60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5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39" fillId="50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94" fillId="0" borderId="15" applyNumberFormat="0" applyFill="0" applyProtection="0">
      <alignment horizontal="center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28" fillId="0" borderId="42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96" fillId="13" borderId="37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2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37" fontId="133" fillId="0" borderId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0" borderId="11">
      <alignment horizontal="left" vertical="center"/>
    </xf>
    <xf numFmtId="0" fontId="102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55" fillId="0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58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04" fillId="0" borderId="0">
      <alignment vertical="center"/>
    </xf>
    <xf numFmtId="0" fontId="104" fillId="0" borderId="0">
      <alignment vertical="center"/>
    </xf>
    <xf numFmtId="0" fontId="7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4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21" fillId="66" borderId="44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71" fillId="7" borderId="0" applyNumberFormat="0" applyBorder="0" applyAlignment="0" applyProtection="0"/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21" fillId="66" borderId="44">
      <protection locked="0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07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3" borderId="0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47" fillId="0" borderId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111" fillId="13" borderId="37" applyNumberFormat="0" applyAlignment="0" applyProtection="0">
      <alignment vertical="center"/>
    </xf>
    <xf numFmtId="0" fontId="119" fillId="0" borderId="11">
      <alignment horizontal="left" vertical="center"/>
    </xf>
    <xf numFmtId="0" fontId="47" fillId="0" borderId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7" fillId="0" borderId="0"/>
    <xf numFmtId="0" fontId="104" fillId="0" borderId="0">
      <alignment vertical="center"/>
    </xf>
    <xf numFmtId="0" fontId="60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0" fontId="119" fillId="0" borderId="11">
      <alignment horizontal="left"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0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0" fontId="119" fillId="0" borderId="11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/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10" fontId="100" fillId="48" borderId="1" applyNumberFormat="0" applyBorder="0" applyAlignment="0" applyProtection="0"/>
    <xf numFmtId="0" fontId="55" fillId="7" borderId="0" applyNumberFormat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104" fillId="0" borderId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55" fillId="49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38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71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9" fillId="0" borderId="39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55" fillId="0" borderId="0" applyNumberFormat="0" applyBorder="0" applyAlignment="0" applyProtection="0"/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177" fontId="37" fillId="0" borderId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1" fillId="66" borderId="44">
      <protection locked="0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7" fontId="107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0" borderId="0"/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8" fillId="0" borderId="4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40" fillId="0" borderId="48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0" fontId="55" fillId="58" borderId="0" applyNumberFormat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2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55" fillId="0" borderId="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10" fontId="100" fillId="48" borderId="1" applyNumberFormat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47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10" fontId="100" fillId="48" borderId="1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10" fontId="100" fillId="48" borderId="1" applyNumberFormat="0" applyBorder="0" applyAlignment="0" applyProtection="0">
      <alignment vertical="center"/>
    </xf>
    <xf numFmtId="178" fontId="129" fillId="71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/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178" fontId="129" fillId="71" borderId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178" fontId="129" fillId="71" borderId="0"/>
    <xf numFmtId="0" fontId="37" fillId="0" borderId="15" applyNumberFormat="0" applyFill="0" applyProtection="0">
      <alignment horizontal="right"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178" fontId="129" fillId="71" borderId="0">
      <alignment vertical="center"/>
    </xf>
    <xf numFmtId="0" fontId="120" fillId="9" borderId="0" applyNumberFormat="0" applyBorder="0" applyAlignment="0" applyProtection="0"/>
    <xf numFmtId="178" fontId="129" fillId="71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178" fontId="115" fillId="65" borderId="0">
      <alignment vertical="center"/>
    </xf>
    <xf numFmtId="0" fontId="47" fillId="0" borderId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178" fontId="115" fillId="65" borderId="0"/>
    <xf numFmtId="40" fontId="103" fillId="0" borderId="1" applyFill="0" applyAlignment="0" applyProtection="0">
      <alignment vertical="center"/>
    </xf>
    <xf numFmtId="0" fontId="55" fillId="63" borderId="0" applyNumberFormat="0" applyBorder="0" applyAlignment="0" applyProtection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178" fontId="115" fillId="65" borderId="0"/>
    <xf numFmtId="0" fontId="111" fillId="13" borderId="37" applyNumberFormat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188" fontId="107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126" fillId="0" borderId="0"/>
    <xf numFmtId="0" fontId="126" fillId="0" borderId="0"/>
    <xf numFmtId="0" fontId="126" fillId="0" borderId="0"/>
    <xf numFmtId="0" fontId="104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/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6" fillId="0" borderId="0">
      <alignment vertical="center"/>
    </xf>
    <xf numFmtId="0" fontId="126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37" fontId="133" fillId="0" borderId="0"/>
    <xf numFmtId="0" fontId="55" fillId="57" borderId="0" applyNumberFormat="0" applyBorder="0" applyAlignment="0" applyProtection="0"/>
    <xf numFmtId="0" fontId="104" fillId="0" borderId="0">
      <alignment vertical="center"/>
    </xf>
    <xf numFmtId="37" fontId="133" fillId="0" borderId="0"/>
    <xf numFmtId="37" fontId="133" fillId="0" borderId="0"/>
    <xf numFmtId="0" fontId="104" fillId="0" borderId="0">
      <alignment vertical="center"/>
    </xf>
    <xf numFmtId="37" fontId="133" fillId="0" borderId="0"/>
    <xf numFmtId="0" fontId="104" fillId="0" borderId="0">
      <alignment vertical="center"/>
    </xf>
    <xf numFmtId="37" fontId="133" fillId="0" borderId="0"/>
    <xf numFmtId="37" fontId="133" fillId="0" borderId="0"/>
    <xf numFmtId="37" fontId="133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37" fontId="133" fillId="0" borderId="0">
      <alignment vertical="center"/>
    </xf>
    <xf numFmtId="0" fontId="47" fillId="0" borderId="0">
      <alignment vertical="center"/>
    </xf>
    <xf numFmtId="37" fontId="133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60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55" fillId="58" borderId="0" applyNumberFormat="0" applyAlignment="0" applyProtection="0">
      <alignment vertical="center"/>
    </xf>
    <xf numFmtId="177" fontId="37" fillId="0" borderId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4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4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4">
      <alignment vertical="center"/>
      <protection locked="0"/>
    </xf>
    <xf numFmtId="40" fontId="103" fillId="0" borderId="1" applyFill="0" applyAlignment="0" applyProtection="0">
      <alignment vertical="center"/>
    </xf>
    <xf numFmtId="0" fontId="121" fillId="66" borderId="44">
      <alignment vertical="center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1" fillId="66" borderId="44">
      <protection locked="0"/>
    </xf>
    <xf numFmtId="40" fontId="103" fillId="0" borderId="1" applyFill="0" applyAlignment="0" applyProtection="0">
      <alignment vertical="center"/>
    </xf>
    <xf numFmtId="0" fontId="121" fillId="66" borderId="44"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0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6" fillId="0" borderId="40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7" fillId="0" borderId="38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34" fillId="58" borderId="4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24" fillId="67" borderId="1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37" fillId="0" borderId="0" applyFont="0" applyFill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104" fillId="75" borderId="0" applyNumberFormat="0" applyBorder="0" applyAlignment="0" applyProtection="0"/>
    <xf numFmtId="40" fontId="103" fillId="0" borderId="1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0" borderId="0" applyNumberFormat="0" applyBorder="0" applyAlignment="0" applyProtection="0"/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13" fillId="72" borderId="0" applyNumberFormat="0" applyBorder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03" fillId="0" borderId="1" applyFill="0" applyAlignment="0" applyProtection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0" fillId="0" borderId="0"/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0" fontId="60" fillId="0" borderId="43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0" fillId="0" borderId="43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0" fontId="60" fillId="0" borderId="43" applyNumberFormat="0" applyFill="0" applyAlignment="0" applyProtection="0">
      <alignment vertical="center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4" fontId="127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71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97" fillId="0" borderId="38">
      <alignment horizontal="center" vertical="center"/>
    </xf>
    <xf numFmtId="10" fontId="37" fillId="0" borderId="0" applyFont="0" applyFill="0" applyBorder="0" applyAlignment="0" applyProtection="0"/>
    <xf numFmtId="0" fontId="97" fillId="0" borderId="38">
      <alignment horizontal="center" vertical="center"/>
    </xf>
    <xf numFmtId="10" fontId="37" fillId="0" borderId="0" applyFont="0" applyFill="0" applyBorder="0" applyAlignment="0" applyProtection="0"/>
    <xf numFmtId="0" fontId="97" fillId="0" borderId="38">
      <alignment horizontal="center" vertical="center"/>
    </xf>
    <xf numFmtId="10" fontId="37" fillId="0" borderId="0" applyFon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04" fillId="72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9" fontId="117" fillId="0" borderId="0" applyFon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40" fontId="124" fillId="67" borderId="1" applyAlignment="0" applyProtection="0">
      <alignment vertical="center"/>
    </xf>
    <xf numFmtId="40" fontId="10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0" fontId="124" fillId="67" borderId="1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90" fontId="37" fillId="0" borderId="0" applyFont="0" applyFill="0" applyProtection="0">
      <alignment vertical="center"/>
    </xf>
    <xf numFmtId="0" fontId="107" fillId="0" borderId="0" applyNumberFormat="0" applyFont="0" applyFill="0" applyBorder="0" applyAlignment="0" applyProtection="0">
      <alignment horizontal="left"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4" fillId="0" borderId="0">
      <alignment vertical="center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0" fontId="107" fillId="0" borderId="0" applyNumberFormat="0" applyFont="0" applyFill="0" applyBorder="0" applyAlignment="0" applyProtection="0">
      <alignment horizontal="left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28" fillId="0" borderId="42" applyNumberFormat="0" applyFill="0" applyAlignment="0" applyProtection="0">
      <alignment vertical="center"/>
    </xf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55" fillId="0" borderId="0" applyNumberFormat="0" applyBorder="0" applyAlignment="0" applyProtection="0"/>
    <xf numFmtId="15" fontId="107" fillId="0" borderId="0" applyFont="0" applyFill="0" applyBorder="0" applyAlignment="0" applyProtection="0"/>
    <xf numFmtId="0" fontId="55" fillId="0" borderId="0" applyNumberFormat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104" fillId="0" borderId="0" applyNumberFormat="0" applyBorder="0" applyAlignment="0" applyProtection="0">
      <alignment vertical="center"/>
    </xf>
    <xf numFmtId="15" fontId="107" fillId="0" borderId="0" applyFont="0" applyFill="0" applyBorder="0" applyAlignment="0" applyProtection="0"/>
    <xf numFmtId="0" fontId="60" fillId="0" borderId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15" fontId="107" fillId="0" borderId="0" applyFont="0" applyFill="0" applyBorder="0" applyAlignment="0" applyProtection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4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0" fontId="0" fillId="0" borderId="0">
      <alignment vertical="center"/>
    </xf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102" fillId="72" borderId="0" applyNumberFormat="0" applyBorder="0" applyAlignment="0" applyProtection="0">
      <alignment vertical="center"/>
    </xf>
    <xf numFmtId="4" fontId="107" fillId="0" borderId="0" applyFont="0" applyFill="0" applyBorder="0" applyAlignment="0" applyProtection="0"/>
    <xf numFmtId="0" fontId="97" fillId="0" borderId="38">
      <alignment horizontal="center" vertical="center"/>
    </xf>
    <xf numFmtId="0" fontId="97" fillId="0" borderId="38">
      <alignment horizontal="center"/>
    </xf>
    <xf numFmtId="0" fontId="97" fillId="0" borderId="38">
      <alignment horizontal="center"/>
    </xf>
    <xf numFmtId="0" fontId="104" fillId="0" borderId="0">
      <alignment vertical="center"/>
    </xf>
    <xf numFmtId="0" fontId="97" fillId="0" borderId="38">
      <alignment horizontal="center"/>
    </xf>
    <xf numFmtId="0" fontId="97" fillId="0" borderId="38">
      <alignment horizontal="center"/>
    </xf>
    <xf numFmtId="0" fontId="97" fillId="0" borderId="38">
      <alignment horizontal="center"/>
    </xf>
    <xf numFmtId="0" fontId="97" fillId="0" borderId="38">
      <alignment horizont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97" fillId="0" borderId="38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07" fillId="0" borderId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96" fillId="13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0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108" fillId="49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104" fillId="0" borderId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55" fillId="7" borderId="0" applyNumberFormat="0" applyAlignment="0" applyProtection="0">
      <alignment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0" fontId="93" fillId="13" borderId="36" applyNumberFormat="0" applyAlignment="0" applyProtection="0">
      <alignment vertical="center"/>
    </xf>
    <xf numFmtId="0" fontId="97" fillId="0" borderId="38">
      <alignment horizontal="center"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97" fillId="0" borderId="38">
      <alignment horizontal="center" vertical="center"/>
    </xf>
    <xf numFmtId="0" fontId="111" fillId="13" borderId="37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0" fontId="47" fillId="0" borderId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/>
    <xf numFmtId="0" fontId="128" fillId="0" borderId="42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42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0" fontId="128" fillId="0" borderId="42" applyNumberFormat="0" applyFill="0" applyAlignment="0" applyProtection="0">
      <alignment vertical="center"/>
    </xf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3" fontId="107" fillId="0" borderId="0" applyFont="0" applyFill="0" applyBorder="0" applyAlignment="0" applyProtection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3" fontId="107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3" fontId="107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/>
    <xf numFmtId="0" fontId="47" fillId="0" borderId="0">
      <alignment vertical="center"/>
    </xf>
    <xf numFmtId="0" fontId="107" fillId="68" borderId="0" applyNumberFormat="0" applyFont="0" applyBorder="0" applyAlignment="0" applyProtection="0"/>
    <xf numFmtId="0" fontId="47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07" fillId="68" borderId="0" applyNumberFormat="0" applyFont="0" applyBorder="0" applyAlignment="0" applyProtection="0"/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107" fillId="68" borderId="0" applyNumberFormat="0" applyFont="0" applyBorder="0" applyAlignment="0" applyProtection="0"/>
    <xf numFmtId="0" fontId="55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7" fillId="68" borderId="0" applyNumberFormat="0" applyFont="0" applyBorder="0" applyAlignment="0" applyProtection="0">
      <alignment vertical="center"/>
    </xf>
    <xf numFmtId="0" fontId="121" fillId="66" borderId="44">
      <alignment vertical="center"/>
      <protection locked="0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96" fillId="13" borderId="37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21" fillId="66" borderId="44">
      <protection locked="0"/>
    </xf>
    <xf numFmtId="0" fontId="108" fillId="49" borderId="36" applyNumberFormat="0" applyAlignment="0" applyProtection="0">
      <alignment vertical="center"/>
    </xf>
    <xf numFmtId="0" fontId="121" fillId="66" borderId="44">
      <protection locked="0"/>
    </xf>
    <xf numFmtId="0" fontId="108" fillId="49" borderId="36" applyNumberFormat="0" applyAlignment="0" applyProtection="0">
      <alignment vertical="center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60" fillId="0" borderId="43" applyNumberFormat="0" applyFill="0" applyAlignment="0" applyProtection="0">
      <alignment vertical="center"/>
    </xf>
    <xf numFmtId="0" fontId="121" fillId="66" borderId="44">
      <protection locked="0"/>
    </xf>
    <xf numFmtId="0" fontId="60" fillId="0" borderId="43" applyNumberFormat="0" applyFill="0" applyAlignment="0" applyProtection="0">
      <alignment vertical="center"/>
    </xf>
    <xf numFmtId="0" fontId="121" fillId="66" borderId="44">
      <protection locked="0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0" fontId="4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104" fillId="0" borderId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60" fillId="0" borderId="43" applyNumberFormat="0" applyFill="0" applyAlignment="0" applyProtection="0">
      <alignment vertical="center"/>
    </xf>
    <xf numFmtId="0" fontId="142" fillId="0" borderId="0">
      <alignment vertical="center"/>
    </xf>
    <xf numFmtId="0" fontId="60" fillId="0" borderId="0">
      <alignment vertical="center"/>
    </xf>
    <xf numFmtId="0" fontId="103" fillId="0" borderId="1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1" fillId="66" borderId="44">
      <alignment vertical="center"/>
      <protection locked="0"/>
    </xf>
    <xf numFmtId="0" fontId="0" fillId="0" borderId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1" fillId="66" borderId="44">
      <protection locked="0"/>
    </xf>
    <xf numFmtId="0" fontId="0" fillId="0" borderId="0">
      <alignment vertical="center"/>
    </xf>
    <xf numFmtId="0" fontId="121" fillId="66" borderId="44">
      <protection locked="0"/>
    </xf>
    <xf numFmtId="0" fontId="0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protection locked="0"/>
    </xf>
    <xf numFmtId="0" fontId="104" fillId="0" borderId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47" fillId="0" borderId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21" fillId="66" borderId="44">
      <protection locked="0"/>
    </xf>
    <xf numFmtId="0" fontId="121" fillId="66" borderId="44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1" fillId="66" borderId="44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04" fillId="0" borderId="0">
      <alignment vertical="center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21" fillId="66" borderId="44">
      <protection locked="0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0" fontId="121" fillId="66" borderId="44">
      <alignment vertical="center"/>
      <protection locked="0"/>
    </xf>
    <xf numFmtId="0" fontId="93" fillId="13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9" fillId="13" borderId="36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95" fillId="0" borderId="0" applyNumberFormat="0" applyFill="0" applyBorder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37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60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right"/>
    </xf>
    <xf numFmtId="0" fontId="109" fillId="13" borderId="36" applyNumberFormat="0" applyAlignment="0" applyProtection="0">
      <alignment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right" vertical="center"/>
    </xf>
    <xf numFmtId="0" fontId="37" fillId="0" borderId="15" applyNumberFormat="0" applyFill="0" applyProtection="0">
      <alignment horizontal="right"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30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47" fillId="0" borderId="0">
      <alignment vertical="center"/>
    </xf>
    <xf numFmtId="0" fontId="125" fillId="0" borderId="45" applyNumberFormat="0" applyFill="0" applyAlignment="0" applyProtection="0">
      <alignment vertical="center"/>
    </xf>
    <xf numFmtId="0" fontId="60" fillId="0" borderId="0">
      <alignment vertical="center"/>
    </xf>
    <xf numFmtId="0" fontId="55" fillId="0" borderId="0" applyNumberFormat="0" applyBorder="0" applyAlignment="0" applyProtection="0"/>
    <xf numFmtId="0" fontId="125" fillId="0" borderId="45" applyNumberFormat="0" applyFill="0" applyAlignment="0" applyProtection="0">
      <alignment vertical="center"/>
    </xf>
    <xf numFmtId="0" fontId="60" fillId="0" borderId="0">
      <alignment vertical="center"/>
    </xf>
    <xf numFmtId="0" fontId="55" fillId="0" borderId="0" applyNumberFormat="0" applyBorder="0" applyAlignment="0" applyProtection="0"/>
    <xf numFmtId="0" fontId="125" fillId="0" borderId="45" applyNumberFormat="0" applyFill="0" applyAlignment="0" applyProtection="0">
      <alignment vertical="center"/>
    </xf>
    <xf numFmtId="0" fontId="125" fillId="0" borderId="45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43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06" fillId="0" borderId="40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/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6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0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0" fillId="0" borderId="42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04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28" fillId="0" borderId="42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09" fillId="13" borderId="36" applyNumberFormat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60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11" fillId="13" borderId="37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0" fillId="48" borderId="41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41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41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0" fillId="48" borderId="41" applyNumberFormat="0" applyFon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14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6" fillId="13" borderId="37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60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/>
    </xf>
    <xf numFmtId="0" fontId="93" fillId="13" borderId="36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4" fillId="0" borderId="15" applyNumberFormat="0" applyFill="0" applyProtection="0">
      <alignment horizont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104" fillId="0" borderId="0">
      <alignment vertical="center"/>
    </xf>
    <xf numFmtId="0" fontId="94" fillId="0" borderId="15" applyNumberFormat="0" applyFill="0" applyProtection="0">
      <alignment horizontal="center" vertical="center"/>
    </xf>
    <xf numFmtId="0" fontId="94" fillId="0" borderId="15" applyNumberFormat="0" applyFill="0" applyProtection="0">
      <alignment horizontal="center"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3" fillId="13" borderId="36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22" fillId="0" borderId="0" applyNumberFormat="0" applyFill="0" applyBorder="0" applyAlignment="0" applyProtection="0"/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0" fillId="0" borderId="0">
      <alignment vertical="center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96" fillId="13" borderId="37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122" fillId="0" borderId="0" applyNumberFormat="0" applyFill="0" applyBorder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118" fillId="49" borderId="36" applyNumberFormat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118" fillId="49" borderId="36" applyNumberFormat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118" fillId="49" borderId="36" applyNumberFormat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118" fillId="49" borderId="36" applyNumberFormat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118" fillId="49" borderId="36" applyNumberFormat="0" applyAlignment="0" applyProtection="0">
      <alignment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9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104" fillId="0" borderId="0">
      <alignment vertic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9" applyNumberFormat="0" applyFill="0" applyProtection="0">
      <alignment horizontal="center"/>
    </xf>
    <xf numFmtId="0" fontId="47" fillId="0" borderId="0">
      <alignment vertical="center"/>
    </xf>
    <xf numFmtId="0" fontId="47" fillId="0" borderId="0">
      <alignment vertical="center"/>
    </xf>
    <xf numFmtId="0" fontId="99" fillId="0" borderId="39" applyNumberFormat="0" applyFill="0" applyProtection="0">
      <alignment horizont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99" fillId="0" borderId="39" applyNumberFormat="0" applyFill="0" applyProtection="0">
      <alignment horizontal="center"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39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1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7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47" fillId="0" borderId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/>
    <xf numFmtId="0" fontId="0" fillId="0" borderId="0">
      <alignment vertical="center"/>
    </xf>
    <xf numFmtId="0" fontId="136" fillId="50" borderId="0" applyNumberFormat="0" applyBorder="0" applyAlignment="0" applyProtection="0"/>
    <xf numFmtId="40" fontId="123" fillId="0" borderId="1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/>
    <xf numFmtId="0" fontId="136" fillId="5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3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3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/>
    <xf numFmtId="0" fontId="104" fillId="0" borderId="0">
      <alignment vertical="center"/>
    </xf>
    <xf numFmtId="0" fontId="60" fillId="0" borderId="0"/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3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7" borderId="0" applyNumberFormat="0" applyBorder="0" applyAlignment="0" applyProtection="0"/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52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5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/>
    <xf numFmtId="0" fontId="104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104" fillId="0" borderId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7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07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20" fillId="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63" borderId="0" applyNumberFormat="0" applyBorder="0" applyAlignment="0" applyProtection="0"/>
    <xf numFmtId="0" fontId="104" fillId="0" borderId="0">
      <alignment vertical="center"/>
    </xf>
    <xf numFmtId="0" fontId="55" fillId="6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0" fillId="0" borderId="0" applyNumberFormat="0" applyFont="0" applyAlignment="0" applyProtection="0">
      <alignment vertical="center"/>
    </xf>
    <xf numFmtId="0" fontId="10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8" fillId="49" borderId="36" applyNumberFormat="0" applyAlignment="0" applyProtection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71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60" fillId="0" borderId="43" applyNumberFormat="0" applyFill="0" applyAlignment="0" applyProtection="0">
      <alignment vertical="center"/>
    </xf>
    <xf numFmtId="0" fontId="10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107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107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/>
    <xf numFmtId="0" fontId="107" fillId="0" borderId="0">
      <alignment vertical="center"/>
    </xf>
    <xf numFmtId="0" fontId="96" fillId="13" borderId="37" applyNumberFormat="0" applyAlignment="0" applyProtection="0">
      <alignment vertical="center"/>
    </xf>
    <xf numFmtId="0" fontId="0" fillId="0" borderId="0"/>
    <xf numFmtId="0" fontId="104" fillId="0" borderId="0">
      <alignment vertical="center"/>
    </xf>
    <xf numFmtId="0" fontId="0" fillId="0" borderId="0"/>
    <xf numFmtId="0" fontId="107" fillId="0" borderId="0">
      <alignment vertical="center"/>
    </xf>
    <xf numFmtId="0" fontId="47" fillId="0" borderId="0">
      <alignment vertical="center"/>
    </xf>
    <xf numFmtId="0" fontId="0" fillId="0" borderId="0"/>
    <xf numFmtId="0" fontId="47" fillId="0" borderId="0">
      <alignment vertical="center"/>
    </xf>
    <xf numFmtId="0" fontId="0" fillId="0" borderId="0"/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/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4" fillId="58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7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104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10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57" borderId="0" applyNumberFormat="0" applyBorder="0" applyAlignment="0" applyProtection="0"/>
    <xf numFmtId="0" fontId="10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4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3" fillId="0" borderId="1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55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1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176" fontId="60" fillId="0" borderId="0" applyFont="0" applyFill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55" fillId="49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0"/>
    <xf numFmtId="0" fontId="6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/>
    <xf numFmtId="0" fontId="6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37" fillId="0" borderId="15" applyNumberFormat="0" applyFill="0" applyProtection="0">
      <alignment horizontal="left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3" fontId="145" fillId="0" borderId="0" applyNumberFormat="0" applyFill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176" fontId="6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71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55" fillId="0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/>
    <xf numFmtId="0" fontId="104" fillId="0" borderId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1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104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60" fillId="0" borderId="0">
      <alignment vertical="center"/>
    </xf>
    <xf numFmtId="0" fontId="55" fillId="58" borderId="0" applyNumberFormat="0" applyAlignment="0" applyProtection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3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118" fillId="49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8" borderId="0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9" borderId="0" applyNumberFormat="0" applyBorder="0" applyAlignment="0" applyProtection="0"/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181" fontId="60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7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3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108" fillId="49" borderId="36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74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0" fontId="55" fillId="58" borderId="0" applyNumberFormat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4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6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104" fillId="0" borderId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96" fillId="13" borderId="37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31" fillId="9" borderId="0" applyNumberFormat="0" applyBorder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93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109" fillId="13" borderId="36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120" fillId="9" borderId="0" applyNumberFormat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58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5" fillId="7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08" fillId="49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44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131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04" fillId="0" borderId="0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20" fillId="9" borderId="0" applyNumberFormat="0" applyBorder="0" applyAlignment="0" applyProtection="0"/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120" fillId="9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60" fillId="0" borderId="43" applyNumberFormat="0" applyFill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47" fillId="58" borderId="4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104" fillId="74" borderId="0" applyNumberFormat="0" applyBorder="0" applyAlignment="0" applyProtection="0"/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10" fontId="107" fillId="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4" fillId="10" borderId="0" applyNumberFormat="0" applyBorder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0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71" fillId="0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71" fillId="0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0" fontId="60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9" fillId="13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/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109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3" fillId="13" borderId="3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4" fillId="0" borderId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04" fillId="0" borderId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4" fillId="58" borderId="46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39" applyNumberFormat="0" applyFill="0" applyProtection="0">
      <alignment horizontal="left" vertical="center"/>
    </xf>
    <xf numFmtId="0" fontId="99" fillId="0" borderId="39" applyNumberFormat="0" applyFill="0" applyProtection="0">
      <alignment horizontal="left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38" fillId="0" borderId="48" applyNumberFormat="0" applyFill="0" applyAlignment="0" applyProtection="0">
      <alignment vertical="center"/>
    </xf>
    <xf numFmtId="0" fontId="138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6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/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4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/>
    <xf numFmtId="0" fontId="104" fillId="0" borderId="0">
      <alignment vertical="center"/>
    </xf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04" fillId="76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6" borderId="0" applyNumberFormat="0" applyBorder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04" fillId="75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04" fillId="75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70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2" fillId="6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2" fillId="69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3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4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73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4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3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0" fontId="102" fillId="72" borderId="0" applyNumberFormat="0" applyBorder="0" applyAlignment="0" applyProtection="0">
      <alignment vertical="center"/>
    </xf>
    <xf numFmtId="193" fontId="37" fillId="0" borderId="39" applyFill="0" applyProtection="0">
      <alignment horizontal="right" vertical="center"/>
    </xf>
    <xf numFmtId="193" fontId="37" fillId="0" borderId="39" applyFill="0" applyProtection="0">
      <alignment horizontal="right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55" fillId="7" borderId="0" applyNumberFormat="0" applyAlignment="0" applyProtection="0">
      <alignment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104" fillId="0" borderId="0">
      <alignment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/>
    </xf>
    <xf numFmtId="0" fontId="104" fillId="0" borderId="0" applyNumberFormat="0" applyBorder="0" applyAlignment="0" applyProtection="0">
      <alignment vertical="center"/>
    </xf>
    <xf numFmtId="0" fontId="37" fillId="0" borderId="15" applyNumberFormat="0" applyFill="0" applyProtection="0">
      <alignment horizontal="left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37" fillId="0" borderId="15" applyNumberFormat="0" applyFill="0" applyProtection="0">
      <alignment horizontal="left"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37" fillId="10" borderId="0" applyNumberFormat="0" applyBorder="0" applyAlignment="0" applyProtection="0">
      <alignment vertical="center"/>
    </xf>
    <xf numFmtId="0" fontId="104" fillId="0" borderId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41" fillId="10" borderId="0" applyNumberFormat="0" applyBorder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55" fillId="5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55" fillId="58" borderId="0" applyNumberFormat="0" applyBorder="0" applyAlignment="0" applyProtection="0"/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4" fillId="0" borderId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0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104" fillId="9" borderId="0" applyNumberFormat="0" applyBorder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96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11" fillId="13" borderId="37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55" fillId="58" borderId="0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55" fillId="59" borderId="0" applyNumberFormat="0" applyBorder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4" fillId="0" borderId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40" fontId="123" fillId="0" borderId="1" applyFill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1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0" fontId="108" fillId="49" borderId="36" applyNumberFormat="0" applyAlignment="0" applyProtection="0">
      <alignment vertical="center"/>
    </xf>
    <xf numFmtId="1" fontId="37" fillId="0" borderId="39" applyFill="0" applyProtection="0">
      <alignment horizontal="center" vertical="center"/>
    </xf>
    <xf numFmtId="1" fontId="37" fillId="0" borderId="39" applyFill="0" applyProtection="0">
      <alignment horizont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10" fontId="107" fillId="0" borderId="0" applyNumberFormat="0" applyBorder="0" applyAlignment="0" applyProtection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17" fillId="0" borderId="0">
      <alignment vertical="center"/>
    </xf>
    <xf numFmtId="0" fontId="107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104" fillId="0" borderId="0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47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48" borderId="41" applyNumberFormat="0" applyFont="0" applyAlignment="0" applyProtection="0">
      <alignment vertical="center"/>
    </xf>
    <xf numFmtId="0" fontId="0" fillId="0" borderId="0"/>
  </cellStyleXfs>
  <cellXfs count="83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3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0" fillId="2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43" fontId="19" fillId="0" borderId="0" xfId="0" applyNumberFormat="1" applyFont="1" applyBorder="1">
      <alignment vertical="center"/>
    </xf>
    <xf numFmtId="200" fontId="19" fillId="0" borderId="0" xfId="0" applyNumberFormat="1" applyFont="1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20" fillId="0" borderId="0" xfId="0" applyNumberFormat="1" applyFont="1" applyFill="1" applyBorder="1" applyAlignment="1">
      <alignment horizontal="center" vertical="center" wrapText="1"/>
    </xf>
    <xf numFmtId="194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 wrapText="1"/>
    </xf>
    <xf numFmtId="198" fontId="20" fillId="0" borderId="0" xfId="0" applyNumberFormat="1" applyFont="1" applyFill="1" applyBorder="1" applyAlignment="1">
      <alignment horizontal="center" vertical="center"/>
    </xf>
    <xf numFmtId="196" fontId="20" fillId="0" borderId="0" xfId="0" applyNumberFormat="1" applyFont="1" applyFill="1" applyBorder="1" applyAlignment="1">
      <alignment horizontal="center" vertical="center"/>
    </xf>
    <xf numFmtId="201" fontId="21" fillId="3" borderId="0" xfId="0" applyNumberFormat="1" applyFont="1" applyFill="1" applyBorder="1" applyAlignment="1">
      <alignment horizontal="center" vertical="center"/>
    </xf>
    <xf numFmtId="43" fontId="21" fillId="3" borderId="0" xfId="0" applyNumberFormat="1" applyFont="1" applyFill="1" applyBorder="1" applyAlignment="1">
      <alignment horizontal="center" vertical="center"/>
    </xf>
    <xf numFmtId="201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0" fontId="22" fillId="3" borderId="0" xfId="0" applyNumberFormat="1" applyFont="1" applyFill="1" applyBorder="1" applyAlignment="1" applyProtection="1">
      <alignment horizontal="center" vertical="center" wrapText="1"/>
    </xf>
    <xf numFmtId="43" fontId="2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43" fontId="22" fillId="0" borderId="0" xfId="0" applyNumberFormat="1" applyFont="1" applyFill="1" applyBorder="1" applyAlignment="1" applyProtection="1">
      <alignment horizontal="center" vertical="center" wrapText="1"/>
    </xf>
    <xf numFmtId="43" fontId="20" fillId="2" borderId="0" xfId="0" applyNumberFormat="1" applyFont="1" applyFill="1" applyBorder="1">
      <alignment vertical="center"/>
    </xf>
    <xf numFmtId="194" fontId="20" fillId="0" borderId="0" xfId="0" applyNumberFormat="1" applyFont="1" applyFill="1" applyBorder="1" applyAlignment="1">
      <alignment horizontal="center" vertical="center" wrapText="1"/>
    </xf>
    <xf numFmtId="202" fontId="20" fillId="0" borderId="0" xfId="0" applyNumberFormat="1" applyFont="1" applyFill="1" applyBorder="1" applyAlignment="1">
      <alignment horizontal="center" vertical="center"/>
    </xf>
    <xf numFmtId="194" fontId="19" fillId="3" borderId="0" xfId="0" applyNumberFormat="1" applyFont="1" applyFill="1" applyBorder="1" applyAlignment="1">
      <alignment horizontal="left" vertical="center"/>
    </xf>
    <xf numFmtId="14" fontId="19" fillId="3" borderId="0" xfId="0" applyNumberFormat="1" applyFont="1" applyFill="1" applyBorder="1" applyAlignment="1">
      <alignment horizontal="left" vertical="center"/>
    </xf>
    <xf numFmtId="203" fontId="20" fillId="0" borderId="0" xfId="0" applyNumberFormat="1" applyFont="1" applyFill="1" applyBorder="1" applyAlignment="1">
      <alignment horizontal="center" vertical="center"/>
    </xf>
    <xf numFmtId="200" fontId="19" fillId="0" borderId="0" xfId="3" applyNumberFormat="1" applyFont="1" applyFill="1" applyBorder="1" applyAlignment="1">
      <alignment horizontal="center" vertical="center"/>
    </xf>
    <xf numFmtId="200" fontId="20" fillId="4" borderId="0" xfId="3" applyNumberFormat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195" fontId="19" fillId="3" borderId="0" xfId="3" applyNumberFormat="1" applyFont="1" applyFill="1" applyBorder="1">
      <alignment vertical="center"/>
    </xf>
    <xf numFmtId="200" fontId="20" fillId="2" borderId="0" xfId="3" applyNumberFormat="1" applyFont="1" applyFill="1" applyBorder="1">
      <alignment vertical="center"/>
    </xf>
    <xf numFmtId="0" fontId="19" fillId="0" borderId="0" xfId="0" applyFont="1" applyBorder="1" applyAlignment="1">
      <alignment vertical="center" wrapText="1"/>
    </xf>
    <xf numFmtId="200" fontId="19" fillId="0" borderId="0" xfId="3" applyNumberFormat="1" applyFont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Border="1">
      <alignment vertical="center"/>
    </xf>
    <xf numFmtId="0" fontId="15" fillId="0" borderId="0" xfId="0" applyFont="1" applyFill="1" applyBorder="1">
      <alignment vertical="center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197" fontId="23" fillId="0" borderId="0" xfId="0" applyNumberFormat="1" applyFont="1" applyFill="1" applyBorder="1" applyAlignment="1" applyProtection="1">
      <alignment horizontal="center" vertical="center" shrinkToFit="1"/>
    </xf>
    <xf numFmtId="0" fontId="23" fillId="0" borderId="0" xfId="0" applyFont="1" applyFill="1" applyBorder="1" applyAlignment="1" applyProtection="1">
      <alignment horizontal="center" vertical="center"/>
    </xf>
    <xf numFmtId="197" fontId="23" fillId="3" borderId="0" xfId="0" applyNumberFormat="1" applyFont="1" applyFill="1" applyBorder="1" applyAlignment="1" applyProtection="1">
      <alignment horizontal="center" vertical="center" shrinkToFit="1"/>
    </xf>
    <xf numFmtId="0" fontId="23" fillId="3" borderId="0" xfId="0" applyFont="1" applyFill="1" applyBorder="1" applyAlignment="1" applyProtection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>
      <alignment horizontal="center" vertical="center"/>
    </xf>
    <xf numFmtId="49" fontId="23" fillId="3" borderId="0" xfId="0" applyNumberFormat="1" applyFont="1" applyFill="1" applyBorder="1" applyAlignment="1" applyProtection="1">
      <alignment horizontal="center" vertical="center" shrinkToFit="1"/>
    </xf>
    <xf numFmtId="0" fontId="23" fillId="3" borderId="0" xfId="0" applyFont="1" applyFill="1" applyBorder="1">
      <alignment vertical="center"/>
    </xf>
    <xf numFmtId="202" fontId="18" fillId="0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/>
    </xf>
    <xf numFmtId="203" fontId="18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200" fontId="18" fillId="4" borderId="0" xfId="3" applyNumberFormat="1" applyFont="1" applyFill="1" applyBorder="1" applyAlignment="1">
      <alignment horizontal="center" vertical="center" wrapText="1"/>
    </xf>
    <xf numFmtId="195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198" fontId="18" fillId="2" borderId="0" xfId="0" applyNumberFormat="1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 wrapText="1"/>
    </xf>
    <xf numFmtId="195" fontId="15" fillId="3" borderId="0" xfId="3" applyNumberFormat="1" applyFont="1" applyFill="1" applyBorder="1">
      <alignment vertical="center"/>
    </xf>
    <xf numFmtId="205" fontId="15" fillId="0" borderId="0" xfId="0" applyNumberFormat="1" applyFont="1" applyBorder="1" applyAlignment="1">
      <alignment horizontal="center" vertical="center"/>
    </xf>
    <xf numFmtId="198" fontId="15" fillId="0" borderId="0" xfId="0" applyNumberFormat="1" applyFont="1" applyBorder="1" applyAlignment="1">
      <alignment horizontal="center" vertical="center"/>
    </xf>
    <xf numFmtId="43" fontId="15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center" vertical="center"/>
    </xf>
    <xf numFmtId="49" fontId="25" fillId="3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/>
    </xf>
    <xf numFmtId="201" fontId="15" fillId="3" borderId="0" xfId="0" applyNumberFormat="1" applyFont="1" applyFill="1" applyBorder="1" applyAlignment="1">
      <alignment horizontal="center" vertical="center"/>
    </xf>
    <xf numFmtId="197" fontId="25" fillId="3" borderId="0" xfId="0" applyNumberFormat="1" applyFont="1" applyFill="1" applyBorder="1" applyAlignment="1" applyProtection="1">
      <alignment horizontal="center" vertical="center" shrinkToFit="1"/>
    </xf>
    <xf numFmtId="49" fontId="26" fillId="3" borderId="0" xfId="0" applyNumberFormat="1" applyFont="1" applyFill="1" applyBorder="1" applyAlignment="1" applyProtection="1">
      <alignment horizontal="center" vertical="center" shrinkToFit="1"/>
    </xf>
    <xf numFmtId="197" fontId="25" fillId="5" borderId="0" xfId="0" applyNumberFormat="1" applyFont="1" applyFill="1" applyBorder="1" applyAlignment="1" applyProtection="1">
      <alignment horizontal="center" vertical="center" shrinkToFit="1"/>
    </xf>
    <xf numFmtId="0" fontId="25" fillId="5" borderId="0" xfId="0" applyFont="1" applyFill="1" applyBorder="1" applyAlignment="1" applyProtection="1">
      <alignment horizontal="center" vertical="center"/>
    </xf>
    <xf numFmtId="49" fontId="25" fillId="5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 wrapText="1"/>
    </xf>
    <xf numFmtId="206" fontId="15" fillId="3" borderId="0" xfId="0" applyNumberFormat="1" applyFont="1" applyFill="1" applyBorder="1" applyAlignment="1">
      <alignment horizontal="center" vertical="center"/>
    </xf>
    <xf numFmtId="194" fontId="15" fillId="3" borderId="0" xfId="0" applyNumberFormat="1" applyFont="1" applyFill="1" applyBorder="1" applyAlignment="1">
      <alignment horizontal="center" vertical="center"/>
    </xf>
    <xf numFmtId="202" fontId="15" fillId="3" borderId="0" xfId="0" applyNumberFormat="1" applyFont="1" applyFill="1" applyBorder="1" applyAlignment="1">
      <alignment horizontal="center" vertical="center"/>
    </xf>
    <xf numFmtId="205" fontId="18" fillId="0" borderId="0" xfId="0" applyNumberFormat="1" applyFont="1" applyFill="1" applyAlignment="1">
      <alignment horizontal="center" vertical="center"/>
    </xf>
    <xf numFmtId="198" fontId="18" fillId="0" borderId="0" xfId="0" applyNumberFormat="1" applyFont="1" applyFill="1" applyAlignment="1">
      <alignment horizontal="center" vertical="center"/>
    </xf>
    <xf numFmtId="205" fontId="18" fillId="0" borderId="0" xfId="0" applyNumberFormat="1" applyFont="1" applyFill="1" applyBorder="1" applyAlignment="1">
      <alignment horizontal="center" vertical="center"/>
    </xf>
    <xf numFmtId="205" fontId="15" fillId="3" borderId="0" xfId="0" applyNumberFormat="1" applyFont="1" applyFill="1" applyBorder="1" applyAlignment="1">
      <alignment horizontal="center" vertical="center"/>
    </xf>
    <xf numFmtId="198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wrapText="1"/>
    </xf>
    <xf numFmtId="43" fontId="15" fillId="0" borderId="0" xfId="3" applyNumberFormat="1" applyFont="1" applyFill="1" applyBorder="1" applyAlignment="1">
      <alignment horizontal="center" vertical="center"/>
    </xf>
    <xf numFmtId="43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200" fontId="18" fillId="0" borderId="0" xfId="3" applyNumberFormat="1" applyFont="1" applyFill="1" applyBorder="1" applyAlignment="1">
      <alignment horizontal="center" vertical="center" wrapText="1"/>
    </xf>
    <xf numFmtId="195" fontId="18" fillId="0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204" fontId="15" fillId="3" borderId="0" xfId="3" applyNumberFormat="1" applyFont="1" applyFill="1" applyBorder="1" applyAlignment="1">
      <alignment horizontal="center" vertical="center"/>
    </xf>
    <xf numFmtId="195" fontId="16" fillId="3" borderId="0" xfId="3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49" fontId="26" fillId="5" borderId="0" xfId="0" applyNumberFormat="1" applyFont="1" applyFill="1" applyBorder="1" applyAlignment="1" applyProtection="1">
      <alignment horizontal="center" vertical="center" shrinkToFit="1"/>
    </xf>
    <xf numFmtId="197" fontId="25" fillId="0" borderId="0" xfId="0" applyNumberFormat="1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205" fontId="15" fillId="0" borderId="0" xfId="0" applyNumberFormat="1" applyFont="1" applyFill="1" applyBorder="1" applyAlignment="1">
      <alignment horizontal="center" vertical="center"/>
    </xf>
    <xf numFmtId="205" fontId="18" fillId="2" borderId="0" xfId="0" applyNumberFormat="1" applyFont="1" applyFill="1" applyBorder="1" applyAlignment="1">
      <alignment horizontal="center" vertical="center"/>
    </xf>
    <xf numFmtId="43" fontId="18" fillId="2" borderId="0" xfId="3" applyNumberFormat="1" applyFont="1" applyFill="1" applyBorder="1" applyAlignment="1">
      <alignment horizontal="center" vertical="center"/>
    </xf>
    <xf numFmtId="43" fontId="15" fillId="0" borderId="0" xfId="3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207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/>
    </xf>
    <xf numFmtId="207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 wrapText="1"/>
    </xf>
    <xf numFmtId="198" fontId="27" fillId="0" borderId="0" xfId="0" applyNumberFormat="1" applyFont="1" applyFill="1" applyBorder="1" applyAlignment="1">
      <alignment horizontal="center" vertical="center"/>
    </xf>
    <xf numFmtId="207" fontId="27" fillId="0" borderId="0" xfId="0" applyNumberFormat="1" applyFont="1" applyFill="1" applyBorder="1" applyAlignment="1">
      <alignment horizontal="center" vertical="center"/>
    </xf>
    <xf numFmtId="208" fontId="27" fillId="0" borderId="0" xfId="0" applyNumberFormat="1" applyFont="1" applyFill="1" applyBorder="1" applyAlignment="1">
      <alignment horizontal="center" vertical="center" wrapText="1"/>
    </xf>
    <xf numFmtId="196" fontId="27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3" borderId="0" xfId="0" applyNumberFormat="1" applyFont="1" applyFill="1" applyBorder="1" applyAlignment="1" applyProtection="1">
      <alignment horizontal="center" vertical="center" shrinkToFit="1"/>
    </xf>
    <xf numFmtId="207" fontId="15" fillId="3" borderId="0" xfId="0" applyNumberFormat="1" applyFont="1" applyFill="1" applyBorder="1" applyAlignment="1">
      <alignment horizontal="center" vertical="center"/>
    </xf>
    <xf numFmtId="196" fontId="15" fillId="3" borderId="0" xfId="0" applyNumberFormat="1" applyFont="1" applyFill="1" applyBorder="1" applyAlignment="1">
      <alignment horizontal="center" vertical="center"/>
    </xf>
    <xf numFmtId="208" fontId="15" fillId="3" borderId="0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 shrinkToFit="1"/>
    </xf>
    <xf numFmtId="194" fontId="15" fillId="3" borderId="0" xfId="0" applyNumberFormat="1" applyFont="1" applyFill="1" applyBorder="1" applyAlignment="1">
      <alignment horizontal="center" vertical="center" wrapText="1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194" fontId="27" fillId="0" borderId="0" xfId="0" applyNumberFormat="1" applyFont="1" applyFill="1" applyBorder="1" applyAlignment="1">
      <alignment horizontal="center" vertical="center"/>
    </xf>
    <xf numFmtId="202" fontId="27" fillId="0" borderId="0" xfId="0" applyNumberFormat="1" applyFont="1" applyFill="1" applyBorder="1" applyAlignment="1">
      <alignment horizontal="center" vertical="center"/>
    </xf>
    <xf numFmtId="203" fontId="27" fillId="0" borderId="0" xfId="0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/>
    </xf>
    <xf numFmtId="203" fontId="15" fillId="3" borderId="0" xfId="0" applyNumberFormat="1" applyFont="1" applyFill="1" applyBorder="1" applyAlignment="1">
      <alignment horizontal="center" vertical="center"/>
    </xf>
    <xf numFmtId="195" fontId="18" fillId="0" borderId="0" xfId="3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 wrapText="1"/>
    </xf>
    <xf numFmtId="200" fontId="27" fillId="4" borderId="0" xfId="3" applyNumberFormat="1" applyFont="1" applyFill="1" applyBorder="1" applyAlignment="1">
      <alignment horizontal="center" vertical="center" wrapText="1"/>
    </xf>
    <xf numFmtId="195" fontId="27" fillId="4" borderId="0" xfId="3" applyNumberFormat="1" applyFont="1" applyFill="1" applyBorder="1" applyAlignment="1">
      <alignment horizontal="center" vertical="center" wrapText="1"/>
    </xf>
    <xf numFmtId="194" fontId="27" fillId="0" borderId="0" xfId="0" applyNumberFormat="1" applyFont="1" applyFill="1" applyBorder="1" applyAlignment="1">
      <alignment horizontal="center" vertical="center" wrapText="1"/>
    </xf>
    <xf numFmtId="194" fontId="27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18" fillId="4" borderId="0" xfId="0" applyNumberFormat="1" applyFont="1" applyFill="1" applyBorder="1" applyAlignment="1">
      <alignment horizontal="center" vertical="center"/>
    </xf>
    <xf numFmtId="194" fontId="27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Border="1" applyAlignment="1">
      <alignment horizontal="center" vertical="center"/>
    </xf>
    <xf numFmtId="194" fontId="28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Alignment="1">
      <alignment horizontal="center" vertical="center"/>
    </xf>
    <xf numFmtId="194" fontId="28" fillId="4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202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 wrapText="1"/>
    </xf>
    <xf numFmtId="49" fontId="15" fillId="3" borderId="0" xfId="30237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3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207" fontId="15" fillId="0" borderId="0" xfId="1" applyNumberFormat="1" applyFont="1" applyFill="1" applyBorder="1" applyAlignment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1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3" borderId="0" xfId="30240" applyNumberFormat="1" applyFont="1" applyFill="1" applyBorder="1" applyAlignment="1">
      <alignment horizontal="center" vertical="center"/>
    </xf>
    <xf numFmtId="49" fontId="15" fillId="3" borderId="0" xfId="30239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207" fontId="15" fillId="3" borderId="0" xfId="1" applyNumberFormat="1" applyFont="1" applyFill="1" applyBorder="1" applyAlignment="1">
      <alignment horizontal="center" vertical="center"/>
    </xf>
    <xf numFmtId="194" fontId="15" fillId="3" borderId="0" xfId="1" applyNumberFormat="1" applyFont="1" applyFill="1" applyBorder="1" applyAlignment="1">
      <alignment horizontal="center" vertical="center"/>
    </xf>
    <xf numFmtId="198" fontId="15" fillId="3" borderId="0" xfId="1" applyNumberFormat="1" applyFont="1" applyFill="1" applyBorder="1" applyAlignment="1">
      <alignment horizontal="center" vertical="center"/>
    </xf>
    <xf numFmtId="210" fontId="15" fillId="3" borderId="0" xfId="1" applyNumberFormat="1" applyFont="1" applyFill="1" applyBorder="1" applyAlignment="1">
      <alignment horizontal="center" vertical="center"/>
    </xf>
    <xf numFmtId="210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Border="1" applyAlignment="1" applyProtection="1">
      <alignment horizontal="center" vertical="center"/>
    </xf>
    <xf numFmtId="209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shrinkToFit="1"/>
    </xf>
    <xf numFmtId="210" fontId="15" fillId="0" borderId="0" xfId="0" applyNumberFormat="1" applyFont="1" applyFill="1" applyBorder="1" applyAlignment="1">
      <alignment horizontal="center" vertical="center"/>
    </xf>
    <xf numFmtId="210" fontId="15" fillId="3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1" fontId="15" fillId="3" borderId="0" xfId="1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8" fontId="15" fillId="3" borderId="0" xfId="1" applyNumberFormat="1" applyFont="1" applyFill="1" applyBorder="1" applyAlignment="1">
      <alignment horizontal="center" vertical="center"/>
    </xf>
    <xf numFmtId="211" fontId="15" fillId="3" borderId="0" xfId="1" applyNumberFormat="1" applyFont="1" applyFill="1" applyBorder="1" applyAlignment="1">
      <alignment horizontal="center" vertical="center"/>
    </xf>
    <xf numFmtId="199" fontId="15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07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3" borderId="0" xfId="30237" applyNumberFormat="1" applyFont="1" applyFill="1" applyBorder="1" applyAlignment="1">
      <alignment horizontal="center" vertical="center" shrinkToFit="1"/>
    </xf>
    <xf numFmtId="202" fontId="15" fillId="3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2" fontId="18" fillId="2" borderId="0" xfId="0" applyNumberFormat="1" applyFont="1" applyFill="1" applyBorder="1" applyAlignment="1">
      <alignment horizontal="center" vertical="center"/>
    </xf>
    <xf numFmtId="202" fontId="1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207" fontId="15" fillId="3" borderId="0" xfId="0" applyNumberFormat="1" applyFont="1" applyFill="1" applyBorder="1" applyAlignment="1">
      <alignment horizontal="left" vertical="center"/>
    </xf>
    <xf numFmtId="194" fontId="15" fillId="3" borderId="0" xfId="0" applyNumberFormat="1" applyFont="1" applyFill="1" applyBorder="1" applyAlignment="1">
      <alignment horizontal="left" vertical="center"/>
    </xf>
    <xf numFmtId="212" fontId="15" fillId="3" borderId="0" xfId="0" applyNumberFormat="1" applyFont="1" applyFill="1" applyBorder="1" applyAlignment="1">
      <alignment horizontal="left" vertical="center"/>
    </xf>
    <xf numFmtId="0" fontId="30" fillId="3" borderId="0" xfId="0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/>
    </xf>
    <xf numFmtId="204" fontId="15" fillId="3" borderId="0" xfId="3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/>
    </xf>
    <xf numFmtId="0" fontId="31" fillId="3" borderId="0" xfId="0" applyFont="1" applyFill="1" applyBorder="1" applyAlignment="1">
      <alignment horizontal="left" vertical="center" wrapText="1"/>
    </xf>
    <xf numFmtId="0" fontId="15" fillId="3" borderId="0" xfId="0" applyNumberFormat="1" applyFont="1" applyFill="1" applyBorder="1" applyAlignment="1">
      <alignment horizontal="left" vertical="center" wrapText="1"/>
    </xf>
    <xf numFmtId="49" fontId="15" fillId="3" borderId="0" xfId="30239" applyNumberFormat="1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horizontal="left" vertical="center"/>
    </xf>
    <xf numFmtId="49" fontId="15" fillId="3" borderId="0" xfId="30237" applyNumberFormat="1" applyFont="1" applyFill="1" applyBorder="1" applyAlignment="1">
      <alignment horizontal="left" vertical="center" wrapText="1"/>
    </xf>
    <xf numFmtId="49" fontId="15" fillId="3" borderId="0" xfId="30240" applyNumberFormat="1" applyFont="1" applyFill="1" applyBorder="1" applyAlignment="1">
      <alignment horizontal="left" vertical="center"/>
    </xf>
    <xf numFmtId="198" fontId="28" fillId="3" borderId="0" xfId="0" applyNumberFormat="1" applyFont="1" applyFill="1" applyBorder="1" applyAlignment="1">
      <alignment horizontal="left" vertical="center"/>
    </xf>
    <xf numFmtId="207" fontId="28" fillId="3" borderId="0" xfId="0" applyNumberFormat="1" applyFont="1" applyFill="1" applyBorder="1" applyAlignment="1">
      <alignment horizontal="left" vertical="center"/>
    </xf>
    <xf numFmtId="194" fontId="28" fillId="3" borderId="0" xfId="0" applyNumberFormat="1" applyFont="1" applyFill="1" applyBorder="1" applyAlignment="1">
      <alignment horizontal="left" vertical="center"/>
    </xf>
    <xf numFmtId="212" fontId="28" fillId="3" borderId="0" xfId="0" applyNumberFormat="1" applyFont="1" applyFill="1" applyBorder="1" applyAlignment="1">
      <alignment horizontal="left" vertical="center"/>
    </xf>
    <xf numFmtId="198" fontId="27" fillId="3" borderId="0" xfId="0" applyNumberFormat="1" applyFont="1" applyFill="1" applyBorder="1" applyAlignment="1">
      <alignment horizontal="left" vertical="center" wrapText="1"/>
    </xf>
    <xf numFmtId="207" fontId="27" fillId="3" borderId="0" xfId="0" applyNumberFormat="1" applyFont="1" applyFill="1" applyBorder="1" applyAlignment="1">
      <alignment horizontal="left" vertical="center"/>
    </xf>
    <xf numFmtId="194" fontId="27" fillId="3" borderId="0" xfId="0" applyNumberFormat="1" applyFont="1" applyFill="1" applyBorder="1" applyAlignment="1">
      <alignment horizontal="center" vertical="center" wrapText="1"/>
    </xf>
    <xf numFmtId="212" fontId="27" fillId="3" borderId="0" xfId="0" applyNumberFormat="1" applyFont="1" applyFill="1" applyBorder="1" applyAlignment="1">
      <alignment horizontal="center" vertical="center"/>
    </xf>
    <xf numFmtId="196" fontId="29" fillId="3" borderId="0" xfId="0" applyNumberFormat="1" applyFont="1" applyFill="1" applyBorder="1" applyAlignment="1">
      <alignment horizontal="center" vertical="center"/>
    </xf>
    <xf numFmtId="198" fontId="27" fillId="3" borderId="0" xfId="0" applyNumberFormat="1" applyFont="1" applyFill="1" applyBorder="1" applyAlignment="1">
      <alignment horizontal="left" vertical="center"/>
    </xf>
    <xf numFmtId="212" fontId="27" fillId="3" borderId="0" xfId="0" applyNumberFormat="1" applyFont="1" applyFill="1" applyBorder="1" applyAlignment="1">
      <alignment horizontal="left" vertical="center"/>
    </xf>
    <xf numFmtId="196" fontId="29" fillId="3" borderId="0" xfId="0" applyNumberFormat="1" applyFont="1" applyFill="1" applyBorder="1" applyAlignment="1">
      <alignment horizontal="left" vertical="center"/>
    </xf>
    <xf numFmtId="207" fontId="15" fillId="0" borderId="0" xfId="0" applyNumberFormat="1" applyFont="1" applyFill="1" applyBorder="1" applyAlignment="1">
      <alignment horizontal="left" vertical="center"/>
    </xf>
    <xf numFmtId="194" fontId="15" fillId="0" borderId="0" xfId="0" applyNumberFormat="1" applyFont="1" applyFill="1" applyBorder="1" applyAlignment="1">
      <alignment horizontal="left" vertical="center"/>
    </xf>
    <xf numFmtId="212" fontId="15" fillId="0" borderId="0" xfId="0" applyNumberFormat="1" applyFont="1" applyFill="1" applyBorder="1" applyAlignment="1">
      <alignment horizontal="left" vertical="center"/>
    </xf>
    <xf numFmtId="196" fontId="30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 applyProtection="1">
      <alignment horizontal="left" vertical="center" shrinkToFit="1"/>
    </xf>
    <xf numFmtId="196" fontId="30" fillId="3" borderId="0" xfId="0" applyNumberFormat="1" applyFont="1" applyFill="1" applyBorder="1" applyAlignment="1">
      <alignment horizontal="left" vertical="center"/>
    </xf>
    <xf numFmtId="49" fontId="30" fillId="3" borderId="0" xfId="0" applyNumberFormat="1" applyFont="1" applyFill="1" applyBorder="1" applyAlignment="1">
      <alignment horizontal="left" vertical="center"/>
    </xf>
    <xf numFmtId="197" fontId="15" fillId="3" borderId="0" xfId="0" applyNumberFormat="1" applyFont="1" applyFill="1" applyBorder="1" applyAlignment="1" applyProtection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/>
    </xf>
    <xf numFmtId="207" fontId="15" fillId="3" borderId="0" xfId="1" applyNumberFormat="1" applyFont="1" applyFill="1" applyBorder="1" applyAlignment="1">
      <alignment horizontal="left" vertical="center"/>
    </xf>
    <xf numFmtId="194" fontId="15" fillId="3" borderId="0" xfId="1" applyNumberFormat="1" applyFont="1" applyFill="1" applyBorder="1" applyAlignment="1">
      <alignment horizontal="left" vertical="center"/>
    </xf>
    <xf numFmtId="212" fontId="15" fillId="3" borderId="0" xfId="1" applyNumberFormat="1" applyFont="1" applyFill="1" applyBorder="1" applyAlignment="1">
      <alignment horizontal="left" vertical="center"/>
    </xf>
    <xf numFmtId="49" fontId="30" fillId="3" borderId="0" xfId="30237" applyNumberFormat="1" applyFont="1" applyFill="1" applyBorder="1" applyAlignment="1">
      <alignment horizontal="left" vertical="center" wrapText="1"/>
    </xf>
    <xf numFmtId="202" fontId="28" fillId="3" borderId="0" xfId="0" applyNumberFormat="1" applyFont="1" applyFill="1" applyBorder="1" applyAlignment="1">
      <alignment horizontal="left" vertical="center"/>
    </xf>
    <xf numFmtId="202" fontId="28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left" vertical="center" wrapText="1"/>
    </xf>
    <xf numFmtId="202" fontId="27" fillId="3" borderId="0" xfId="0" applyNumberFormat="1" applyFont="1" applyFill="1" applyBorder="1" applyAlignment="1">
      <alignment horizontal="left" vertical="center"/>
    </xf>
    <xf numFmtId="202" fontId="27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center" vertical="center"/>
    </xf>
    <xf numFmtId="194" fontId="27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 wrapText="1"/>
    </xf>
    <xf numFmtId="203" fontId="15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/>
    </xf>
    <xf numFmtId="203" fontId="15" fillId="3" borderId="0" xfId="0" applyNumberFormat="1" applyFont="1" applyFill="1" applyBorder="1" applyAlignment="1">
      <alignment horizontal="left" vertical="center"/>
    </xf>
    <xf numFmtId="203" fontId="28" fillId="3" borderId="0" xfId="0" applyNumberFormat="1" applyFont="1" applyFill="1" applyBorder="1" applyAlignment="1">
      <alignment horizontal="left" vertical="center"/>
    </xf>
    <xf numFmtId="203" fontId="27" fillId="3" borderId="0" xfId="0" applyNumberFormat="1" applyFont="1" applyFill="1" applyBorder="1" applyAlignment="1">
      <alignment horizontal="left" vertical="center"/>
    </xf>
    <xf numFmtId="203" fontId="15" fillId="0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209" fontId="15" fillId="3" borderId="0" xfId="0" applyNumberFormat="1" applyFont="1" applyFill="1" applyBorder="1" applyAlignment="1">
      <alignment horizontal="left" vertical="center"/>
    </xf>
    <xf numFmtId="196" fontId="15" fillId="3" borderId="0" xfId="0" applyNumberFormat="1" applyFont="1" applyFill="1" applyBorder="1" applyAlignment="1">
      <alignment horizontal="left" vertical="center"/>
    </xf>
    <xf numFmtId="201" fontId="15" fillId="3" borderId="0" xfId="1" applyNumberFormat="1" applyFont="1" applyFill="1" applyBorder="1" applyAlignment="1">
      <alignment horizontal="left" vertical="center"/>
    </xf>
    <xf numFmtId="210" fontId="15" fillId="3" borderId="0" xfId="0" applyNumberFormat="1" applyFont="1" applyFill="1" applyBorder="1" applyAlignment="1">
      <alignment horizontal="left" vertical="center"/>
    </xf>
    <xf numFmtId="210" fontId="15" fillId="3" borderId="0" xfId="1" applyNumberFormat="1" applyFont="1" applyFill="1" applyBorder="1" applyAlignment="1">
      <alignment horizontal="left" vertical="center"/>
    </xf>
    <xf numFmtId="204" fontId="28" fillId="3" borderId="0" xfId="3" applyNumberFormat="1" applyFont="1" applyFill="1" applyBorder="1" applyAlignment="1">
      <alignment horizontal="left" vertical="center"/>
    </xf>
    <xf numFmtId="204" fontId="27" fillId="3" borderId="0" xfId="3" applyNumberFormat="1" applyFont="1" applyFill="1" applyBorder="1" applyAlignment="1">
      <alignment horizontal="center" vertical="center" wrapText="1"/>
    </xf>
    <xf numFmtId="204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3" borderId="0" xfId="0" applyNumberFormat="1" applyFont="1" applyFill="1" applyBorder="1" applyAlignment="1">
      <alignment horizontal="left" vertical="center" wrapText="1"/>
    </xf>
    <xf numFmtId="194" fontId="28" fillId="3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center" vertical="center"/>
    </xf>
    <xf numFmtId="194" fontId="25" fillId="3" borderId="0" xfId="0" applyNumberFormat="1" applyFont="1" applyFill="1" applyBorder="1" applyAlignment="1">
      <alignment horizontal="center" vertical="center"/>
    </xf>
    <xf numFmtId="4" fontId="25" fillId="3" borderId="0" xfId="0" applyNumberFormat="1" applyFont="1" applyFill="1" applyBorder="1" applyAlignment="1"/>
    <xf numFmtId="4" fontId="15" fillId="3" borderId="0" xfId="0" applyNumberFormat="1" applyFont="1" applyFill="1" applyBorder="1" applyAlignment="1"/>
    <xf numFmtId="0" fontId="25" fillId="3" borderId="0" xfId="0" applyFont="1" applyFill="1" applyBorder="1" applyAlignment="1">
      <alignment vertical="center"/>
    </xf>
    <xf numFmtId="4" fontId="25" fillId="3" borderId="0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horizontal="left"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212" fontId="15" fillId="0" borderId="0" xfId="1" applyNumberFormat="1" applyFont="1" applyFill="1" applyBorder="1" applyAlignment="1">
      <alignment horizontal="left" vertical="center"/>
    </xf>
    <xf numFmtId="49" fontId="30" fillId="0" borderId="0" xfId="30237" applyNumberFormat="1" applyFont="1" applyFill="1" applyBorder="1" applyAlignment="1">
      <alignment horizontal="left" vertical="center" wrapText="1"/>
    </xf>
    <xf numFmtId="49" fontId="30" fillId="3" borderId="0" xfId="30239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left" vertical="center"/>
    </xf>
    <xf numFmtId="14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vertical="center" wrapText="1" shrinkToFit="1"/>
    </xf>
    <xf numFmtId="202" fontId="15" fillId="3" borderId="0" xfId="0" applyNumberFormat="1" applyFont="1" applyFill="1" applyBorder="1" applyAlignment="1">
      <alignment horizontal="left" vertical="center" wrapText="1" shrinkToFit="1"/>
    </xf>
    <xf numFmtId="0" fontId="15" fillId="3" borderId="0" xfId="0" applyNumberFormat="1" applyFont="1" applyFill="1" applyBorder="1" applyAlignment="1">
      <alignment vertical="center"/>
    </xf>
    <xf numFmtId="210" fontId="15" fillId="0" borderId="0" xfId="1" applyNumberFormat="1" applyFont="1" applyFill="1" applyBorder="1" applyAlignment="1">
      <alignment horizontal="left" vertical="center"/>
    </xf>
    <xf numFmtId="204" fontId="15" fillId="0" borderId="0" xfId="3" applyNumberFormat="1" applyFont="1" applyFill="1" applyBorder="1" applyAlignment="1">
      <alignment horizontal="left" vertical="center"/>
    </xf>
    <xf numFmtId="204" fontId="18" fillId="3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5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207" fontId="15" fillId="0" borderId="0" xfId="1" applyNumberFormat="1" applyFont="1" applyFill="1" applyBorder="1" applyAlignment="1">
      <alignment horizontal="left" vertical="center"/>
    </xf>
    <xf numFmtId="194" fontId="15" fillId="0" borderId="0" xfId="1" applyNumberFormat="1" applyFont="1" applyFill="1" applyBorder="1" applyAlignment="1">
      <alignment horizontal="left" vertical="center"/>
    </xf>
    <xf numFmtId="49" fontId="30" fillId="3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30" fillId="0" borderId="0" xfId="0" applyNumberFormat="1" applyFont="1" applyFill="1" applyBorder="1" applyAlignment="1">
      <alignment horizontal="left" vertical="center"/>
    </xf>
    <xf numFmtId="14" fontId="30" fillId="3" borderId="0" xfId="0" applyNumberFormat="1" applyFont="1" applyFill="1" applyBorder="1" applyAlignment="1">
      <alignment horizontal="left" vertical="center"/>
    </xf>
    <xf numFmtId="194" fontId="15" fillId="8" borderId="0" xfId="0" applyNumberFormat="1" applyFont="1" applyFill="1" applyBorder="1" applyAlignment="1">
      <alignment horizontal="left" vertical="center"/>
    </xf>
    <xf numFmtId="202" fontId="15" fillId="8" borderId="0" xfId="0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3" borderId="0" xfId="0" applyNumberFormat="1" applyFont="1" applyFill="1" applyBorder="1" applyAlignment="1">
      <alignment horizontal="left" vertical="center" wrapText="1" shrinkToFit="1"/>
    </xf>
    <xf numFmtId="201" fontId="15" fillId="3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center" shrinkToFit="1"/>
    </xf>
    <xf numFmtId="210" fontId="15" fillId="0" borderId="0" xfId="0" applyNumberFormat="1" applyFont="1" applyFill="1" applyBorder="1" applyAlignment="1">
      <alignment horizontal="left" vertical="center"/>
    </xf>
    <xf numFmtId="204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 wrapText="1"/>
    </xf>
    <xf numFmtId="194" fontId="25" fillId="0" borderId="0" xfId="0" applyNumberFormat="1" applyFont="1" applyFill="1" applyBorder="1" applyAlignment="1">
      <alignment horizontal="center" vertical="center"/>
    </xf>
    <xf numFmtId="4" fontId="25" fillId="0" borderId="0" xfId="0" applyNumberFormat="1" applyFont="1" applyFill="1" applyBorder="1" applyAlignment="1"/>
    <xf numFmtId="0" fontId="35" fillId="0" borderId="0" xfId="0" applyFont="1" applyFill="1" applyBorder="1" applyAlignment="1">
      <alignment horizontal="left" vertical="center" wrapText="1"/>
    </xf>
    <xf numFmtId="0" fontId="31" fillId="0" borderId="0" xfId="0" applyNumberFormat="1" applyFont="1" applyFill="1" applyBorder="1" applyAlignment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0" fontId="15" fillId="3" borderId="0" xfId="30239" applyFont="1" applyFill="1" applyBorder="1" applyAlignment="1">
      <alignment horizontal="left" vertical="center"/>
    </xf>
    <xf numFmtId="207" fontId="15" fillId="3" borderId="0" xfId="30239" applyNumberFormat="1" applyFont="1" applyFill="1" applyBorder="1" applyAlignment="1">
      <alignment horizontal="left" vertical="center"/>
    </xf>
    <xf numFmtId="194" fontId="15" fillId="3" borderId="0" xfId="30239" applyNumberFormat="1" applyFont="1" applyFill="1" applyBorder="1" applyAlignment="1">
      <alignment horizontal="left" vertical="center"/>
    </xf>
    <xf numFmtId="212" fontId="15" fillId="3" borderId="0" xfId="30239" applyNumberFormat="1" applyFont="1" applyFill="1" applyBorder="1" applyAlignment="1">
      <alignment horizontal="left" vertical="center"/>
    </xf>
    <xf numFmtId="199" fontId="15" fillId="3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202" fontId="15" fillId="8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9" fontId="15" fillId="0" borderId="0" xfId="0" applyNumberFormat="1" applyFont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1" fontId="15" fillId="0" borderId="0" xfId="1" applyNumberFormat="1" applyFont="1" applyFill="1" applyBorder="1" applyAlignment="1">
      <alignment horizontal="left" vertical="center"/>
    </xf>
    <xf numFmtId="210" fontId="15" fillId="3" borderId="0" xfId="30239" applyNumberFormat="1" applyFont="1" applyFill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/>
    </xf>
    <xf numFmtId="10" fontId="15" fillId="3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/>
    </xf>
    <xf numFmtId="49" fontId="16" fillId="3" borderId="0" xfId="30237" applyNumberFormat="1" applyFont="1" applyFill="1" applyBorder="1" applyAlignment="1">
      <alignment horizontal="left" vertical="center" wrapText="1"/>
    </xf>
    <xf numFmtId="0" fontId="36" fillId="0" borderId="0" xfId="0" applyNumberFormat="1" applyFont="1" applyFill="1" applyBorder="1" applyAlignment="1">
      <alignment horizontal="left" vertical="center"/>
    </xf>
    <xf numFmtId="0" fontId="35" fillId="0" borderId="0" xfId="0" applyNumberFormat="1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 wrapText="1"/>
    </xf>
    <xf numFmtId="49" fontId="30" fillId="0" borderId="0" xfId="30239" applyNumberFormat="1" applyFont="1" applyFill="1" applyBorder="1" applyAlignment="1">
      <alignment horizontal="left" vertical="center"/>
    </xf>
    <xf numFmtId="203" fontId="15" fillId="3" borderId="0" xfId="0" applyNumberFormat="1" applyFont="1" applyFill="1" applyBorder="1" applyAlignment="1">
      <alignment horizontal="left" vertical="center" shrinkToFit="1"/>
    </xf>
    <xf numFmtId="194" fontId="15" fillId="3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198" fontId="18" fillId="2" borderId="0" xfId="0" applyNumberFormat="1" applyFont="1" applyFill="1" applyBorder="1" applyAlignment="1">
      <alignment horizontal="left" vertical="center"/>
    </xf>
    <xf numFmtId="207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212" fontId="18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left" vertical="center"/>
    </xf>
    <xf numFmtId="202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30" fillId="0" borderId="0" xfId="0" applyFont="1" applyBorder="1">
      <alignment vertical="center"/>
    </xf>
    <xf numFmtId="202" fontId="15" fillId="3" borderId="0" xfId="30237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vertical="center"/>
    </xf>
    <xf numFmtId="204" fontId="15" fillId="3" borderId="0" xfId="0" applyNumberFormat="1" applyFont="1" applyFill="1" applyBorder="1" applyAlignment="1">
      <alignment horizontal="left" vertical="center"/>
    </xf>
    <xf numFmtId="204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9" borderId="0" xfId="15593" applyFont="1" applyFill="1" applyAlignment="1"/>
    <xf numFmtId="0" fontId="37" fillId="9" borderId="0" xfId="15593" applyFill="1" applyAlignment="1"/>
    <xf numFmtId="0" fontId="37" fillId="10" borderId="2" xfId="15593" applyFill="1" applyBorder="1" applyAlignment="1"/>
    <xf numFmtId="0" fontId="38" fillId="11" borderId="3" xfId="15593" applyFont="1" applyFill="1" applyBorder="1" applyAlignment="1">
      <alignment horizontal="center"/>
    </xf>
    <xf numFmtId="0" fontId="39" fillId="12" borderId="4" xfId="15593" applyFont="1" applyFill="1" applyBorder="1" applyAlignment="1">
      <alignment horizontal="center"/>
    </xf>
    <xf numFmtId="0" fontId="38" fillId="11" borderId="4" xfId="15593" applyFont="1" applyFill="1" applyBorder="1" applyAlignment="1">
      <alignment horizontal="center"/>
    </xf>
    <xf numFmtId="0" fontId="38" fillId="11" borderId="5" xfId="15593" applyFont="1" applyFill="1" applyBorder="1" applyAlignment="1">
      <alignment horizontal="center"/>
    </xf>
    <xf numFmtId="0" fontId="37" fillId="10" borderId="6" xfId="15593" applyFill="1" applyBorder="1" applyAlignment="1"/>
    <xf numFmtId="0" fontId="37" fillId="10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96" fontId="15" fillId="0" borderId="0" xfId="0" applyNumberFormat="1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40" fillId="3" borderId="0" xfId="0" applyFont="1" applyFill="1" applyBorder="1" applyAlignment="1">
      <alignment horizontal="left" vertical="center" wrapText="1"/>
    </xf>
    <xf numFmtId="0" fontId="41" fillId="3" borderId="0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horizontal="left" vertical="center" wrapText="1"/>
    </xf>
    <xf numFmtId="0" fontId="42" fillId="3" borderId="0" xfId="0" applyFont="1" applyFill="1" applyBorder="1" applyAlignment="1">
      <alignment horizontal="left" vertical="center" wrapText="1"/>
    </xf>
    <xf numFmtId="210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3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0" fontId="18" fillId="0" borderId="0" xfId="3" applyNumberFormat="1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left" vertical="center" wrapText="1"/>
    </xf>
    <xf numFmtId="10" fontId="18" fillId="4" borderId="0" xfId="3" applyNumberFormat="1" applyFont="1" applyFill="1" applyBorder="1" applyAlignment="1">
      <alignment horizontal="left" vertical="center" wrapText="1"/>
    </xf>
    <xf numFmtId="194" fontId="18" fillId="4" borderId="0" xfId="0" applyNumberFormat="1" applyFont="1" applyFill="1" applyBorder="1" applyAlignment="1">
      <alignment horizontal="left" vertical="center" wrapText="1" shrinkToFit="1"/>
    </xf>
    <xf numFmtId="0" fontId="23" fillId="3" borderId="0" xfId="0" applyFont="1" applyFill="1" applyBorder="1" applyAlignment="1">
      <alignment horizontal="left" vertical="center" wrapText="1"/>
    </xf>
    <xf numFmtId="0" fontId="4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196" fontId="31" fillId="3" borderId="0" xfId="0" applyNumberFormat="1" applyFont="1" applyFill="1" applyBorder="1" applyAlignment="1">
      <alignment horizontal="left" vertical="center"/>
    </xf>
    <xf numFmtId="200" fontId="15" fillId="3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210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96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44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5" fillId="0" borderId="0" xfId="0" applyFont="1" applyBorder="1" applyAlignment="1">
      <alignment horizontal="left" vertical="center"/>
    </xf>
    <xf numFmtId="0" fontId="46" fillId="0" borderId="0" xfId="0" applyFont="1" applyBorder="1" applyAlignment="1">
      <alignment horizontal="left" vertical="center"/>
    </xf>
    <xf numFmtId="213" fontId="47" fillId="0" borderId="8" xfId="0" applyNumberFormat="1" applyFont="1" applyFill="1" applyBorder="1" applyAlignment="1">
      <alignment horizontal="center" vertical="center"/>
    </xf>
    <xf numFmtId="213" fontId="47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213" fontId="47" fillId="0" borderId="14" xfId="0" applyNumberFormat="1" applyFont="1" applyFill="1" applyBorder="1" applyAlignment="1">
      <alignment horizontal="center" vertical="center"/>
    </xf>
    <xf numFmtId="213" fontId="47" fillId="0" borderId="1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3" borderId="1" xfId="0" applyFont="1" applyFill="1" applyBorder="1" applyAlignment="1">
      <alignment vertical="center" wrapText="1"/>
    </xf>
    <xf numFmtId="201" fontId="19" fillId="13" borderId="1" xfId="0" applyNumberFormat="1" applyFont="1" applyFill="1" applyBorder="1" applyAlignment="1">
      <alignment horizontal="left" vertical="center" wrapText="1"/>
    </xf>
    <xf numFmtId="201" fontId="19" fillId="0" borderId="1" xfId="0" applyNumberFormat="1" applyFont="1" applyBorder="1" applyAlignment="1">
      <alignment horizontal="left" vertical="center" wrapText="1"/>
    </xf>
    <xf numFmtId="201" fontId="19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3" fontId="48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3" borderId="1" xfId="0" applyFont="1" applyFill="1" applyBorder="1">
      <alignment vertical="center"/>
    </xf>
    <xf numFmtId="201" fontId="0" fillId="13" borderId="1" xfId="0" applyNumberFormat="1" applyFont="1" applyFill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3" fontId="48" fillId="0" borderId="1" xfId="0" applyNumberFormat="1" applyFont="1" applyFill="1" applyBorder="1" applyAlignment="1">
      <alignment vertical="center" wrapText="1"/>
    </xf>
    <xf numFmtId="213" fontId="48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3" fontId="48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3" borderId="6" xfId="0" applyFont="1" applyFill="1" applyBorder="1">
      <alignment vertical="center"/>
    </xf>
    <xf numFmtId="201" fontId="0" fillId="13" borderId="6" xfId="0" applyNumberFormat="1" applyFont="1" applyFill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3" borderId="7" xfId="0" applyFont="1" applyFill="1" applyBorder="1">
      <alignment vertical="center"/>
    </xf>
    <xf numFmtId="198" fontId="1" fillId="13" borderId="7" xfId="0" applyNumberFormat="1" applyFont="1" applyFill="1" applyBorder="1">
      <alignment vertical="center"/>
    </xf>
    <xf numFmtId="0" fontId="1" fillId="13" borderId="7" xfId="0" applyFont="1" applyFill="1" applyBorder="1" applyAlignment="1">
      <alignment horizontal="left" vertical="center"/>
    </xf>
    <xf numFmtId="0" fontId="49" fillId="0" borderId="0" xfId="0" applyFont="1" applyBorder="1">
      <alignment vertical="center"/>
    </xf>
    <xf numFmtId="0" fontId="50" fillId="0" borderId="0" xfId="0" applyFont="1" applyBorder="1">
      <alignment vertical="center"/>
    </xf>
    <xf numFmtId="194" fontId="49" fillId="0" borderId="0" xfId="0" applyNumberFormat="1" applyFont="1" applyBorder="1">
      <alignment vertical="center"/>
    </xf>
    <xf numFmtId="0" fontId="49" fillId="0" borderId="0" xfId="0" applyFont="1" applyFill="1" applyBorder="1">
      <alignment vertical="center"/>
    </xf>
    <xf numFmtId="0" fontId="50" fillId="0" borderId="0" xfId="0" applyFont="1" applyFill="1" applyBorder="1" applyAlignment="1">
      <alignment horizontal="left" vertical="center"/>
    </xf>
    <xf numFmtId="194" fontId="51" fillId="0" borderId="0" xfId="0" applyNumberFormat="1" applyFont="1">
      <alignment vertical="center"/>
    </xf>
    <xf numFmtId="0" fontId="49" fillId="0" borderId="0" xfId="0" applyFont="1" applyFill="1" applyBorder="1" applyAlignment="1">
      <alignment horizontal="left" vertical="center"/>
    </xf>
    <xf numFmtId="194" fontId="50" fillId="0" borderId="0" xfId="0" applyNumberFormat="1" applyFont="1" applyFill="1" applyBorder="1" applyAlignment="1">
      <alignment horizontal="right" vertic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 applyFill="1" applyBorder="1">
      <alignment vertical="center"/>
    </xf>
    <xf numFmtId="198" fontId="50" fillId="0" borderId="0" xfId="0" applyNumberFormat="1" applyFont="1" applyFill="1" applyBorder="1">
      <alignment vertical="center"/>
    </xf>
    <xf numFmtId="0" fontId="44" fillId="0" borderId="0" xfId="0" applyFont="1" applyAlignment="1">
      <alignment horizontal="center" vertical="center" wrapText="1"/>
    </xf>
    <xf numFmtId="194" fontId="49" fillId="0" borderId="0" xfId="0" applyNumberFormat="1" applyFont="1" applyFill="1" applyBorder="1">
      <alignment vertical="center"/>
    </xf>
    <xf numFmtId="198" fontId="50" fillId="0" borderId="0" xfId="0" applyNumberFormat="1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194" fontId="49" fillId="0" borderId="0" xfId="0" applyNumberFormat="1" applyFont="1" applyFill="1">
      <alignment vertical="center"/>
    </xf>
    <xf numFmtId="0" fontId="49" fillId="0" borderId="0" xfId="0" applyFont="1" applyFill="1">
      <alignment vertical="center"/>
    </xf>
    <xf numFmtId="0" fontId="54" fillId="0" borderId="0" xfId="0" applyFont="1" applyBorder="1" applyAlignment="1">
      <alignment horizontal="left" vertical="center" wrapText="1"/>
    </xf>
    <xf numFmtId="0" fontId="44" fillId="0" borderId="0" xfId="0" applyFont="1" applyBorder="1">
      <alignment vertical="center"/>
    </xf>
    <xf numFmtId="0" fontId="51" fillId="0" borderId="0" xfId="0" applyFont="1" applyBorder="1">
      <alignment vertical="center"/>
    </xf>
    <xf numFmtId="0" fontId="51" fillId="0" borderId="0" xfId="0" applyFont="1" applyBorder="1" applyAlignment="1">
      <alignment vertical="center"/>
    </xf>
    <xf numFmtId="198" fontId="50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1" fontId="7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55" fillId="0" borderId="0" xfId="0" applyFont="1" applyFill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198" fontId="55" fillId="0" borderId="1" xfId="0" applyNumberFormat="1" applyFont="1" applyFill="1" applyBorder="1" applyAlignment="1">
      <alignment horizontal="center" vertical="center"/>
    </xf>
    <xf numFmtId="196" fontId="55" fillId="0" borderId="1" xfId="0" applyNumberFormat="1" applyFont="1" applyFill="1" applyBorder="1" applyAlignment="1">
      <alignment horizontal="center" vertical="center"/>
    </xf>
    <xf numFmtId="214" fontId="56" fillId="0" borderId="1" xfId="0" applyNumberFormat="1" applyFont="1" applyFill="1" applyBorder="1" applyAlignment="1">
      <alignment horizontal="center" vertical="center"/>
    </xf>
    <xf numFmtId="214" fontId="57" fillId="0" borderId="1" xfId="0" applyNumberFormat="1" applyFont="1" applyFill="1" applyBorder="1" applyAlignment="1">
      <alignment vertical="center"/>
    </xf>
    <xf numFmtId="214" fontId="57" fillId="0" borderId="10" xfId="0" applyNumberFormat="1" applyFont="1" applyFill="1" applyBorder="1" applyAlignment="1">
      <alignment horizontal="center" vertical="center"/>
    </xf>
    <xf numFmtId="214" fontId="57" fillId="0" borderId="12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214" fontId="58" fillId="0" borderId="1" xfId="0" applyNumberFormat="1" applyFont="1" applyFill="1" applyBorder="1" applyAlignment="1">
      <alignment horizontal="left" vertical="center" wrapText="1"/>
    </xf>
    <xf numFmtId="214" fontId="57" fillId="0" borderId="1" xfId="0" applyNumberFormat="1" applyFont="1" applyFill="1" applyBorder="1" applyAlignment="1">
      <alignment horizontal="center" vertical="center"/>
    </xf>
    <xf numFmtId="0" fontId="59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/>
    </xf>
    <xf numFmtId="0" fontId="57" fillId="0" borderId="1" xfId="0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horizontal="left" vertical="center" wrapText="1"/>
    </xf>
    <xf numFmtId="0" fontId="57" fillId="0" borderId="0" xfId="0" applyFont="1" applyFill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210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6" fillId="0" borderId="0" xfId="0" applyNumberFormat="1" applyFont="1" applyBorder="1" applyAlignment="1">
      <alignment horizontal="left" vertical="center"/>
    </xf>
    <xf numFmtId="201" fontId="19" fillId="0" borderId="6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94" fontId="20" fillId="0" borderId="1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201" fontId="20" fillId="0" borderId="1" xfId="0" applyNumberFormat="1" applyFont="1" applyBorder="1" applyAlignment="1">
      <alignment horizontal="left" vertical="center" wrapText="1"/>
    </xf>
    <xf numFmtId="194" fontId="20" fillId="0" borderId="1" xfId="0" applyNumberFormat="1" applyFont="1" applyBorder="1" applyAlignment="1">
      <alignment horizontal="left" vertical="center" wrapText="1"/>
    </xf>
    <xf numFmtId="215" fontId="20" fillId="0" borderId="6" xfId="0" applyNumberFormat="1" applyFont="1" applyBorder="1" applyAlignment="1">
      <alignment horizontal="left" vertical="center" wrapText="1"/>
    </xf>
    <xf numFmtId="213" fontId="48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4" fontId="0" fillId="0" borderId="6" xfId="0" applyNumberFormat="1" applyFont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201" fontId="1" fillId="0" borderId="7" xfId="0" applyNumberFormat="1" applyFont="1" applyBorder="1" applyAlignment="1">
      <alignment horizontal="left" vertical="center"/>
    </xf>
    <xf numFmtId="213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1" fontId="49" fillId="0" borderId="0" xfId="0" applyNumberFormat="1" applyFont="1" applyFill="1" applyBorder="1" applyAlignment="1">
      <alignment horizontal="left" vertical="center"/>
    </xf>
    <xf numFmtId="201" fontId="49" fillId="0" borderId="0" xfId="0" applyNumberFormat="1" applyFont="1" applyBorder="1" applyAlignment="1">
      <alignment horizontal="left" vertical="center"/>
    </xf>
    <xf numFmtId="213" fontId="49" fillId="0" borderId="0" xfId="0" applyNumberFormat="1" applyFont="1" applyBorder="1" applyAlignment="1">
      <alignment horizontal="left" vertical="center"/>
    </xf>
    <xf numFmtId="194" fontId="49" fillId="0" borderId="0" xfId="0" applyNumberFormat="1" applyFont="1" applyBorder="1" applyAlignment="1">
      <alignment horizontal="left" vertical="center"/>
    </xf>
    <xf numFmtId="201" fontId="49" fillId="0" borderId="0" xfId="0" applyNumberFormat="1" applyFont="1" applyAlignment="1">
      <alignment horizontal="left" vertical="center"/>
    </xf>
    <xf numFmtId="194" fontId="49" fillId="0" borderId="0" xfId="0" applyNumberFormat="1" applyFont="1" applyAlignment="1">
      <alignment horizontal="center" vertical="center" wrapText="1"/>
    </xf>
    <xf numFmtId="201" fontId="49" fillId="0" borderId="0" xfId="0" applyNumberFormat="1" applyFont="1" applyFill="1" applyAlignment="1">
      <alignment horizontal="left" vertical="center"/>
    </xf>
    <xf numFmtId="194" fontId="49" fillId="0" borderId="0" xfId="0" applyNumberFormat="1" applyFont="1" applyAlignment="1">
      <alignment horizontal="left" vertical="center"/>
    </xf>
    <xf numFmtId="0" fontId="49" fillId="0" borderId="0" xfId="0" applyFont="1" applyFill="1" applyAlignment="1">
      <alignment horizontal="left" vertical="center"/>
    </xf>
    <xf numFmtId="176" fontId="49" fillId="0" borderId="0" xfId="2" applyFont="1" applyAlignment="1">
      <alignment vertical="center" wrapText="1"/>
    </xf>
    <xf numFmtId="198" fontId="49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52" fillId="0" borderId="0" xfId="0" applyNumberFormat="1" applyFont="1" applyAlignment="1">
      <alignment horizontal="left" vertical="center"/>
    </xf>
    <xf numFmtId="0" fontId="55" fillId="0" borderId="0" xfId="0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horizontal="left" vertical="center"/>
    </xf>
    <xf numFmtId="194" fontId="52" fillId="0" borderId="0" xfId="0" applyNumberFormat="1" applyFont="1" applyFill="1" applyBorder="1" applyAlignment="1">
      <alignment horizontal="left" vertical="center"/>
    </xf>
    <xf numFmtId="0" fontId="55" fillId="0" borderId="10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 vertical="center" wrapText="1"/>
    </xf>
    <xf numFmtId="0" fontId="55" fillId="0" borderId="1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201" fontId="3" fillId="0" borderId="1" xfId="0" applyNumberFormat="1" applyFont="1" applyFill="1" applyBorder="1" applyAlignment="1">
      <alignment horizontal="left" vertical="center"/>
    </xf>
    <xf numFmtId="198" fontId="55" fillId="0" borderId="10" xfId="0" applyNumberFormat="1" applyFont="1" applyFill="1" applyBorder="1" applyAlignment="1">
      <alignment horizontal="center" vertical="center"/>
    </xf>
    <xf numFmtId="198" fontId="55" fillId="0" borderId="12" xfId="0" applyNumberFormat="1" applyFont="1" applyFill="1" applyBorder="1" applyAlignment="1">
      <alignment horizontal="center" vertical="center"/>
    </xf>
    <xf numFmtId="198" fontId="55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1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Font="1" applyFill="1" applyBorder="1" applyAlignment="1">
      <alignment vertical="center"/>
    </xf>
    <xf numFmtId="194" fontId="0" fillId="0" borderId="1" xfId="0" applyNumberFormat="1" applyBorder="1">
      <alignment vertical="center"/>
    </xf>
    <xf numFmtId="194" fontId="44" fillId="0" borderId="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94" fontId="3" fillId="0" borderId="1" xfId="0" applyNumberFormat="1" applyFont="1" applyFill="1" applyBorder="1" applyAlignment="1">
      <alignment vertical="center"/>
    </xf>
    <xf numFmtId="194" fontId="8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194" fontId="3" fillId="0" borderId="19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43" fontId="3" fillId="0" borderId="21" xfId="0" applyNumberFormat="1" applyFont="1" applyFill="1" applyBorder="1" applyAlignment="1">
      <alignment horizontal="center" vertical="center"/>
    </xf>
    <xf numFmtId="194" fontId="3" fillId="0" borderId="0" xfId="0" applyNumberFormat="1" applyFont="1">
      <alignment vertical="center"/>
    </xf>
    <xf numFmtId="0" fontId="20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201" fontId="20" fillId="0" borderId="6" xfId="0" applyNumberFormat="1" applyFont="1" applyBorder="1" applyAlignment="1">
      <alignment horizontal="left" vertical="center" wrapText="1"/>
    </xf>
    <xf numFmtId="201" fontId="20" fillId="7" borderId="6" xfId="0" applyNumberFormat="1" applyFont="1" applyFill="1" applyBorder="1" applyAlignment="1">
      <alignment horizontal="left" vertical="center" wrapText="1"/>
    </xf>
    <xf numFmtId="201" fontId="60" fillId="0" borderId="1" xfId="0" applyNumberFormat="1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23" xfId="0" applyFont="1" applyFill="1" applyBorder="1" applyAlignment="1">
      <alignment horizontal="center" vertical="center"/>
    </xf>
    <xf numFmtId="201" fontId="0" fillId="7" borderId="1" xfId="0" applyNumberFormat="1" applyFont="1" applyFill="1" applyBorder="1" applyAlignment="1">
      <alignment horizontal="left" vertical="center"/>
    </xf>
    <xf numFmtId="213" fontId="0" fillId="0" borderId="1" xfId="0" applyNumberFormat="1" applyFont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>
      <alignment vertical="center"/>
    </xf>
    <xf numFmtId="201" fontId="0" fillId="7" borderId="6" xfId="0" applyNumberFormat="1" applyFont="1" applyFill="1" applyBorder="1" applyAlignment="1">
      <alignment horizontal="left" vertical="center"/>
    </xf>
    <xf numFmtId="213" fontId="0" fillId="0" borderId="6" xfId="0" applyNumberFormat="1" applyFont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5" xfId="0" applyFont="1" applyFill="1" applyBorder="1">
      <alignment vertical="center"/>
    </xf>
    <xf numFmtId="201" fontId="1" fillId="7" borderId="7" xfId="0" applyNumberFormat="1" applyFont="1" applyFill="1" applyBorder="1" applyAlignment="1">
      <alignment horizontal="left" vertical="center"/>
    </xf>
    <xf numFmtId="201" fontId="0" fillId="0" borderId="7" xfId="0" applyNumberFormat="1" applyFont="1" applyBorder="1" applyAlignment="1">
      <alignment horizontal="left" vertical="center"/>
    </xf>
    <xf numFmtId="217" fontId="1" fillId="0" borderId="7" xfId="0" applyNumberFormat="1" applyFont="1" applyBorder="1">
      <alignment vertical="center"/>
    </xf>
    <xf numFmtId="0" fontId="1" fillId="0" borderId="26" xfId="0" applyFont="1" applyFill="1" applyBorder="1">
      <alignment vertical="center"/>
    </xf>
    <xf numFmtId="0" fontId="61" fillId="0" borderId="0" xfId="0" applyFont="1">
      <alignment vertical="center"/>
    </xf>
    <xf numFmtId="176" fontId="49" fillId="0" borderId="0" xfId="2" applyFont="1" applyBorder="1" applyAlignment="1">
      <alignment vertical="center" wrapText="1"/>
    </xf>
    <xf numFmtId="201" fontId="44" fillId="0" borderId="0" xfId="0" applyNumberFormat="1" applyFont="1" applyBorder="1" applyAlignment="1">
      <alignment horizontal="left" vertical="center"/>
    </xf>
    <xf numFmtId="217" fontId="49" fillId="0" borderId="0" xfId="0" applyNumberFormat="1" applyFont="1" applyBorder="1">
      <alignment vertical="center"/>
    </xf>
    <xf numFmtId="201" fontId="49" fillId="0" borderId="0" xfId="0" applyNumberFormat="1" applyFont="1" applyFill="1" applyBorder="1" applyAlignment="1">
      <alignment horizontal="right" vertical="center"/>
    </xf>
    <xf numFmtId="201" fontId="49" fillId="0" borderId="0" xfId="0" applyNumberFormat="1" applyFont="1" applyFill="1" applyBorder="1" applyAlignment="1">
      <alignment horizontal="left" vertical="center" wrapText="1"/>
    </xf>
    <xf numFmtId="217" fontId="49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62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63" fillId="0" borderId="0" xfId="2" applyFont="1" applyAlignment="1">
      <alignment vertical="center" wrapText="1"/>
    </xf>
    <xf numFmtId="198" fontId="52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215" fontId="0" fillId="0" borderId="0" xfId="0" applyNumberFormat="1" applyBorder="1" applyAlignment="1">
      <alignment horizontal="left" vertical="center"/>
    </xf>
    <xf numFmtId="0" fontId="52" fillId="0" borderId="0" xfId="0" applyNumberFormat="1" applyFont="1" applyAlignment="1">
      <alignment horizontal="left" vertical="center"/>
    </xf>
    <xf numFmtId="49" fontId="52" fillId="0" borderId="0" xfId="0" applyNumberFormat="1" applyFont="1">
      <alignment vertical="center"/>
    </xf>
    <xf numFmtId="0" fontId="54" fillId="0" borderId="0" xfId="0" applyNumberFormat="1" applyFont="1">
      <alignment vertical="center"/>
    </xf>
    <xf numFmtId="194" fontId="52" fillId="0" borderId="1" xfId="0" applyNumberFormat="1" applyFont="1" applyFill="1" applyBorder="1" applyAlignment="1">
      <alignment horizontal="left" vertical="center"/>
    </xf>
    <xf numFmtId="0" fontId="52" fillId="0" borderId="0" xfId="0" applyNumberFormat="1" applyFont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1" fontId="3" fillId="0" borderId="0" xfId="0" applyNumberFormat="1" applyFont="1" applyBorder="1" applyAlignment="1">
      <alignment vertical="center"/>
    </xf>
    <xf numFmtId="198" fontId="64" fillId="0" borderId="0" xfId="30239" applyNumberFormat="1" applyFont="1" applyFill="1" applyBorder="1" applyAlignment="1">
      <alignment vertical="center"/>
    </xf>
    <xf numFmtId="201" fontId="65" fillId="0" borderId="0" xfId="0" applyNumberFormat="1" applyFont="1" applyBorder="1" applyAlignment="1">
      <alignment vertical="center"/>
    </xf>
    <xf numFmtId="201" fontId="0" fillId="0" borderId="0" xfId="0" applyNumberFormat="1" applyBorder="1" applyAlignment="1">
      <alignment horizontal="left" vertical="center"/>
    </xf>
    <xf numFmtId="201" fontId="66" fillId="0" borderId="0" xfId="0" applyNumberFormat="1" applyFont="1" applyAlignment="1">
      <alignment vertical="center"/>
    </xf>
    <xf numFmtId="201" fontId="0" fillId="0" borderId="0" xfId="0" applyNumberFormat="1" applyFont="1" applyAlignment="1">
      <alignment vertical="center"/>
    </xf>
    <xf numFmtId="201" fontId="66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67" fillId="0" borderId="0" xfId="0" applyNumberFormat="1" applyFont="1" applyFill="1" applyBorder="1" applyAlignment="1" applyProtection="1">
      <alignment vertical="center" shrinkToFit="1"/>
    </xf>
    <xf numFmtId="0" fontId="68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>
      <alignment vertical="center" wrapText="1"/>
    </xf>
    <xf numFmtId="49" fontId="68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70" fillId="0" borderId="0" xfId="0" applyNumberFormat="1" applyFont="1" applyFill="1" applyBorder="1" applyAlignment="1" applyProtection="1">
      <alignment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vertical="center"/>
    </xf>
    <xf numFmtId="0" fontId="7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198" fontId="5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43" fontId="19" fillId="0" borderId="1" xfId="0" applyNumberFormat="1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left" vertical="center"/>
    </xf>
    <xf numFmtId="43" fontId="72" fillId="0" borderId="1" xfId="0" applyNumberFormat="1" applyFont="1" applyFill="1" applyBorder="1" applyAlignment="1">
      <alignment horizontal="distributed" vertical="center"/>
    </xf>
    <xf numFmtId="43" fontId="4" fillId="0" borderId="1" xfId="1" applyNumberFormat="1" applyFont="1" applyFill="1" applyBorder="1" applyAlignment="1">
      <alignment horizontal="left" vertical="center"/>
    </xf>
    <xf numFmtId="218" fontId="4" fillId="0" borderId="1" xfId="0" applyNumberFormat="1" applyFont="1" applyFill="1" applyBorder="1" applyAlignment="1">
      <alignment horizontal="left" vertical="center"/>
    </xf>
    <xf numFmtId="210" fontId="5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194" fontId="3" fillId="6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31" fontId="5" fillId="0" borderId="0" xfId="0" applyNumberFormat="1" applyFont="1" applyFill="1" applyBorder="1" applyAlignment="1">
      <alignment horizontal="left" vertical="center"/>
    </xf>
    <xf numFmtId="214" fontId="3" fillId="0" borderId="0" xfId="0" applyNumberFormat="1" applyFont="1">
      <alignment vertical="center"/>
    </xf>
    <xf numFmtId="4" fontId="3" fillId="0" borderId="0" xfId="0" applyNumberFormat="1" applyFont="1">
      <alignment vertical="center"/>
    </xf>
    <xf numFmtId="212" fontId="3" fillId="0" borderId="0" xfId="0" applyNumberFormat="1" applyFont="1">
      <alignment vertical="center"/>
    </xf>
    <xf numFmtId="219" fontId="3" fillId="0" borderId="0" xfId="0" applyNumberFormat="1" applyFo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 applyProtection="1">
      <alignment horizontal="center" vertical="center" shrinkToFit="1"/>
    </xf>
    <xf numFmtId="0" fontId="15" fillId="3" borderId="0" xfId="0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1" fillId="6" borderId="1" xfId="0" applyNumberFormat="1" applyFont="1" applyFill="1" applyBorder="1" applyAlignment="1">
      <alignment horizontal="center" vertical="center" wrapText="1"/>
    </xf>
    <xf numFmtId="43" fontId="1" fillId="14" borderId="1" xfId="0" applyNumberFormat="1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horizontal="center" vertical="center"/>
    </xf>
    <xf numFmtId="43" fontId="19" fillId="6" borderId="1" xfId="0" applyNumberFormat="1" applyFont="1" applyFill="1" applyBorder="1" applyAlignment="1">
      <alignment horizontal="center" vertical="center"/>
    </xf>
    <xf numFmtId="43" fontId="19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>
      <alignment vertical="center"/>
    </xf>
    <xf numFmtId="43" fontId="19" fillId="6" borderId="1" xfId="0" applyNumberFormat="1" applyFont="1" applyFill="1" applyBorder="1">
      <alignment vertical="center"/>
    </xf>
    <xf numFmtId="43" fontId="19" fillId="0" borderId="1" xfId="0" applyNumberFormat="1" applyFont="1" applyFill="1" applyBorder="1">
      <alignment vertical="center"/>
    </xf>
    <xf numFmtId="43" fontId="20" fillId="0" borderId="1" xfId="0" applyNumberFormat="1" applyFont="1" applyBorder="1">
      <alignment vertical="center"/>
    </xf>
    <xf numFmtId="194" fontId="19" fillId="0" borderId="0" xfId="0" applyNumberFormat="1" applyFont="1" applyBorder="1">
      <alignment vertical="center"/>
    </xf>
    <xf numFmtId="194" fontId="19" fillId="0" borderId="0" xfId="0" applyNumberFormat="1" applyFont="1" applyFill="1" applyBorder="1">
      <alignment vertical="center"/>
    </xf>
    <xf numFmtId="43" fontId="1" fillId="0" borderId="1" xfId="0" applyNumberFormat="1" applyFont="1" applyBorder="1" applyAlignment="1">
      <alignment vertical="center" wrapText="1"/>
    </xf>
    <xf numFmtId="43" fontId="1" fillId="15" borderId="1" xfId="0" applyNumberFormat="1" applyFont="1" applyFill="1" applyBorder="1" applyAlignment="1">
      <alignment vertical="center" wrapText="1"/>
    </xf>
    <xf numFmtId="43" fontId="1" fillId="16" borderId="1" xfId="0" applyNumberFormat="1" applyFont="1" applyFill="1" applyBorder="1" applyAlignment="1">
      <alignment horizontal="center" vertical="center" wrapText="1"/>
    </xf>
    <xf numFmtId="43" fontId="19" fillId="14" borderId="1" xfId="0" applyNumberFormat="1" applyFont="1" applyFill="1" applyBorder="1" applyAlignment="1">
      <alignment horizontal="center" vertical="center"/>
    </xf>
    <xf numFmtId="43" fontId="19" fillId="14" borderId="1" xfId="0" applyNumberFormat="1" applyFont="1" applyFill="1" applyBorder="1">
      <alignment vertical="center"/>
    </xf>
    <xf numFmtId="43" fontId="20" fillId="2" borderId="1" xfId="0" applyNumberFormat="1" applyFont="1" applyFill="1" applyBorder="1">
      <alignment vertical="center"/>
    </xf>
    <xf numFmtId="3" fontId="73" fillId="0" borderId="0" xfId="0" applyNumberFormat="1" applyFont="1">
      <alignment vertical="center"/>
    </xf>
    <xf numFmtId="0" fontId="15" fillId="3" borderId="0" xfId="0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center" vertical="center"/>
    </xf>
    <xf numFmtId="0" fontId="15" fillId="3" borderId="0" xfId="0" applyFont="1" applyFill="1" applyBorder="1" quotePrefix="1">
      <alignment vertical="center"/>
    </xf>
    <xf numFmtId="49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vertical="center"/>
    </xf>
    <xf numFmtId="0" fontId="30" fillId="3" borderId="0" xfId="0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vertical="center" wrapText="1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 wrapText="1"/>
    </xf>
    <xf numFmtId="0" fontId="15" fillId="3" borderId="0" xfId="0" applyFont="1" applyFill="1" applyBorder="1" applyAlignment="1" quotePrefix="1">
      <alignment horizontal="center" vertical="center" wrapText="1"/>
    </xf>
    <xf numFmtId="0" fontId="19" fillId="3" borderId="0" xfId="0" applyFont="1" applyFill="1" applyBorder="1" quotePrefix="1">
      <alignment vertical="center"/>
    </xf>
    <xf numFmtId="0" fontId="19" fillId="0" borderId="0" xfId="0" applyFont="1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20038060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58222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58222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58222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58222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58222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2382202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H23" sqref="H23"/>
    </sheetView>
  </sheetViews>
  <sheetFormatPr defaultColWidth="9" defaultRowHeight="18" customHeight="1"/>
  <cols>
    <col min="1" max="1" width="3.625" style="94" customWidth="1"/>
    <col min="2" max="2" width="6.5" style="94" customWidth="1"/>
    <col min="3" max="3" width="18.25" style="96" customWidth="1"/>
    <col min="4" max="5" width="17.875" style="96"/>
    <col min="6" max="6" width="18.25" style="96"/>
    <col min="7" max="7" width="17.125" style="96"/>
    <col min="8" max="8" width="18.25" style="96"/>
    <col min="9" max="9" width="13.5" style="96" customWidth="1"/>
    <col min="10" max="10" width="17.375" style="96" customWidth="1"/>
    <col min="11" max="11" width="20" style="96" customWidth="1"/>
    <col min="12" max="12" width="19.625" style="96" customWidth="1"/>
    <col min="13" max="13" width="17.5" style="96" customWidth="1"/>
    <col min="14" max="14" width="18.125" style="94" customWidth="1"/>
    <col min="15" max="15" width="9" style="94"/>
    <col min="16" max="16" width="12.625" style="94"/>
    <col min="17" max="16384" width="9" style="94"/>
  </cols>
  <sheetData>
    <row r="1" s="810" customFormat="1" customHeight="1" spans="2:14">
      <c r="B1" s="812" t="s">
        <v>0</v>
      </c>
      <c r="C1" s="813"/>
      <c r="D1" s="813"/>
      <c r="E1" s="813"/>
      <c r="F1" s="813"/>
      <c r="G1" s="813"/>
      <c r="H1" s="813"/>
      <c r="I1" s="813"/>
      <c r="J1" s="813"/>
      <c r="K1" s="813"/>
      <c r="L1" s="813"/>
      <c r="M1" s="813"/>
      <c r="N1" s="813"/>
    </row>
    <row r="2" s="811" customFormat="1" ht="25" customHeight="1" spans="2:14">
      <c r="B2" s="814"/>
      <c r="C2" s="815" t="s">
        <v>1</v>
      </c>
      <c r="D2" s="815"/>
      <c r="E2" s="815"/>
      <c r="F2" s="815"/>
      <c r="G2" s="816" t="s">
        <v>2</v>
      </c>
      <c r="H2" s="816"/>
      <c r="I2" s="816"/>
      <c r="J2" s="816"/>
      <c r="K2" s="826" t="s">
        <v>3</v>
      </c>
      <c r="L2" s="827" t="s">
        <v>4</v>
      </c>
      <c r="M2" s="828" t="s">
        <v>5</v>
      </c>
      <c r="N2" s="828"/>
    </row>
    <row r="3" s="95" customFormat="1" customHeight="1" spans="2:14">
      <c r="B3" s="563" t="s">
        <v>6</v>
      </c>
      <c r="C3" s="817" t="s">
        <v>7</v>
      </c>
      <c r="D3" s="817" t="s">
        <v>8</v>
      </c>
      <c r="E3" s="817" t="s">
        <v>9</v>
      </c>
      <c r="F3" s="818" t="s">
        <v>10</v>
      </c>
      <c r="G3" s="819" t="s">
        <v>11</v>
      </c>
      <c r="H3" s="819" t="s">
        <v>12</v>
      </c>
      <c r="I3" s="819" t="s">
        <v>13</v>
      </c>
      <c r="J3" s="829" t="s">
        <v>10</v>
      </c>
      <c r="K3" s="819"/>
      <c r="L3" s="819"/>
      <c r="M3" s="819" t="s">
        <v>7</v>
      </c>
      <c r="N3" s="563" t="s">
        <v>14</v>
      </c>
    </row>
    <row r="4" customHeight="1" spans="2:16">
      <c r="B4" s="712" t="s">
        <v>15</v>
      </c>
      <c r="C4" s="820">
        <v>278868823</v>
      </c>
      <c r="D4" s="820">
        <v>577229</v>
      </c>
      <c r="E4" s="820"/>
      <c r="F4" s="821">
        <f>C4+D4+E4</f>
        <v>279446052</v>
      </c>
      <c r="G4" s="820">
        <f>C4/1.09*0.09</f>
        <v>23025866.1192661</v>
      </c>
      <c r="H4" s="820">
        <f>D4/1.09*0.09</f>
        <v>47661.1100917431</v>
      </c>
      <c r="I4" s="820">
        <f>E4/1.09*0.09</f>
        <v>0</v>
      </c>
      <c r="J4" s="830">
        <f>G4+H4+I4</f>
        <v>23073527.2293578</v>
      </c>
      <c r="K4" s="820"/>
      <c r="L4" s="820"/>
      <c r="M4" s="820"/>
      <c r="N4" s="712"/>
      <c r="P4" s="94">
        <f>J4+N4</f>
        <v>23073527.2293578</v>
      </c>
    </row>
    <row r="5" customHeight="1" spans="2:16">
      <c r="B5" s="712" t="s">
        <v>16</v>
      </c>
      <c r="C5" s="820">
        <v>16205837</v>
      </c>
      <c r="D5" s="820">
        <v>900394</v>
      </c>
      <c r="E5" s="820">
        <v>1178000</v>
      </c>
      <c r="F5" s="821">
        <f>C5+D5+E5</f>
        <v>18284231</v>
      </c>
      <c r="G5" s="820">
        <f>C5/1.09*0.09</f>
        <v>1338096.63302752</v>
      </c>
      <c r="H5" s="820">
        <f>D5/1.09*0.09</f>
        <v>74344.4587155963</v>
      </c>
      <c r="I5" s="820">
        <f>E5/1.09*0.09</f>
        <v>97266.0550458716</v>
      </c>
      <c r="J5" s="830">
        <f>G5+H5+I5</f>
        <v>1509707.14678899</v>
      </c>
      <c r="K5" s="820">
        <v>37431244</v>
      </c>
      <c r="L5" s="820"/>
      <c r="M5" s="820"/>
      <c r="N5" s="712"/>
      <c r="P5" s="94">
        <f t="shared" ref="P5:P11" si="0">J5+N5</f>
        <v>1509707.14678899</v>
      </c>
    </row>
    <row r="6" customHeight="1" spans="2:16">
      <c r="B6" s="712" t="s">
        <v>17</v>
      </c>
      <c r="C6" s="820"/>
      <c r="D6" s="820">
        <v>56960</v>
      </c>
      <c r="E6" s="820">
        <v>304240</v>
      </c>
      <c r="F6" s="821">
        <f>C6+D6+E6</f>
        <v>361200</v>
      </c>
      <c r="G6" s="820">
        <f>C6/1.09*0.09</f>
        <v>0</v>
      </c>
      <c r="H6" s="820">
        <f>D6/1.09*0.09</f>
        <v>4703.11926605505</v>
      </c>
      <c r="I6" s="820">
        <f>E6/1.09*0.09</f>
        <v>25120.7339449541</v>
      </c>
      <c r="J6" s="830">
        <f>G6+H6+I6</f>
        <v>29823.8532110092</v>
      </c>
      <c r="K6" s="820">
        <v>16338184</v>
      </c>
      <c r="L6" s="820"/>
      <c r="M6" s="820">
        <v>10864302</v>
      </c>
      <c r="N6" s="820">
        <f>M6/1.09*0.09</f>
        <v>897052.458715596</v>
      </c>
      <c r="P6" s="94">
        <f t="shared" si="0"/>
        <v>926876.311926605</v>
      </c>
    </row>
    <row r="7" customHeight="1" spans="2:16">
      <c r="B7" s="712" t="s">
        <v>18</v>
      </c>
      <c r="C7" s="820"/>
      <c r="D7" s="820">
        <f>-106935+249275</f>
        <v>142340</v>
      </c>
      <c r="E7" s="820">
        <v>108360</v>
      </c>
      <c r="F7" s="821">
        <f>C7+D7+E7</f>
        <v>250700</v>
      </c>
      <c r="G7" s="820">
        <f>C7/1.09*0.09</f>
        <v>0</v>
      </c>
      <c r="H7" s="820">
        <f>D7/1.09*0.09</f>
        <v>11752.8440366972</v>
      </c>
      <c r="I7" s="820">
        <f>E7/1.09*0.09</f>
        <v>8947.15596330275</v>
      </c>
      <c r="J7" s="830">
        <f>G7+H7+I7</f>
        <v>20699.9999999999</v>
      </c>
      <c r="K7" s="820">
        <f>31364278+18734175</f>
        <v>50098453</v>
      </c>
      <c r="L7" s="820"/>
      <c r="M7" s="820">
        <v>2110283</v>
      </c>
      <c r="N7" s="820">
        <f>M7/1.09*0.09</f>
        <v>174243.550458716</v>
      </c>
      <c r="P7" s="94">
        <f t="shared" si="0"/>
        <v>194943.550458716</v>
      </c>
    </row>
    <row r="8" customHeight="1" spans="2:16">
      <c r="B8" s="712" t="s">
        <v>19</v>
      </c>
      <c r="C8" s="822">
        <v>14938832</v>
      </c>
      <c r="D8" s="820">
        <v>133155</v>
      </c>
      <c r="E8" s="820">
        <v>33880</v>
      </c>
      <c r="F8" s="821">
        <f>C8+D8+E8</f>
        <v>15105867</v>
      </c>
      <c r="G8" s="820">
        <f>C8/1.09*0.09</f>
        <v>1233481.5412844</v>
      </c>
      <c r="H8" s="820">
        <f>D8/1.09*0.09</f>
        <v>10994.4495412844</v>
      </c>
      <c r="I8" s="820">
        <f>E8/1.09*0.09</f>
        <v>2797.43119266055</v>
      </c>
      <c r="J8" s="830">
        <f>G8+H8+I8</f>
        <v>1247273.42201835</v>
      </c>
      <c r="K8" s="820">
        <f>58971415+3182181</f>
        <v>62153596</v>
      </c>
      <c r="L8" s="820"/>
      <c r="M8" s="820">
        <f>1444648+444367</f>
        <v>1889015</v>
      </c>
      <c r="N8" s="820">
        <f>M8/1.09*0.09</f>
        <v>155973.71559633</v>
      </c>
      <c r="P8" s="94">
        <f t="shared" si="0"/>
        <v>1403247.13761468</v>
      </c>
    </row>
    <row r="9" customHeight="1" spans="2:16">
      <c r="B9" s="712"/>
      <c r="C9" s="820"/>
      <c r="D9" s="820"/>
      <c r="E9" s="820"/>
      <c r="F9" s="821"/>
      <c r="G9" s="820"/>
      <c r="H9" s="820"/>
      <c r="I9" s="820"/>
      <c r="J9" s="830"/>
      <c r="K9" s="820"/>
      <c r="L9" s="820"/>
      <c r="M9" s="820"/>
      <c r="N9" s="712"/>
      <c r="P9" s="94">
        <f t="shared" si="0"/>
        <v>0</v>
      </c>
    </row>
    <row r="10" customHeight="1" spans="2:16">
      <c r="B10" s="712"/>
      <c r="C10" s="820"/>
      <c r="D10" s="820"/>
      <c r="E10" s="820"/>
      <c r="F10" s="821"/>
      <c r="G10" s="820"/>
      <c r="H10" s="820"/>
      <c r="I10" s="820"/>
      <c r="J10" s="830"/>
      <c r="K10" s="820"/>
      <c r="L10" s="820"/>
      <c r="M10" s="820"/>
      <c r="N10" s="712"/>
      <c r="P10" s="94">
        <f t="shared" si="0"/>
        <v>0</v>
      </c>
    </row>
    <row r="11" customHeight="1" spans="2:16">
      <c r="B11" s="712"/>
      <c r="C11" s="820"/>
      <c r="D11" s="820"/>
      <c r="E11" s="820"/>
      <c r="F11" s="821"/>
      <c r="G11" s="820"/>
      <c r="H11" s="820"/>
      <c r="I11" s="820"/>
      <c r="J11" s="830"/>
      <c r="K11" s="820"/>
      <c r="L11" s="820"/>
      <c r="M11" s="820"/>
      <c r="N11" s="712"/>
      <c r="P11" s="94">
        <f t="shared" si="0"/>
        <v>0</v>
      </c>
    </row>
    <row r="12" customHeight="1" spans="2:16">
      <c r="B12" s="712" t="s">
        <v>10</v>
      </c>
      <c r="C12" s="823">
        <f>SUM(C4:C11)</f>
        <v>310013492</v>
      </c>
      <c r="D12" s="823">
        <f t="shared" ref="C12:K12" si="1">SUM(D4:D11)</f>
        <v>1810078</v>
      </c>
      <c r="E12" s="823">
        <f t="shared" si="1"/>
        <v>1624480</v>
      </c>
      <c r="F12" s="821">
        <f t="shared" si="1"/>
        <v>313448050</v>
      </c>
      <c r="G12" s="820">
        <f t="shared" si="1"/>
        <v>25597444.293578</v>
      </c>
      <c r="H12" s="820">
        <f t="shared" si="1"/>
        <v>149455.981651376</v>
      </c>
      <c r="I12" s="820">
        <f t="shared" si="1"/>
        <v>134131.376146789</v>
      </c>
      <c r="J12" s="830">
        <f t="shared" si="1"/>
        <v>25881031.6513761</v>
      </c>
      <c r="K12" s="820">
        <f t="shared" si="1"/>
        <v>166021477</v>
      </c>
      <c r="L12" s="831">
        <f>C12-K12</f>
        <v>143992015</v>
      </c>
      <c r="M12" s="820">
        <f>SUM(M4:M11)</f>
        <v>14863600</v>
      </c>
      <c r="N12" s="820">
        <f>SUM(N4:N11)</f>
        <v>1227269.72477064</v>
      </c>
      <c r="P12" s="94">
        <f>SUM(P4:P11)</f>
        <v>27108301.3761468</v>
      </c>
    </row>
    <row r="16" customHeight="1" spans="8:8">
      <c r="H16" s="96">
        <f>C12+M12</f>
        <v>324877092</v>
      </c>
    </row>
    <row r="17" customHeight="1" spans="8:8">
      <c r="H17" s="96">
        <v>306110626</v>
      </c>
    </row>
    <row r="18" customHeight="1" spans="8:8">
      <c r="H18" s="96">
        <f>H16-H17</f>
        <v>18766466</v>
      </c>
    </row>
    <row r="19" customHeight="1" spans="1:1">
      <c r="A19" s="824"/>
    </row>
    <row r="20" customHeight="1" spans="1:2">
      <c r="A20" s="825"/>
      <c r="B20" s="92"/>
    </row>
    <row r="21" customHeight="1" spans="1:10">
      <c r="A21" s="825"/>
      <c r="B21" s="92"/>
      <c r="J21" s="832"/>
    </row>
    <row r="22" customHeight="1" spans="1:2">
      <c r="A22" s="825"/>
      <c r="B22" s="92"/>
    </row>
    <row r="23" customHeight="1" spans="1:2">
      <c r="A23" s="825"/>
      <c r="B23" s="92"/>
    </row>
    <row r="24" customHeight="1" spans="1:14">
      <c r="A24" s="825"/>
      <c r="B24" s="92"/>
      <c r="N24" s="96"/>
    </row>
    <row r="25" customHeight="1" spans="14:14">
      <c r="N25" s="96"/>
    </row>
  </sheetData>
  <mergeCells count="4">
    <mergeCell ref="B1:N1"/>
    <mergeCell ref="C2:F2"/>
    <mergeCell ref="G2:J2"/>
    <mergeCell ref="M2:N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5"/>
  <sheetViews>
    <sheetView tabSelected="1" zoomScale="90" zoomScaleNormal="90" topLeftCell="D1" workbookViewId="0">
      <pane ySplit="3" topLeftCell="A38" activePane="bottomLeft" state="frozen"/>
      <selection/>
      <selection pane="bottomLeft" activeCell="L47" sqref="L47"/>
    </sheetView>
  </sheetViews>
  <sheetFormatPr defaultColWidth="9" defaultRowHeight="31.5" customHeight="1"/>
  <cols>
    <col min="1" max="1" width="6.558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75" customWidth="1"/>
    <col min="12" max="12" width="13.325" customWidth="1"/>
    <col min="13" max="13" width="16.6583333333333" customWidth="1"/>
    <col min="14" max="14" width="21.3833333333333" customWidth="1"/>
    <col min="15" max="15" width="18.125" style="550" customWidth="1"/>
    <col min="16" max="16" width="15.2166666666667" customWidth="1"/>
    <col min="17" max="17" width="7.49166666666667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2" width="15" customWidth="1"/>
    <col min="23" max="23" width="13.1" customWidth="1"/>
    <col min="24" max="24" width="13.225" customWidth="1"/>
    <col min="25" max="25" width="12.875" customWidth="1"/>
    <col min="27" max="27" width="15.125" customWidth="1"/>
    <col min="28" max="28" width="13.1916666666667" customWidth="1"/>
    <col min="29" max="29" width="12.125" customWidth="1"/>
    <col min="30" max="30" width="11.5"/>
    <col min="31" max="31" width="13" customWidth="1"/>
    <col min="32" max="32" width="13.75" customWidth="1"/>
    <col min="33" max="33" width="12.625"/>
    <col min="34" max="34" width="14.7166666666667" customWidth="1"/>
    <col min="35" max="35" width="16.25" customWidth="1"/>
    <col min="36" max="36" width="10.55" customWidth="1"/>
    <col min="37" max="37" width="12.9166666666667" customWidth="1"/>
    <col min="41" max="41" width="13.75" customWidth="1"/>
  </cols>
  <sheetData>
    <row r="1" customHeight="1" spans="1:24">
      <c r="A1" s="551" t="s">
        <v>20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639"/>
      <c r="P1" s="552"/>
      <c r="Q1" s="552"/>
      <c r="R1" s="552"/>
      <c r="S1" s="552"/>
      <c r="T1" s="552"/>
      <c r="U1" s="552"/>
      <c r="V1" s="552"/>
      <c r="W1" s="552"/>
      <c r="X1" s="552"/>
    </row>
    <row r="2" ht="41" customHeight="1" spans="1:23">
      <c r="A2" s="553" t="s">
        <v>21</v>
      </c>
      <c r="B2" s="554" t="s">
        <v>22</v>
      </c>
      <c r="C2" s="555" t="s">
        <v>23</v>
      </c>
      <c r="D2" s="556" t="s">
        <v>24</v>
      </c>
      <c r="E2" s="557" t="s">
        <v>25</v>
      </c>
      <c r="F2" s="558"/>
      <c r="G2" s="559"/>
      <c r="H2" s="560"/>
      <c r="I2" s="560"/>
      <c r="J2" s="640" t="s">
        <v>26</v>
      </c>
      <c r="K2" s="640" t="s">
        <v>27</v>
      </c>
      <c r="L2" s="641" t="s">
        <v>28</v>
      </c>
      <c r="M2" s="642"/>
      <c r="N2" s="642"/>
      <c r="O2" s="643"/>
      <c r="P2" s="642"/>
      <c r="Q2" s="642"/>
      <c r="R2" s="642"/>
      <c r="S2" s="705"/>
      <c r="T2" s="706" t="s">
        <v>29</v>
      </c>
      <c r="U2" s="706"/>
      <c r="V2" s="706"/>
      <c r="W2" s="707" t="s">
        <v>30</v>
      </c>
    </row>
    <row r="3" s="545" customFormat="1" ht="33" customHeight="1" spans="1:23">
      <c r="A3" s="561"/>
      <c r="B3" s="562"/>
      <c r="C3" s="563" t="s">
        <v>31</v>
      </c>
      <c r="D3" s="563" t="s">
        <v>31</v>
      </c>
      <c r="E3" s="564" t="s">
        <v>32</v>
      </c>
      <c r="F3" s="565" t="s">
        <v>33</v>
      </c>
      <c r="G3" s="566" t="s">
        <v>34</v>
      </c>
      <c r="H3" s="567" t="s">
        <v>35</v>
      </c>
      <c r="I3" s="567"/>
      <c r="J3" s="567"/>
      <c r="K3" s="567"/>
      <c r="L3" s="644" t="s">
        <v>32</v>
      </c>
      <c r="M3" s="645" t="s">
        <v>36</v>
      </c>
      <c r="N3" s="645" t="s">
        <v>37</v>
      </c>
      <c r="O3" s="646" t="s">
        <v>38</v>
      </c>
      <c r="P3" s="647" t="s">
        <v>39</v>
      </c>
      <c r="Q3" s="708" t="s">
        <v>40</v>
      </c>
      <c r="R3" s="709" t="s">
        <v>41</v>
      </c>
      <c r="S3" s="710" t="s">
        <v>42</v>
      </c>
      <c r="T3" s="711" t="s">
        <v>31</v>
      </c>
      <c r="U3" s="566" t="s">
        <v>43</v>
      </c>
      <c r="V3" s="712" t="s">
        <v>44</v>
      </c>
      <c r="W3" s="713"/>
    </row>
    <row r="4" s="546" customFormat="1" ht="36" customHeight="1" spans="1:23">
      <c r="A4" s="568">
        <v>1</v>
      </c>
      <c r="B4" s="569" t="s">
        <v>45</v>
      </c>
      <c r="C4" s="570">
        <f>'画堂春锦13#14#15#17#18# 商铺'!A148</f>
        <v>141</v>
      </c>
      <c r="D4" s="570">
        <f t="shared" ref="D4:D9" si="0">C4</f>
        <v>141</v>
      </c>
      <c r="E4" s="571">
        <f>'画堂春锦13#14#15#17#18# 商铺'!B151</f>
        <v>3</v>
      </c>
      <c r="F4" s="572"/>
      <c r="G4" s="573">
        <f>'画堂春锦13#14#15#17#18# 商铺'!T151</f>
        <v>4092229</v>
      </c>
      <c r="H4" s="573"/>
      <c r="I4" s="573"/>
      <c r="J4" s="573">
        <f>'画堂春锦13#14#15#17#18# 商铺'!K151</f>
        <v>15319.5</v>
      </c>
      <c r="K4" s="573">
        <f>J4-524.4-152.79-15.25-16.01</f>
        <v>14611.05</v>
      </c>
      <c r="L4" s="648">
        <f>121+4</f>
        <v>125</v>
      </c>
      <c r="M4" s="573">
        <f>'画堂春锦13#14#15#17#18# 商铺'!N151</f>
        <v>165714080</v>
      </c>
      <c r="N4" s="573">
        <f>'画堂春锦13#14#15#17#18# 商铺'!L151</f>
        <v>10769.82</v>
      </c>
      <c r="O4" s="649">
        <f>'画堂春锦13#14#15#17#18# 商铺'!AL151</f>
        <v>151464283</v>
      </c>
      <c r="P4" s="650">
        <f>'画堂春锦13#14#15#17#18# 商铺'!AM151</f>
        <v>0</v>
      </c>
      <c r="Q4" s="573">
        <f>'画堂春锦13#14#15#17#18# 商铺'!AN151</f>
        <v>0</v>
      </c>
      <c r="R4" s="714">
        <f>O4+Q4</f>
        <v>151464283</v>
      </c>
      <c r="S4" s="573">
        <f>M4-R4</f>
        <v>14249797</v>
      </c>
      <c r="T4" s="715">
        <f t="shared" ref="T4:T9" si="1">D4-L4</f>
        <v>16</v>
      </c>
      <c r="U4" s="716">
        <f>K4-N4</f>
        <v>3841.22999999999</v>
      </c>
      <c r="V4" s="717"/>
      <c r="W4" s="718"/>
    </row>
    <row r="5" s="546" customFormat="1" ht="36" customHeight="1" spans="1:36">
      <c r="A5" s="574">
        <v>2</v>
      </c>
      <c r="B5" s="575" t="s">
        <v>46</v>
      </c>
      <c r="C5" s="570">
        <f>'画堂春锦9#10#11#12#住宅'!A332</f>
        <v>242</v>
      </c>
      <c r="D5" s="570">
        <f t="shared" si="0"/>
        <v>242</v>
      </c>
      <c r="E5" s="571">
        <f>'画堂春锦9#10#11#12#住宅'!B333</f>
        <v>0</v>
      </c>
      <c r="F5" s="572"/>
      <c r="G5" s="573">
        <f>'画堂春锦9#10#11#12#住宅'!R333</f>
        <v>2002987</v>
      </c>
      <c r="H5" s="573"/>
      <c r="I5" s="573"/>
      <c r="J5" s="573">
        <f>'画堂春锦9#10#11#12#住宅'!J333</f>
        <v>31331.37</v>
      </c>
      <c r="K5" s="573">
        <f>J5-4.49-22.24-19.83-4.39-548.24-753.94-625.87-615.6</f>
        <v>28736.77</v>
      </c>
      <c r="L5" s="651">
        <f>225</f>
        <v>225</v>
      </c>
      <c r="M5" s="573">
        <f>'画堂春锦9#10#11#12#住宅'!M333</f>
        <v>159591395</v>
      </c>
      <c r="N5" s="573">
        <f>'画堂春锦9#10#11#12#住宅'!K333</f>
        <v>27181.73</v>
      </c>
      <c r="O5" s="649">
        <f>'画堂春锦9#10#11#12#住宅'!AH333</f>
        <v>155954393</v>
      </c>
      <c r="P5" s="650">
        <f>'画堂春锦9#10#11#12#住宅'!AI333</f>
        <v>0</v>
      </c>
      <c r="Q5" s="573">
        <f>'画堂春锦9#10#11#12#住宅'!AJ333</f>
        <v>0</v>
      </c>
      <c r="R5" s="714">
        <f>O5+Q5</f>
        <v>155954393</v>
      </c>
      <c r="S5" s="573">
        <f>M5-R5</f>
        <v>3637002</v>
      </c>
      <c r="T5" s="715">
        <f t="shared" si="1"/>
        <v>17</v>
      </c>
      <c r="U5" s="716">
        <f>K5-N5</f>
        <v>1555.04000000003</v>
      </c>
      <c r="V5" s="717"/>
      <c r="W5" s="719"/>
      <c r="AD5" s="779" t="s">
        <v>47</v>
      </c>
      <c r="AE5" s="779" t="s">
        <v>48</v>
      </c>
      <c r="AF5" s="779" t="s">
        <v>49</v>
      </c>
      <c r="AG5" s="795" t="s">
        <v>50</v>
      </c>
      <c r="AH5" s="795" t="s">
        <v>51</v>
      </c>
      <c r="AI5" s="795" t="s">
        <v>52</v>
      </c>
      <c r="AJ5" s="779" t="s">
        <v>30</v>
      </c>
    </row>
    <row r="6" s="546" customFormat="1" ht="35" customHeight="1" spans="1:36">
      <c r="A6" s="574">
        <v>3</v>
      </c>
      <c r="B6" s="575" t="s">
        <v>53</v>
      </c>
      <c r="C6" s="570">
        <f>'画堂春锦苑1#2#3#5#7#楼住宅销售明细表'!A439</f>
        <v>362</v>
      </c>
      <c r="D6" s="570">
        <f t="shared" si="0"/>
        <v>362</v>
      </c>
      <c r="E6" s="571">
        <f>'画堂春锦苑1#2#3#5#7#楼住宅销售明细表'!B440</f>
        <v>9</v>
      </c>
      <c r="F6" s="572"/>
      <c r="G6" s="573">
        <f>'画堂春锦苑1#2#3#5#7#楼住宅销售明细表'!R440</f>
        <v>7956921</v>
      </c>
      <c r="H6" s="573"/>
      <c r="I6" s="573"/>
      <c r="J6" s="573">
        <f>'画堂春锦苑1#2#3#5#7#楼住宅销售明细表'!J440</f>
        <v>48195.4999999999</v>
      </c>
      <c r="K6" s="573">
        <f>J6-693.5-949.92-60.09-743.78-560.48-557.5</f>
        <v>44630.2299999999</v>
      </c>
      <c r="L6" s="651">
        <f>256+9</f>
        <v>265</v>
      </c>
      <c r="M6" s="573">
        <f>'画堂春锦苑1#2#3#5#7#楼住宅销售明细表'!M440</f>
        <v>202447482</v>
      </c>
      <c r="N6" s="573">
        <f>'画堂春锦苑1#2#3#5#7#楼住宅销售明细表'!K440</f>
        <v>36462.34</v>
      </c>
      <c r="O6" s="649">
        <f>'画堂春锦苑1#2#3#5#7#楼住宅销售明细表'!AH440</f>
        <v>183526817</v>
      </c>
      <c r="P6" s="650">
        <f>'画堂春锦9#10#11#12#住宅'!AI337</f>
        <v>0</v>
      </c>
      <c r="Q6" s="573">
        <f>'画堂春锦苑1#2#3#5#7#楼住宅销售明细表'!AJ440</f>
        <v>0</v>
      </c>
      <c r="R6" s="714">
        <f>O6+Q6</f>
        <v>183526817</v>
      </c>
      <c r="S6" s="573">
        <f>M6-R6</f>
        <v>18920665</v>
      </c>
      <c r="T6" s="715">
        <f t="shared" si="1"/>
        <v>97</v>
      </c>
      <c r="U6" s="716">
        <f>K6-N6</f>
        <v>8167.88999999989</v>
      </c>
      <c r="V6" s="717"/>
      <c r="W6" s="719"/>
      <c r="AD6" s="779" t="s">
        <v>54</v>
      </c>
      <c r="AE6" s="780" t="s">
        <v>55</v>
      </c>
      <c r="AF6" s="781"/>
      <c r="AG6" s="779">
        <f>144632+133147+142991</f>
        <v>420770</v>
      </c>
      <c r="AH6" s="796">
        <v>0.02</v>
      </c>
      <c r="AI6" s="797">
        <f>AG6*AH6</f>
        <v>8415.4</v>
      </c>
      <c r="AJ6" s="779"/>
    </row>
    <row r="7" s="546" customFormat="1" ht="35" customHeight="1" spans="1:36">
      <c r="A7" s="574">
        <v>4</v>
      </c>
      <c r="B7" s="576" t="s">
        <v>56</v>
      </c>
      <c r="C7" s="570">
        <f>'画堂春锦苑8#楼明细表'!A89</f>
        <v>66</v>
      </c>
      <c r="D7" s="570">
        <f t="shared" si="0"/>
        <v>66</v>
      </c>
      <c r="E7" s="571">
        <f>'画堂春锦苑8#楼明细表'!B91</f>
        <v>1</v>
      </c>
      <c r="F7" s="572"/>
      <c r="G7" s="573">
        <f>'画堂春锦苑8#楼明细表'!R91</f>
        <v>5863000</v>
      </c>
      <c r="H7" s="573"/>
      <c r="I7" s="573"/>
      <c r="J7" s="573">
        <f>'画堂春锦苑8#楼明细表'!J91</f>
        <v>9054.69</v>
      </c>
      <c r="K7" s="573">
        <f>J7-745.73</f>
        <v>8308.96</v>
      </c>
      <c r="L7" s="651">
        <f>40+8</f>
        <v>48</v>
      </c>
      <c r="M7" s="573">
        <f>'画堂春锦苑8#楼明细表'!M91</f>
        <v>37042983</v>
      </c>
      <c r="N7" s="573">
        <f>'画堂春锦苑8#楼明细表'!K91</f>
        <v>6166.21</v>
      </c>
      <c r="O7" s="649">
        <f>'画堂春锦苑8#楼明细表'!AH91</f>
        <v>31435199</v>
      </c>
      <c r="P7" s="650">
        <f>'画堂春锦9#10#11#12#住宅'!AI338</f>
        <v>0</v>
      </c>
      <c r="Q7" s="573">
        <f>'画堂春锦苑8#楼明细表'!AJ91</f>
        <v>0</v>
      </c>
      <c r="R7" s="714">
        <f>O7+Q7</f>
        <v>31435199</v>
      </c>
      <c r="S7" s="573">
        <f>'画堂春锦苑8#楼明细表'!AK91</f>
        <v>5607784</v>
      </c>
      <c r="T7" s="715">
        <f t="shared" si="1"/>
        <v>18</v>
      </c>
      <c r="U7" s="716">
        <f>K7-N7</f>
        <v>2142.75</v>
      </c>
      <c r="V7" s="717"/>
      <c r="W7" s="719"/>
      <c r="AD7" s="1"/>
      <c r="AE7" s="1"/>
      <c r="AF7" s="1"/>
      <c r="AG7" s="1"/>
      <c r="AH7" s="1"/>
      <c r="AI7" s="1"/>
      <c r="AJ7" s="1"/>
    </row>
    <row r="8" s="546" customFormat="1" ht="35" customHeight="1" spans="1:23">
      <c r="A8" s="574">
        <v>5</v>
      </c>
      <c r="B8" s="576" t="s">
        <v>57</v>
      </c>
      <c r="C8" s="570">
        <f>'画堂春锦苑住宅4#6#'!A168</f>
        <v>132</v>
      </c>
      <c r="D8" s="570">
        <f t="shared" si="0"/>
        <v>132</v>
      </c>
      <c r="E8" s="571">
        <f>'画堂春锦苑住宅4#6#'!B168</f>
        <v>6</v>
      </c>
      <c r="F8" s="572"/>
      <c r="G8" s="573">
        <f>'画堂春锦苑住宅4#6#'!R168</f>
        <v>1964000</v>
      </c>
      <c r="H8" s="573"/>
      <c r="I8" s="573"/>
      <c r="J8" s="573">
        <f>'画堂春锦苑住宅4#6#'!J168</f>
        <v>19425.76</v>
      </c>
      <c r="K8" s="573">
        <f>J8-744.94-830.47</f>
        <v>17850.35</v>
      </c>
      <c r="L8" s="651">
        <f>5+1</f>
        <v>6</v>
      </c>
      <c r="M8" s="573">
        <f>'画堂春锦苑住宅4#6#'!M168</f>
        <v>10613083</v>
      </c>
      <c r="N8" s="573">
        <f>'画堂春锦苑住宅4#6#'!K168</f>
        <v>1663.21</v>
      </c>
      <c r="O8" s="649">
        <f>'画堂春锦苑住宅4#6#'!AH168</f>
        <v>2810708</v>
      </c>
      <c r="P8" s="650"/>
      <c r="Q8" s="573"/>
      <c r="R8" s="714">
        <f>O8+Q8</f>
        <v>2810708</v>
      </c>
      <c r="S8" s="573"/>
      <c r="T8" s="715">
        <f t="shared" si="1"/>
        <v>126</v>
      </c>
      <c r="U8" s="716">
        <f>K8-N8</f>
        <v>16187.14</v>
      </c>
      <c r="V8" s="717"/>
      <c r="W8" s="719"/>
    </row>
    <row r="9" s="546" customFormat="1" ht="34" customHeight="1" spans="1:23">
      <c r="A9" s="574">
        <v>6</v>
      </c>
      <c r="B9" s="569" t="s">
        <v>58</v>
      </c>
      <c r="C9" s="570">
        <f>'画堂春锦苑商业16#19#'!A63</f>
        <v>58</v>
      </c>
      <c r="D9" s="570">
        <f t="shared" si="0"/>
        <v>58</v>
      </c>
      <c r="E9" s="571">
        <f>'画堂春锦苑商业16#19#'!B64</f>
        <v>4</v>
      </c>
      <c r="F9" s="572"/>
      <c r="G9" s="573">
        <f>'画堂春锦苑商业16#19#'!R64</f>
        <v>5075653</v>
      </c>
      <c r="H9" s="573"/>
      <c r="I9" s="573"/>
      <c r="J9" s="573">
        <f>'画堂春锦苑商业16#19#'!J64</f>
        <v>5820.18999999999</v>
      </c>
      <c r="K9" s="573">
        <f>J9-92.29-1005.66</f>
        <v>4722.23999999999</v>
      </c>
      <c r="L9" s="651"/>
      <c r="M9" s="573">
        <f>'画堂春锦苑商业16#19#'!M64</f>
        <v>31523674</v>
      </c>
      <c r="N9" s="573"/>
      <c r="O9" s="649">
        <f>'画堂春锦苑商业16#19#'!AH64</f>
        <v>9187653</v>
      </c>
      <c r="P9" s="650"/>
      <c r="Q9" s="573"/>
      <c r="R9" s="714"/>
      <c r="S9" s="573"/>
      <c r="T9" s="715">
        <f t="shared" si="1"/>
        <v>58</v>
      </c>
      <c r="U9" s="716"/>
      <c r="V9" s="717"/>
      <c r="W9" s="719"/>
    </row>
    <row r="10" s="546" customFormat="1" ht="34" customHeight="1" spans="1:23">
      <c r="A10" s="577"/>
      <c r="B10" s="578"/>
      <c r="C10" s="579"/>
      <c r="D10" s="579"/>
      <c r="E10" s="580"/>
      <c r="F10" s="581"/>
      <c r="G10" s="582"/>
      <c r="H10" s="582"/>
      <c r="I10" s="582"/>
      <c r="J10" s="582"/>
      <c r="K10" s="582"/>
      <c r="L10" s="652"/>
      <c r="M10" s="582"/>
      <c r="N10" s="582"/>
      <c r="O10" s="653"/>
      <c r="P10" s="654"/>
      <c r="Q10" s="582"/>
      <c r="R10" s="720"/>
      <c r="S10" s="582"/>
      <c r="T10" s="721"/>
      <c r="U10" s="722"/>
      <c r="V10" s="723"/>
      <c r="W10" s="724"/>
    </row>
    <row r="11" s="546" customFormat="1" ht="41" customHeight="1" spans="1:23">
      <c r="A11" s="583" t="s">
        <v>59</v>
      </c>
      <c r="B11" s="584"/>
      <c r="C11" s="584">
        <f>SUM(C4:C9)</f>
        <v>1001</v>
      </c>
      <c r="D11" s="584">
        <f>SUM(D4:D9)</f>
        <v>1001</v>
      </c>
      <c r="E11" s="585">
        <f>SUM(E4:E9)</f>
        <v>23</v>
      </c>
      <c r="F11" s="586">
        <f>SUM(F4:F9)</f>
        <v>0</v>
      </c>
      <c r="G11" s="587">
        <f>SUM(G4:G9)</f>
        <v>26954790</v>
      </c>
      <c r="H11" s="587"/>
      <c r="I11" s="587"/>
      <c r="J11" s="655">
        <f>SUM(J4:J9)</f>
        <v>129147.01</v>
      </c>
      <c r="K11" s="655">
        <f>SUM(K4:K9)</f>
        <v>118859.6</v>
      </c>
      <c r="L11" s="656">
        <f t="shared" ref="L11:S11" si="2">SUM(L4:L9)</f>
        <v>669</v>
      </c>
      <c r="M11" s="655">
        <f t="shared" si="2"/>
        <v>606932697</v>
      </c>
      <c r="N11" s="655">
        <f t="shared" si="2"/>
        <v>82243.31</v>
      </c>
      <c r="O11" s="657">
        <f t="shared" si="2"/>
        <v>534379053</v>
      </c>
      <c r="P11" s="655">
        <f t="shared" si="2"/>
        <v>0</v>
      </c>
      <c r="Q11" s="655">
        <f t="shared" si="2"/>
        <v>0</v>
      </c>
      <c r="R11" s="725">
        <f t="shared" si="2"/>
        <v>525191400</v>
      </c>
      <c r="S11" s="655">
        <f t="shared" si="2"/>
        <v>42415248</v>
      </c>
      <c r="T11" s="656">
        <f>SUM(T5:T9)</f>
        <v>316</v>
      </c>
      <c r="U11" s="726">
        <f>SUM(U4:U9)</f>
        <v>31894.0499999999</v>
      </c>
      <c r="V11" s="727">
        <f>SUM(V4:V9)</f>
        <v>0</v>
      </c>
      <c r="W11" s="728"/>
    </row>
    <row r="12" s="547" customFormat="1" ht="27.75" customHeight="1" spans="1:23">
      <c r="A12" s="588"/>
      <c r="B12" s="589"/>
      <c r="C12" s="590"/>
      <c r="D12" s="591"/>
      <c r="E12" s="591"/>
      <c r="F12" s="592" t="s">
        <v>60</v>
      </c>
      <c r="G12" s="593">
        <f>165000+28880</f>
        <v>193880</v>
      </c>
      <c r="H12" s="594"/>
      <c r="I12" s="594"/>
      <c r="J12" s="658"/>
      <c r="K12" s="659"/>
      <c r="L12" s="660"/>
      <c r="M12" s="659"/>
      <c r="N12" s="659" t="s">
        <v>61</v>
      </c>
      <c r="O12" s="661">
        <f>534167417+213551</f>
        <v>534380968</v>
      </c>
      <c r="Q12" s="729"/>
      <c r="R12" s="730" t="s">
        <v>62</v>
      </c>
      <c r="S12" s="664"/>
      <c r="T12" s="660"/>
      <c r="U12" s="731"/>
      <c r="V12" s="732"/>
      <c r="W12" s="591"/>
    </row>
    <row r="13" s="547" customFormat="1" ht="34" customHeight="1" spans="1:23">
      <c r="A13" s="588"/>
      <c r="B13" s="589"/>
      <c r="C13" s="590"/>
      <c r="D13" s="591"/>
      <c r="E13" s="591"/>
      <c r="F13" s="592" t="s">
        <v>63</v>
      </c>
      <c r="G13" s="595">
        <f>4000000+5000+1</f>
        <v>4005001</v>
      </c>
      <c r="H13" s="596"/>
      <c r="I13" s="596"/>
      <c r="J13" s="658"/>
      <c r="K13" s="659"/>
      <c r="L13" s="660"/>
      <c r="M13" s="659"/>
      <c r="N13" s="659" t="s">
        <v>64</v>
      </c>
      <c r="O13" s="661">
        <f>207552911+1624480+451489+12000</f>
        <v>209640880</v>
      </c>
      <c r="P13" s="662">
        <f>278868823+16205837+10864302+2110283+1889015+2370546+12568286</f>
        <v>324877092</v>
      </c>
      <c r="Q13" s="662"/>
      <c r="R13" s="547"/>
      <c r="S13" s="664"/>
      <c r="T13" s="660"/>
      <c r="U13" s="731"/>
      <c r="V13" s="732"/>
      <c r="W13" s="591"/>
    </row>
    <row r="14" s="547" customFormat="1" ht="34" customHeight="1" spans="1:23">
      <c r="A14" s="588"/>
      <c r="B14" s="589"/>
      <c r="C14" s="590"/>
      <c r="D14" s="597"/>
      <c r="E14" s="591"/>
      <c r="F14" s="598" t="s">
        <v>65</v>
      </c>
      <c r="G14" s="595">
        <f>G11-G12+G13</f>
        <v>30765911</v>
      </c>
      <c r="I14" s="594"/>
      <c r="J14" s="658"/>
      <c r="K14" s="659"/>
      <c r="L14" s="659"/>
      <c r="M14" s="659"/>
      <c r="N14" s="659" t="s">
        <v>66</v>
      </c>
      <c r="O14" s="661"/>
      <c r="P14" s="547" t="s">
        <v>67</v>
      </c>
      <c r="Q14" s="658"/>
      <c r="R14" s="733"/>
      <c r="S14" s="658"/>
      <c r="T14" s="659"/>
      <c r="U14" s="659"/>
      <c r="V14" s="732"/>
      <c r="W14" s="591"/>
    </row>
    <row r="15" s="547" customFormat="1" ht="34" customHeight="1" spans="1:23">
      <c r="A15" s="588"/>
      <c r="B15" s="589"/>
      <c r="C15" s="590"/>
      <c r="D15" s="597"/>
      <c r="E15" s="591"/>
      <c r="F15" s="598" t="s">
        <v>68</v>
      </c>
      <c r="G15" s="595">
        <f>-2916-24569</f>
        <v>-27485</v>
      </c>
      <c r="H15" s="599" t="s">
        <v>69</v>
      </c>
      <c r="I15" s="599"/>
      <c r="J15" s="658"/>
      <c r="K15" s="659"/>
      <c r="L15" s="659"/>
      <c r="M15" s="659"/>
      <c r="N15" s="659" t="s">
        <v>70</v>
      </c>
      <c r="O15" s="661">
        <v>162489</v>
      </c>
      <c r="P15" s="547" t="s">
        <v>67</v>
      </c>
      <c r="Q15" s="658"/>
      <c r="R15" s="733"/>
      <c r="S15" s="664"/>
      <c r="T15" s="659"/>
      <c r="U15" s="659"/>
      <c r="V15" s="732"/>
      <c r="W15" s="591"/>
    </row>
    <row r="16" s="547" customFormat="1" ht="56" customHeight="1" spans="1:23">
      <c r="A16" s="588"/>
      <c r="B16" s="589"/>
      <c r="C16" s="600"/>
      <c r="D16" s="591"/>
      <c r="E16" s="591"/>
      <c r="F16" s="601" t="s">
        <v>71</v>
      </c>
      <c r="G16" s="595">
        <f>20000+30000</f>
        <v>50000</v>
      </c>
      <c r="H16" s="602" t="s">
        <v>72</v>
      </c>
      <c r="I16" s="602"/>
      <c r="J16" s="658"/>
      <c r="K16" s="659"/>
      <c r="L16" s="659"/>
      <c r="M16" s="659"/>
      <c r="N16" s="659" t="s">
        <v>73</v>
      </c>
      <c r="O16" s="661">
        <f>O11-O12-G15</f>
        <v>25570</v>
      </c>
      <c r="P16" s="663" t="s">
        <v>74</v>
      </c>
      <c r="Q16" s="734"/>
      <c r="R16" s="658"/>
      <c r="S16" s="664"/>
      <c r="T16" s="659"/>
      <c r="U16" s="659"/>
      <c r="V16" s="732"/>
      <c r="W16" s="591"/>
    </row>
    <row r="17" s="547" customFormat="1" ht="34" customHeight="1" spans="1:23">
      <c r="A17" s="588"/>
      <c r="B17" s="589"/>
      <c r="C17" s="600"/>
      <c r="D17" s="591"/>
      <c r="E17" s="591"/>
      <c r="F17" s="601"/>
      <c r="G17" s="595">
        <v>20000</v>
      </c>
      <c r="H17" s="603" t="s">
        <v>75</v>
      </c>
      <c r="I17" s="603"/>
      <c r="J17" s="603"/>
      <c r="K17" s="659"/>
      <c r="L17" s="659"/>
      <c r="M17" s="659"/>
      <c r="N17" s="659" t="s">
        <v>76</v>
      </c>
      <c r="O17" s="661">
        <f>O11-O13-P13+O14+O15</f>
        <v>23570</v>
      </c>
      <c r="P17" s="663"/>
      <c r="Q17" s="658"/>
      <c r="R17" s="733"/>
      <c r="S17" s="664"/>
      <c r="T17" s="659"/>
      <c r="U17" s="659"/>
      <c r="V17" s="732"/>
      <c r="W17" s="591"/>
    </row>
    <row r="18" s="547" customFormat="1" ht="19" customHeight="1" spans="1:23">
      <c r="A18" s="604"/>
      <c r="B18" s="605"/>
      <c r="C18" s="606"/>
      <c r="D18" s="607"/>
      <c r="E18" s="607"/>
      <c r="F18" s="601"/>
      <c r="G18" s="595"/>
      <c r="H18" s="608"/>
      <c r="I18" s="608"/>
      <c r="J18" s="664"/>
      <c r="K18" s="662"/>
      <c r="L18" s="659"/>
      <c r="M18" s="659"/>
      <c r="N18" s="659"/>
      <c r="O18" s="665"/>
      <c r="Q18" s="658"/>
      <c r="R18" s="733"/>
      <c r="S18" s="664"/>
      <c r="T18" s="659"/>
      <c r="U18" s="659"/>
      <c r="V18" s="735"/>
      <c r="W18" s="607"/>
    </row>
    <row r="19" s="547" customFormat="1" ht="16" customHeight="1" spans="1:23">
      <c r="A19" s="604"/>
      <c r="B19" s="605"/>
      <c r="C19" s="606"/>
      <c r="D19" s="607"/>
      <c r="E19" s="607"/>
      <c r="F19" s="609"/>
      <c r="G19" s="609">
        <v>20000</v>
      </c>
      <c r="H19" s="610" t="s">
        <v>77</v>
      </c>
      <c r="I19" s="594"/>
      <c r="J19" s="664"/>
      <c r="K19" s="662"/>
      <c r="L19" s="659"/>
      <c r="M19" s="659"/>
      <c r="N19" s="659"/>
      <c r="O19" s="665"/>
      <c r="Q19" s="658"/>
      <c r="R19" s="733"/>
      <c r="S19" s="664"/>
      <c r="T19" s="659"/>
      <c r="U19" s="659"/>
      <c r="V19" s="735"/>
      <c r="W19" s="607"/>
    </row>
    <row r="20" s="547" customFormat="1" ht="23" customHeight="1" spans="1:23">
      <c r="A20" s="604"/>
      <c r="B20" s="605"/>
      <c r="C20" s="606"/>
      <c r="D20" s="607"/>
      <c r="E20" s="607"/>
      <c r="F20" s="598"/>
      <c r="G20" s="547">
        <v>20000</v>
      </c>
      <c r="H20" s="611" t="s">
        <v>78</v>
      </c>
      <c r="I20" s="594"/>
      <c r="J20" s="664"/>
      <c r="K20" s="662"/>
      <c r="L20" s="659"/>
      <c r="M20" s="659"/>
      <c r="N20" s="659"/>
      <c r="O20" s="665"/>
      <c r="P20" s="547"/>
      <c r="Q20" s="658"/>
      <c r="R20" s="733"/>
      <c r="S20" s="664"/>
      <c r="T20" s="659"/>
      <c r="U20" s="659"/>
      <c r="V20" s="735"/>
      <c r="W20" s="607"/>
    </row>
    <row r="21" s="547" customFormat="1" ht="20" customHeight="1" spans="1:23">
      <c r="A21" s="604"/>
      <c r="B21" s="605"/>
      <c r="C21" s="606"/>
      <c r="D21" s="607"/>
      <c r="E21" s="607"/>
      <c r="F21" s="612"/>
      <c r="G21" s="595"/>
      <c r="H21" s="547"/>
      <c r="I21" s="666"/>
      <c r="J21" s="664"/>
      <c r="K21" s="662"/>
      <c r="L21" s="659"/>
      <c r="M21" s="659"/>
      <c r="N21" s="659"/>
      <c r="O21" s="665"/>
      <c r="Q21" s="658"/>
      <c r="R21" s="733"/>
      <c r="S21" s="664"/>
      <c r="T21" s="659"/>
      <c r="U21" s="659"/>
      <c r="V21" s="735"/>
      <c r="W21" s="607"/>
    </row>
    <row r="22" ht="20" customHeight="1" spans="1:24">
      <c r="A22" s="613"/>
      <c r="B22" s="614"/>
      <c r="C22" s="615"/>
      <c r="D22" s="613"/>
      <c r="E22" s="613"/>
      <c r="F22" s="613"/>
      <c r="G22" s="595">
        <f>G14-G16-G17-G18-G19-G20</f>
        <v>30655911</v>
      </c>
      <c r="H22" s="616"/>
      <c r="I22" s="616"/>
      <c r="J22" s="667"/>
      <c r="K22" s="613"/>
      <c r="L22" s="668"/>
      <c r="M22" s="669"/>
      <c r="N22" s="670"/>
      <c r="O22" s="671"/>
      <c r="Q22" s="736"/>
      <c r="R22" s="668"/>
      <c r="S22" s="737"/>
      <c r="T22" s="738"/>
      <c r="U22" s="670"/>
      <c r="V22" s="613"/>
      <c r="W22" s="739"/>
      <c r="X22" s="740"/>
    </row>
    <row r="23" ht="29" customHeight="1" spans="2:24">
      <c r="B23" s="617" t="s">
        <v>79</v>
      </c>
      <c r="C23" s="617"/>
      <c r="D23" s="617"/>
      <c r="E23" s="617"/>
      <c r="F23" s="617"/>
      <c r="G23" s="617"/>
      <c r="H23" s="617"/>
      <c r="I23" s="617"/>
      <c r="J23" s="617"/>
      <c r="K23" s="617"/>
      <c r="L23" s="672"/>
      <c r="M23" s="672"/>
      <c r="N23" s="673"/>
      <c r="O23" s="674"/>
      <c r="P23" s="635"/>
      <c r="Q23" s="741"/>
      <c r="S23" s="737"/>
      <c r="T23" s="738"/>
      <c r="U23" s="742"/>
      <c r="V23" s="743"/>
      <c r="W23" s="744"/>
      <c r="X23" s="745"/>
    </row>
    <row r="24" ht="29" customHeight="1" spans="2:41">
      <c r="B24" s="618" t="s">
        <v>80</v>
      </c>
      <c r="C24" s="618"/>
      <c r="D24" s="619" t="s">
        <v>81</v>
      </c>
      <c r="E24" s="619"/>
      <c r="F24" s="618" t="s">
        <v>82</v>
      </c>
      <c r="G24" s="618"/>
      <c r="H24" s="619" t="s">
        <v>83</v>
      </c>
      <c r="I24" s="619"/>
      <c r="J24" s="675" t="s">
        <v>84</v>
      </c>
      <c r="K24" s="676"/>
      <c r="L24" s="618" t="s">
        <v>9</v>
      </c>
      <c r="M24" s="677" t="s">
        <v>57</v>
      </c>
      <c r="N24" s="678"/>
      <c r="O24" s="679" t="s">
        <v>85</v>
      </c>
      <c r="P24" s="679"/>
      <c r="Q24" s="630"/>
      <c r="R24" s="630"/>
      <c r="S24" s="746"/>
      <c r="T24" s="738"/>
      <c r="U24" s="742"/>
      <c r="V24" s="743"/>
      <c r="W24" s="744"/>
      <c r="X24" s="747"/>
      <c r="Z24" s="782" t="s">
        <v>86</v>
      </c>
      <c r="AA24" s="782" t="s">
        <v>87</v>
      </c>
      <c r="AB24" s="783">
        <v>195000</v>
      </c>
      <c r="AC24" s="784">
        <v>0.0003</v>
      </c>
      <c r="AD24" s="769">
        <f>AB24*AC24</f>
        <v>58.5</v>
      </c>
      <c r="AJ24" s="323" t="s">
        <v>88</v>
      </c>
      <c r="AK24" s="323">
        <v>20240005549</v>
      </c>
      <c r="AL24" s="323"/>
      <c r="AM24" s="338" t="s">
        <v>89</v>
      </c>
      <c r="AN24" s="337" t="s">
        <v>90</v>
      </c>
      <c r="AO24">
        <v>1427823</v>
      </c>
    </row>
    <row r="25" ht="29" customHeight="1" spans="2:41">
      <c r="B25" s="618" t="s">
        <v>91</v>
      </c>
      <c r="C25" s="618"/>
      <c r="D25" s="618">
        <f>D27+E27</f>
        <v>1974108</v>
      </c>
      <c r="E25" s="618"/>
      <c r="F25" s="618">
        <f>F27+G27</f>
        <v>7956921</v>
      </c>
      <c r="G25" s="618"/>
      <c r="H25" s="618">
        <f>H27+I27</f>
        <v>4042229</v>
      </c>
      <c r="I25" s="618"/>
      <c r="J25" s="675">
        <f>J27+K27</f>
        <v>5823000</v>
      </c>
      <c r="K25" s="676"/>
      <c r="L25" s="680">
        <f>L27</f>
        <v>28880</v>
      </c>
      <c r="M25" s="675">
        <f>M27+N27</f>
        <v>1944000</v>
      </c>
      <c r="N25" s="676"/>
      <c r="O25" s="630">
        <f>O27</f>
        <v>8915653</v>
      </c>
      <c r="P25" s="630"/>
      <c r="Q25" s="630"/>
      <c r="R25" s="630"/>
      <c r="S25" s="748">
        <f>D25+F25+H25+J25+M25+O25</f>
        <v>30655911</v>
      </c>
      <c r="T25" s="749"/>
      <c r="U25" s="742"/>
      <c r="V25" s="743"/>
      <c r="W25" s="744"/>
      <c r="X25" s="745"/>
      <c r="Z25" s="782" t="s">
        <v>92</v>
      </c>
      <c r="AA25" s="782" t="s">
        <v>93</v>
      </c>
      <c r="AB25" s="783">
        <v>14926.87</v>
      </c>
      <c r="AC25" s="784">
        <v>0.0003</v>
      </c>
      <c r="AD25" s="769">
        <f t="shared" ref="AD25:AD39" si="3">AB25*AC25</f>
        <v>4.478061</v>
      </c>
      <c r="AJ25" s="323" t="s">
        <v>88</v>
      </c>
      <c r="AK25" s="323">
        <v>20240005511</v>
      </c>
      <c r="AL25" s="833" t="s">
        <v>94</v>
      </c>
      <c r="AM25" s="338" t="s">
        <v>95</v>
      </c>
      <c r="AN25" s="323" t="s">
        <v>96</v>
      </c>
      <c r="AO25">
        <v>2560000</v>
      </c>
    </row>
    <row r="26" ht="29" customHeight="1" spans="2:41">
      <c r="B26" s="618"/>
      <c r="C26" s="618"/>
      <c r="D26" s="618" t="s">
        <v>97</v>
      </c>
      <c r="E26" s="618" t="s">
        <v>98</v>
      </c>
      <c r="F26" s="618" t="s">
        <v>97</v>
      </c>
      <c r="G26" s="618" t="s">
        <v>98</v>
      </c>
      <c r="H26" s="618" t="s">
        <v>99</v>
      </c>
      <c r="I26" s="618"/>
      <c r="J26" s="630" t="s">
        <v>100</v>
      </c>
      <c r="K26" s="630" t="s">
        <v>101</v>
      </c>
      <c r="L26" s="618" t="s">
        <v>9</v>
      </c>
      <c r="M26" s="630" t="s">
        <v>100</v>
      </c>
      <c r="N26" s="630" t="s">
        <v>101</v>
      </c>
      <c r="O26" s="630" t="s">
        <v>99</v>
      </c>
      <c r="P26" s="630"/>
      <c r="Q26" s="630"/>
      <c r="R26" s="687"/>
      <c r="S26" s="748" t="s">
        <v>102</v>
      </c>
      <c r="T26" s="750"/>
      <c r="U26" s="742"/>
      <c r="V26" s="743"/>
      <c r="W26" s="744"/>
      <c r="X26" s="745"/>
      <c r="Z26" s="782" t="s">
        <v>103</v>
      </c>
      <c r="AA26" s="782" t="s">
        <v>104</v>
      </c>
      <c r="AB26" s="783">
        <v>31200</v>
      </c>
      <c r="AC26" s="784">
        <v>0.0003</v>
      </c>
      <c r="AD26" s="769">
        <f t="shared" si="3"/>
        <v>9.36</v>
      </c>
      <c r="AJ26" s="323" t="s">
        <v>105</v>
      </c>
      <c r="AK26" s="323">
        <v>20240006442</v>
      </c>
      <c r="AL26" s="833" t="s">
        <v>106</v>
      </c>
      <c r="AM26" s="833" t="s">
        <v>107</v>
      </c>
      <c r="AN26" s="323" t="s">
        <v>108</v>
      </c>
      <c r="AO26">
        <v>822336</v>
      </c>
    </row>
    <row r="27" ht="29" customHeight="1" spans="2:41">
      <c r="B27" s="618" t="s">
        <v>109</v>
      </c>
      <c r="C27" s="620" t="s">
        <v>110</v>
      </c>
      <c r="D27" s="621">
        <f>'画堂春锦9#10#11#12#住宅'!R334</f>
        <v>1974108</v>
      </c>
      <c r="E27" s="621">
        <f>'画堂春锦9#10#11#12#住宅'!R335</f>
        <v>0</v>
      </c>
      <c r="F27" s="621">
        <f>'画堂春锦苑1#2#3#5#7#楼住宅销售明细表'!R441-G18</f>
        <v>7279799</v>
      </c>
      <c r="G27" s="621">
        <f>'画堂春锦苑1#2#3#5#7#楼住宅销售明细表'!R442</f>
        <v>677122</v>
      </c>
      <c r="H27" s="621">
        <f>'画堂春锦13#14#15#17#18# 商铺'!T155-G16</f>
        <v>4042229</v>
      </c>
      <c r="I27" s="621"/>
      <c r="J27" s="620">
        <f>'画堂春锦苑8#楼明细表'!R94-G17-G20</f>
        <v>4308000</v>
      </c>
      <c r="K27" s="620">
        <f>'画堂春锦苑8#楼明细表'!R95</f>
        <v>1515000</v>
      </c>
      <c r="L27" s="620">
        <f>'画堂春锦9#10#11#12#住宅'!R337</f>
        <v>28880</v>
      </c>
      <c r="M27" s="620">
        <f>'画堂春锦苑住宅4#6#'!R170-G19</f>
        <v>849000</v>
      </c>
      <c r="N27" s="620">
        <f>'画堂春锦苑住宅4#6#'!R171</f>
        <v>1095000</v>
      </c>
      <c r="O27" s="620">
        <f>'画堂春锦苑商业16#19#'!R68</f>
        <v>8915653</v>
      </c>
      <c r="P27" s="681"/>
      <c r="Q27" s="620"/>
      <c r="R27" s="681"/>
      <c r="S27" s="688"/>
      <c r="T27" s="751"/>
      <c r="U27" s="752"/>
      <c r="V27" s="743"/>
      <c r="W27" s="744"/>
      <c r="X27" s="747"/>
      <c r="Z27" s="782" t="s">
        <v>111</v>
      </c>
      <c r="AA27" s="782" t="s">
        <v>112</v>
      </c>
      <c r="AB27" s="783">
        <v>9450</v>
      </c>
      <c r="AC27" s="784">
        <v>0.0003</v>
      </c>
      <c r="AD27" s="769">
        <f t="shared" si="3"/>
        <v>2.835</v>
      </c>
      <c r="AJ27" s="323" t="s">
        <v>113</v>
      </c>
      <c r="AK27" s="323">
        <v>20240006451</v>
      </c>
      <c r="AL27" s="833" t="s">
        <v>114</v>
      </c>
      <c r="AM27" s="833" t="s">
        <v>107</v>
      </c>
      <c r="AN27" s="323" t="s">
        <v>108</v>
      </c>
      <c r="AO27">
        <v>822336</v>
      </c>
    </row>
    <row r="28" ht="29" customHeight="1" spans="2:41">
      <c r="B28" s="618" t="s">
        <v>115</v>
      </c>
      <c r="C28" s="620">
        <v>0.03</v>
      </c>
      <c r="D28" s="620"/>
      <c r="E28" s="620"/>
      <c r="F28" s="620">
        <f>F25/1.09*C28</f>
        <v>218997.825688073</v>
      </c>
      <c r="G28" s="620"/>
      <c r="H28" s="620"/>
      <c r="I28" s="620"/>
      <c r="J28" s="620">
        <f>J25/1.09*C28</f>
        <v>160266.055045872</v>
      </c>
      <c r="K28" s="620"/>
      <c r="L28" s="620"/>
      <c r="M28" s="682">
        <f>M25/1.09*C28</f>
        <v>53504.5871559633</v>
      </c>
      <c r="N28" s="683"/>
      <c r="O28" s="684">
        <f>O27/1.09*C28</f>
        <v>245384.944954128</v>
      </c>
      <c r="P28" s="684"/>
      <c r="Q28" s="620"/>
      <c r="R28" s="687"/>
      <c r="S28" s="688">
        <f>D28+F28+H28+J28+M28+O28</f>
        <v>678153.412844037</v>
      </c>
      <c r="T28" s="751"/>
      <c r="U28" s="752"/>
      <c r="V28" s="743"/>
      <c r="W28" s="744"/>
      <c r="X28" s="745"/>
      <c r="Z28" s="782" t="s">
        <v>116</v>
      </c>
      <c r="AA28" s="782" t="s">
        <v>117</v>
      </c>
      <c r="AB28" s="783">
        <v>4641.44</v>
      </c>
      <c r="AC28" s="784">
        <v>0.0003</v>
      </c>
      <c r="AD28" s="769">
        <f t="shared" si="3"/>
        <v>1.392432</v>
      </c>
      <c r="AJ28" s="323" t="s">
        <v>118</v>
      </c>
      <c r="AK28" s="323">
        <v>20240006011</v>
      </c>
      <c r="AL28" s="833" t="s">
        <v>119</v>
      </c>
      <c r="AM28" s="338" t="s">
        <v>120</v>
      </c>
      <c r="AN28" s="323" t="s">
        <v>121</v>
      </c>
      <c r="AO28">
        <v>850000</v>
      </c>
    </row>
    <row r="29" ht="29" customHeight="1" spans="2:41">
      <c r="B29" s="618" t="s">
        <v>122</v>
      </c>
      <c r="C29" s="620">
        <v>0.07</v>
      </c>
      <c r="D29" s="620"/>
      <c r="E29" s="620"/>
      <c r="F29" s="620">
        <f>F28*C29</f>
        <v>15329.8477981651</v>
      </c>
      <c r="G29" s="620"/>
      <c r="H29" s="620">
        <f>H28*C29</f>
        <v>0</v>
      </c>
      <c r="I29" s="620"/>
      <c r="J29" s="682">
        <f>J28*C29</f>
        <v>11218.623853211</v>
      </c>
      <c r="K29" s="683"/>
      <c r="L29" s="685"/>
      <c r="M29" s="682">
        <f>M28*C29</f>
        <v>3745.32110091743</v>
      </c>
      <c r="N29" s="683"/>
      <c r="O29" s="684">
        <f>O28*C29</f>
        <v>17176.946146789</v>
      </c>
      <c r="P29" s="684"/>
      <c r="Q29" s="620"/>
      <c r="R29" s="687"/>
      <c r="S29" s="688">
        <f>D29+F29+H29+J29+M29+O29</f>
        <v>47470.7388990826</v>
      </c>
      <c r="T29" s="753"/>
      <c r="U29" s="754"/>
      <c r="V29" s="743"/>
      <c r="W29" s="753"/>
      <c r="X29" s="745"/>
      <c r="Z29" s="782" t="s">
        <v>123</v>
      </c>
      <c r="AA29" s="782" t="s">
        <v>124</v>
      </c>
      <c r="AB29" s="783">
        <v>117640</v>
      </c>
      <c r="AC29" s="784">
        <v>0.0003</v>
      </c>
      <c r="AD29" s="769">
        <f t="shared" si="3"/>
        <v>35.292</v>
      </c>
      <c r="AJ29" s="323" t="s">
        <v>125</v>
      </c>
      <c r="AK29" s="323">
        <v>20240005853</v>
      </c>
      <c r="AL29" s="833" t="s">
        <v>126</v>
      </c>
      <c r="AM29" s="338" t="s">
        <v>120</v>
      </c>
      <c r="AN29" s="323" t="s">
        <v>121</v>
      </c>
      <c r="AO29">
        <v>850000</v>
      </c>
    </row>
    <row r="30" ht="29" customHeight="1" spans="2:41">
      <c r="B30" s="618" t="s">
        <v>127</v>
      </c>
      <c r="C30" s="620">
        <v>0.03</v>
      </c>
      <c r="D30" s="620">
        <f>D28*C30</f>
        <v>0</v>
      </c>
      <c r="E30" s="620"/>
      <c r="F30" s="620">
        <f>F28*C30</f>
        <v>6569.9347706422</v>
      </c>
      <c r="G30" s="620"/>
      <c r="H30" s="620">
        <f>H28*C30</f>
        <v>0</v>
      </c>
      <c r="I30" s="620"/>
      <c r="J30" s="682">
        <f>J28*C30</f>
        <v>4807.98165137615</v>
      </c>
      <c r="K30" s="683"/>
      <c r="L30" s="685"/>
      <c r="M30" s="682">
        <f>M28*C30</f>
        <v>1605.1376146789</v>
      </c>
      <c r="N30" s="683"/>
      <c r="O30" s="684">
        <f>O28*C30</f>
        <v>7361.54834862385</v>
      </c>
      <c r="P30" s="684"/>
      <c r="Q30" s="620"/>
      <c r="R30" s="687"/>
      <c r="S30" s="688">
        <f>D30+F30+H30+J30+M30+O30</f>
        <v>20344.6023853211</v>
      </c>
      <c r="T30" s="755"/>
      <c r="U30" s="755"/>
      <c r="V30" s="755"/>
      <c r="W30" s="755"/>
      <c r="X30" s="1"/>
      <c r="Z30" s="782" t="s">
        <v>128</v>
      </c>
      <c r="AA30" s="782" t="s">
        <v>129</v>
      </c>
      <c r="AB30" s="783">
        <v>26930</v>
      </c>
      <c r="AC30" s="784">
        <v>0.0003</v>
      </c>
      <c r="AD30" s="769">
        <f t="shared" si="3"/>
        <v>8.079</v>
      </c>
      <c r="AJ30" s="323" t="s">
        <v>88</v>
      </c>
      <c r="AK30" s="323">
        <v>20240005488</v>
      </c>
      <c r="AL30" s="323" t="s">
        <v>130</v>
      </c>
      <c r="AM30" s="338" t="s">
        <v>131</v>
      </c>
      <c r="AN30" s="323" t="s">
        <v>132</v>
      </c>
      <c r="AO30">
        <v>2964114</v>
      </c>
    </row>
    <row r="31" ht="29" customHeight="1" spans="2:41">
      <c r="B31" s="618" t="s">
        <v>133</v>
      </c>
      <c r="C31" s="620">
        <v>0.02</v>
      </c>
      <c r="D31" s="620">
        <f>D28*C31</f>
        <v>0</v>
      </c>
      <c r="E31" s="620"/>
      <c r="F31" s="620">
        <f>F28*C31</f>
        <v>4379.95651376147</v>
      </c>
      <c r="G31" s="620"/>
      <c r="H31" s="620">
        <f>H28*C31</f>
        <v>0</v>
      </c>
      <c r="I31" s="620"/>
      <c r="J31" s="682">
        <f>J28*C31</f>
        <v>3205.32110091743</v>
      </c>
      <c r="K31" s="683"/>
      <c r="L31" s="685"/>
      <c r="M31" s="682">
        <f>M28*C31</f>
        <v>1070.09174311927</v>
      </c>
      <c r="N31" s="683"/>
      <c r="O31" s="684">
        <f>O28*C31</f>
        <v>4907.69889908257</v>
      </c>
      <c r="P31" s="684"/>
      <c r="Q31" s="620"/>
      <c r="R31" s="687"/>
      <c r="S31" s="688">
        <f t="shared" ref="S31:S38" si="4">D31+F31+H31+J31+M31+O31</f>
        <v>13563.0682568807</v>
      </c>
      <c r="T31" s="756"/>
      <c r="U31" s="757"/>
      <c r="V31" s="758"/>
      <c r="W31" s="1"/>
      <c r="X31" s="759"/>
      <c r="Z31" s="782" t="s">
        <v>134</v>
      </c>
      <c r="AA31" s="782" t="s">
        <v>135</v>
      </c>
      <c r="AB31" s="783">
        <v>25956</v>
      </c>
      <c r="AC31" s="784">
        <v>0.0003</v>
      </c>
      <c r="AD31" s="769">
        <f t="shared" si="3"/>
        <v>7.7868</v>
      </c>
      <c r="AJ31" s="323" t="s">
        <v>88</v>
      </c>
      <c r="AK31" s="323">
        <v>20240005606</v>
      </c>
      <c r="AL31" s="833" t="s">
        <v>136</v>
      </c>
      <c r="AM31" s="338" t="s">
        <v>137</v>
      </c>
      <c r="AN31" s="337" t="s">
        <v>138</v>
      </c>
      <c r="AO31">
        <v>1178483</v>
      </c>
    </row>
    <row r="32" ht="29" customHeight="1" spans="2:41">
      <c r="B32" s="618" t="s">
        <v>139</v>
      </c>
      <c r="C32" s="620">
        <v>0.03</v>
      </c>
      <c r="D32" s="620"/>
      <c r="E32" s="620"/>
      <c r="F32" s="620">
        <f>G27/1.09*C32</f>
        <v>18636.3853211009</v>
      </c>
      <c r="G32" s="620"/>
      <c r="H32" s="620">
        <f>H25/1.09*C32</f>
        <v>111254.009174312</v>
      </c>
      <c r="I32" s="620"/>
      <c r="J32" s="682">
        <f>K27/1.09*C32</f>
        <v>41697.247706422</v>
      </c>
      <c r="K32" s="683"/>
      <c r="L32" s="620"/>
      <c r="M32" s="682">
        <f>N27/1.09*C32</f>
        <v>30137.6146788991</v>
      </c>
      <c r="N32" s="683"/>
      <c r="O32" s="684">
        <f>O27/1.09*C32</f>
        <v>245384.944954128</v>
      </c>
      <c r="P32" s="684"/>
      <c r="Q32" s="620"/>
      <c r="R32" s="687"/>
      <c r="S32" s="688">
        <f t="shared" si="4"/>
        <v>447110.201834862</v>
      </c>
      <c r="T32" s="756"/>
      <c r="U32" s="757"/>
      <c r="V32" s="758"/>
      <c r="W32" s="1"/>
      <c r="X32" s="694"/>
      <c r="Z32" s="782" t="s">
        <v>140</v>
      </c>
      <c r="AA32" s="782" t="s">
        <v>141</v>
      </c>
      <c r="AB32" s="783">
        <v>120000</v>
      </c>
      <c r="AC32" s="784">
        <v>0.0003</v>
      </c>
      <c r="AD32" s="769">
        <f t="shared" si="3"/>
        <v>36</v>
      </c>
      <c r="AJ32" s="323" t="s">
        <v>142</v>
      </c>
      <c r="AK32" s="323">
        <v>20240006221</v>
      </c>
      <c r="AL32" s="323"/>
      <c r="AM32" s="338" t="s">
        <v>143</v>
      </c>
      <c r="AN32" s="337" t="s">
        <v>144</v>
      </c>
      <c r="AO32">
        <v>1089787</v>
      </c>
    </row>
    <row r="33" ht="29" customHeight="1" spans="2:41">
      <c r="B33" s="618" t="s">
        <v>139</v>
      </c>
      <c r="C33" s="620">
        <v>0.01</v>
      </c>
      <c r="D33" s="620">
        <f>D27/1.09*C33</f>
        <v>18111.0825688073</v>
      </c>
      <c r="E33" s="620"/>
      <c r="F33" s="620">
        <f>F27/1.09*C33</f>
        <v>66787.1467889908</v>
      </c>
      <c r="G33" s="620"/>
      <c r="H33" s="620"/>
      <c r="I33" s="620"/>
      <c r="J33" s="682">
        <f>J27/1.09*C33</f>
        <v>39522.9357798165</v>
      </c>
      <c r="K33" s="683"/>
      <c r="L33" s="686"/>
      <c r="M33" s="682">
        <f>M27/1.09*0.01</f>
        <v>7788.99082568807</v>
      </c>
      <c r="N33" s="683"/>
      <c r="O33" s="684"/>
      <c r="P33" s="684"/>
      <c r="Q33" s="620"/>
      <c r="R33" s="687"/>
      <c r="S33" s="688">
        <f t="shared" si="4"/>
        <v>132210.155963303</v>
      </c>
      <c r="T33" s="756"/>
      <c r="U33" s="760"/>
      <c r="V33" s="758"/>
      <c r="W33" s="1"/>
      <c r="X33" s="756"/>
      <c r="Z33" s="782" t="s">
        <v>145</v>
      </c>
      <c r="AA33" s="782" t="s">
        <v>146</v>
      </c>
      <c r="AB33" s="783">
        <v>82875</v>
      </c>
      <c r="AC33" s="784">
        <v>0.0003</v>
      </c>
      <c r="AD33" s="769">
        <f t="shared" si="3"/>
        <v>24.8625</v>
      </c>
      <c r="AJ33" s="323" t="s">
        <v>88</v>
      </c>
      <c r="AK33" s="323">
        <v>20240005533</v>
      </c>
      <c r="AL33" s="323"/>
      <c r="AM33" s="338" t="s">
        <v>147</v>
      </c>
      <c r="AN33" s="323" t="s">
        <v>148</v>
      </c>
      <c r="AO33">
        <v>682460</v>
      </c>
    </row>
    <row r="34" ht="29" customHeight="1" spans="2:41">
      <c r="B34" s="618" t="s">
        <v>149</v>
      </c>
      <c r="C34" s="622">
        <v>0.0005</v>
      </c>
      <c r="D34" s="620">
        <f>AO122*C34</f>
        <v>41724.34</v>
      </c>
      <c r="E34" s="620"/>
      <c r="F34" s="620">
        <f>AD40</f>
        <v>251.934681</v>
      </c>
      <c r="G34" s="620"/>
      <c r="H34" s="620"/>
      <c r="I34" s="620"/>
      <c r="J34" s="682"/>
      <c r="K34" s="683"/>
      <c r="L34" s="686"/>
      <c r="M34" s="620"/>
      <c r="N34" s="620"/>
      <c r="O34" s="620"/>
      <c r="P34" s="687"/>
      <c r="Q34" s="620"/>
      <c r="R34" s="687"/>
      <c r="S34" s="688">
        <f t="shared" si="4"/>
        <v>41976.274681</v>
      </c>
      <c r="T34" s="756"/>
      <c r="U34" s="694"/>
      <c r="V34" s="694"/>
      <c r="W34" s="1"/>
      <c r="X34" s="756"/>
      <c r="Z34" s="782" t="s">
        <v>150</v>
      </c>
      <c r="AA34" s="782" t="s">
        <v>112</v>
      </c>
      <c r="AB34" s="783">
        <v>34762.96</v>
      </c>
      <c r="AC34" s="784">
        <v>0.0003</v>
      </c>
      <c r="AD34" s="769">
        <f t="shared" si="3"/>
        <v>10.428888</v>
      </c>
      <c r="AJ34" s="323" t="s">
        <v>151</v>
      </c>
      <c r="AK34" s="323">
        <v>20240005663</v>
      </c>
      <c r="AL34" s="833" t="s">
        <v>152</v>
      </c>
      <c r="AM34" s="338" t="s">
        <v>153</v>
      </c>
      <c r="AN34" s="323" t="s">
        <v>154</v>
      </c>
      <c r="AO34">
        <v>910000</v>
      </c>
    </row>
    <row r="35" ht="29" customHeight="1" spans="2:41">
      <c r="B35" s="618" t="s">
        <v>155</v>
      </c>
      <c r="C35" s="623"/>
      <c r="D35" s="624">
        <v>9909.72</v>
      </c>
      <c r="E35" s="625"/>
      <c r="F35" s="623"/>
      <c r="G35" s="623"/>
      <c r="H35" s="623"/>
      <c r="I35" s="623"/>
      <c r="J35" s="623"/>
      <c r="K35" s="623"/>
      <c r="L35" s="623"/>
      <c r="M35" s="623"/>
      <c r="N35" s="623"/>
      <c r="O35" s="623"/>
      <c r="P35" s="623"/>
      <c r="Q35" s="623"/>
      <c r="R35" s="623"/>
      <c r="S35" s="623">
        <f>D35</f>
        <v>9909.72</v>
      </c>
      <c r="T35" s="756"/>
      <c r="U35" s="694"/>
      <c r="V35" s="694"/>
      <c r="W35" s="1"/>
      <c r="X35" s="756"/>
      <c r="Z35" s="782" t="s">
        <v>156</v>
      </c>
      <c r="AA35" s="782" t="s">
        <v>146</v>
      </c>
      <c r="AB35" s="783">
        <v>40000</v>
      </c>
      <c r="AC35" s="784">
        <v>0.0003</v>
      </c>
      <c r="AD35" s="769">
        <f t="shared" si="3"/>
        <v>12</v>
      </c>
      <c r="AJ35" s="323" t="s">
        <v>151</v>
      </c>
      <c r="AK35" s="323">
        <v>20240005641</v>
      </c>
      <c r="AL35" s="833" t="s">
        <v>157</v>
      </c>
      <c r="AM35" s="338" t="s">
        <v>158</v>
      </c>
      <c r="AN35" s="337" t="s">
        <v>159</v>
      </c>
      <c r="AO35">
        <v>1548800</v>
      </c>
    </row>
    <row r="36" s="546" customFormat="1" ht="29" customHeight="1" spans="2:41">
      <c r="B36" s="626" t="s">
        <v>160</v>
      </c>
      <c r="C36" s="627" t="s">
        <v>161</v>
      </c>
      <c r="D36" s="628">
        <f>AH51</f>
        <v>6922.95782824485</v>
      </c>
      <c r="E36" s="628"/>
      <c r="F36" s="628"/>
      <c r="G36" s="628"/>
      <c r="H36" s="628"/>
      <c r="I36" s="628"/>
      <c r="J36" s="628"/>
      <c r="K36" s="628"/>
      <c r="L36" s="628"/>
      <c r="M36" s="628"/>
      <c r="N36" s="628"/>
      <c r="O36" s="688"/>
      <c r="P36" s="687"/>
      <c r="Q36" s="761"/>
      <c r="R36" s="762"/>
      <c r="S36" s="688">
        <f t="shared" si="4"/>
        <v>6922.95782824485</v>
      </c>
      <c r="T36" s="763"/>
      <c r="U36" s="764"/>
      <c r="V36" s="764"/>
      <c r="W36" s="764"/>
      <c r="X36" s="763"/>
      <c r="Z36" s="782" t="s">
        <v>162</v>
      </c>
      <c r="AA36" s="782" t="s">
        <v>124</v>
      </c>
      <c r="AB36" s="783">
        <v>10400</v>
      </c>
      <c r="AC36" s="784">
        <v>0.0003</v>
      </c>
      <c r="AD36" s="769">
        <f t="shared" si="3"/>
        <v>3.12</v>
      </c>
      <c r="AJ36" s="323" t="s">
        <v>163</v>
      </c>
      <c r="AK36" s="323">
        <v>20240005749</v>
      </c>
      <c r="AL36" s="833" t="s">
        <v>164</v>
      </c>
      <c r="AM36" s="338" t="s">
        <v>165</v>
      </c>
      <c r="AN36" s="323" t="s">
        <v>166</v>
      </c>
      <c r="AO36" s="546">
        <v>403970</v>
      </c>
    </row>
    <row r="37" s="546" customFormat="1" ht="29" customHeight="1" spans="2:41">
      <c r="B37" s="626"/>
      <c r="C37" s="627" t="s">
        <v>167</v>
      </c>
      <c r="D37" s="628"/>
      <c r="E37" s="628"/>
      <c r="F37" s="628"/>
      <c r="G37" s="628"/>
      <c r="H37" s="628"/>
      <c r="I37" s="628"/>
      <c r="J37" s="628"/>
      <c r="K37" s="628"/>
      <c r="L37" s="628"/>
      <c r="M37" s="628"/>
      <c r="N37" s="628"/>
      <c r="O37" s="688"/>
      <c r="P37" s="687"/>
      <c r="Q37" s="761"/>
      <c r="R37" s="762"/>
      <c r="S37" s="688">
        <f t="shared" si="4"/>
        <v>0</v>
      </c>
      <c r="T37" s="763"/>
      <c r="U37" s="764"/>
      <c r="V37" s="764"/>
      <c r="W37" s="764"/>
      <c r="X37" s="763"/>
      <c r="Z37" s="782" t="s">
        <v>168</v>
      </c>
      <c r="AA37" s="782" t="s">
        <v>124</v>
      </c>
      <c r="AB37" s="783">
        <v>72000</v>
      </c>
      <c r="AC37" s="784">
        <v>0.0003</v>
      </c>
      <c r="AD37" s="769">
        <f t="shared" si="3"/>
        <v>21.6</v>
      </c>
      <c r="AJ37" s="323" t="s">
        <v>125</v>
      </c>
      <c r="AK37" s="323">
        <v>20240005929</v>
      </c>
      <c r="AL37" s="323"/>
      <c r="AM37" s="338" t="s">
        <v>169</v>
      </c>
      <c r="AN37" s="323" t="s">
        <v>170</v>
      </c>
      <c r="AO37" s="546">
        <v>430000</v>
      </c>
    </row>
    <row r="38" ht="29" customHeight="1" spans="2:41">
      <c r="B38" s="618" t="s">
        <v>54</v>
      </c>
      <c r="C38" s="622"/>
      <c r="D38" s="620">
        <f>AI6</f>
        <v>8415.4</v>
      </c>
      <c r="E38" s="620"/>
      <c r="F38" s="620"/>
      <c r="G38" s="620"/>
      <c r="H38" s="620"/>
      <c r="I38" s="620"/>
      <c r="J38" s="620"/>
      <c r="K38" s="620"/>
      <c r="L38" s="686"/>
      <c r="M38" s="620"/>
      <c r="N38" s="687"/>
      <c r="O38" s="688"/>
      <c r="P38" s="681"/>
      <c r="Q38" s="765"/>
      <c r="R38" s="762"/>
      <c r="S38" s="688">
        <f t="shared" si="4"/>
        <v>8415.4</v>
      </c>
      <c r="T38" s="756"/>
      <c r="U38" s="694"/>
      <c r="V38" s="694"/>
      <c r="W38" s="1"/>
      <c r="X38" s="756"/>
      <c r="Z38" s="782" t="s">
        <v>171</v>
      </c>
      <c r="AA38" s="782" t="s">
        <v>172</v>
      </c>
      <c r="AB38" s="783">
        <v>22000</v>
      </c>
      <c r="AC38" s="784">
        <v>0.0003</v>
      </c>
      <c r="AD38" s="769">
        <f t="shared" si="3"/>
        <v>6.6</v>
      </c>
      <c r="AJ38" s="323" t="s">
        <v>173</v>
      </c>
      <c r="AK38" s="323">
        <v>20240006684</v>
      </c>
      <c r="AL38" s="323"/>
      <c r="AM38" s="338" t="s">
        <v>174</v>
      </c>
      <c r="AN38" s="323" t="s">
        <v>175</v>
      </c>
      <c r="AO38">
        <v>444367</v>
      </c>
    </row>
    <row r="39" ht="36" customHeight="1" spans="2:41">
      <c r="B39" s="629" t="s">
        <v>10</v>
      </c>
      <c r="C39" s="629"/>
      <c r="D39" s="618">
        <f>SUM(D28:E38)</f>
        <v>85083.5003970521</v>
      </c>
      <c r="E39" s="618"/>
      <c r="F39" s="618">
        <f>SUM(F28:G38)</f>
        <v>330953.031561734</v>
      </c>
      <c r="G39" s="618"/>
      <c r="H39" s="618">
        <f>SUM(H28:I34)</f>
        <v>111254.009174312</v>
      </c>
      <c r="I39" s="618"/>
      <c r="J39" s="618">
        <f>SUM(J28:K33)</f>
        <v>260718.165137615</v>
      </c>
      <c r="K39" s="618"/>
      <c r="L39" s="630">
        <f>SUM(L28:L34)</f>
        <v>0</v>
      </c>
      <c r="M39" s="675">
        <f>SUM(M28:N33)</f>
        <v>97851.7431192661</v>
      </c>
      <c r="N39" s="676"/>
      <c r="O39" s="689">
        <f>SUM(O28:O32)</f>
        <v>520216.083302751</v>
      </c>
      <c r="P39" s="681"/>
      <c r="Q39" s="765"/>
      <c r="R39" s="762"/>
      <c r="S39" s="689">
        <f>SUM(S28:S38)</f>
        <v>1406076.53269273</v>
      </c>
      <c r="T39" s="756"/>
      <c r="U39" s="766"/>
      <c r="V39" s="758"/>
      <c r="W39" s="1"/>
      <c r="X39" s="756"/>
      <c r="Z39" s="782" t="s">
        <v>176</v>
      </c>
      <c r="AA39" s="782" t="s">
        <v>172</v>
      </c>
      <c r="AB39" s="783">
        <v>32000</v>
      </c>
      <c r="AC39" s="784">
        <v>0.0003</v>
      </c>
      <c r="AD39" s="769">
        <f t="shared" si="3"/>
        <v>9.6</v>
      </c>
      <c r="AJ39" s="323" t="s">
        <v>177</v>
      </c>
      <c r="AK39" s="323">
        <v>20240007463</v>
      </c>
      <c r="AL39" s="323" t="s">
        <v>178</v>
      </c>
      <c r="AM39" s="338" t="s">
        <v>179</v>
      </c>
      <c r="AN39" s="323" t="s">
        <v>180</v>
      </c>
      <c r="AO39" s="326">
        <v>581958</v>
      </c>
    </row>
    <row r="40" ht="29" customHeight="1" spans="2:41">
      <c r="B40" s="618"/>
      <c r="C40" s="618"/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90"/>
      <c r="P40" s="681"/>
      <c r="Q40" s="765"/>
      <c r="R40" s="765"/>
      <c r="S40" s="767"/>
      <c r="T40" s="756"/>
      <c r="U40" s="768"/>
      <c r="V40" s="758"/>
      <c r="W40" s="1"/>
      <c r="X40" s="756"/>
      <c r="Z40" s="785" t="s">
        <v>59</v>
      </c>
      <c r="AA40" s="786"/>
      <c r="AB40" s="769"/>
      <c r="AC40" s="769"/>
      <c r="AD40" s="769">
        <f>SUM(AD24:AD39)</f>
        <v>251.934681</v>
      </c>
      <c r="AJ40" s="323" t="s">
        <v>181</v>
      </c>
      <c r="AK40" s="341" t="s">
        <v>182</v>
      </c>
      <c r="AL40" s="323" t="s">
        <v>183</v>
      </c>
      <c r="AM40" s="341" t="s">
        <v>184</v>
      </c>
      <c r="AN40" s="342" t="s">
        <v>185</v>
      </c>
      <c r="AO40" s="465">
        <v>927077</v>
      </c>
    </row>
    <row r="41" ht="29" customHeight="1" spans="2:24">
      <c r="B41" s="630"/>
      <c r="C41" s="618"/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91"/>
      <c r="P41" s="681"/>
      <c r="Q41" s="765"/>
      <c r="R41" s="769"/>
      <c r="S41" s="770"/>
      <c r="T41" s="756"/>
      <c r="U41" s="771"/>
      <c r="V41" s="758"/>
      <c r="W41" s="1"/>
      <c r="X41" s="756"/>
    </row>
    <row r="42" ht="134" customHeight="1" spans="2:41">
      <c r="B42" s="631" t="s">
        <v>186</v>
      </c>
      <c r="C42" s="631"/>
      <c r="D42" s="631"/>
      <c r="E42" s="631"/>
      <c r="F42" s="631"/>
      <c r="G42" s="631"/>
      <c r="H42" s="631"/>
      <c r="I42" s="631"/>
      <c r="J42" s="631"/>
      <c r="K42" s="631"/>
      <c r="L42" s="631"/>
      <c r="M42" s="631"/>
      <c r="N42" s="631"/>
      <c r="O42" s="631"/>
      <c r="P42" s="631"/>
      <c r="Q42" s="631"/>
      <c r="R42" s="631"/>
      <c r="S42" s="631"/>
      <c r="T42" s="756"/>
      <c r="U42" s="768"/>
      <c r="V42" s="758"/>
      <c r="W42" s="1"/>
      <c r="X42" s="756"/>
      <c r="AJ42" s="323" t="s">
        <v>181</v>
      </c>
      <c r="AK42" s="341" t="s">
        <v>182</v>
      </c>
      <c r="AL42" s="323" t="s">
        <v>183</v>
      </c>
      <c r="AM42" s="341" t="s">
        <v>184</v>
      </c>
      <c r="AN42" s="342" t="s">
        <v>185</v>
      </c>
      <c r="AO42">
        <v>927077</v>
      </c>
    </row>
    <row r="43" s="18" customFormat="1" ht="25" customHeight="1" spans="2:41">
      <c r="B43" s="632"/>
      <c r="C43" s="632"/>
      <c r="D43" s="632"/>
      <c r="E43" s="633"/>
      <c r="F43" s="633"/>
      <c r="G43" s="632"/>
      <c r="H43" s="632"/>
      <c r="I43" s="632"/>
      <c r="J43" s="632"/>
      <c r="K43" s="632"/>
      <c r="L43" s="632"/>
      <c r="M43" s="632"/>
      <c r="N43" s="632"/>
      <c r="O43" s="632"/>
      <c r="P43" s="632"/>
      <c r="Q43" s="632"/>
      <c r="R43" s="632"/>
      <c r="S43" s="632"/>
      <c r="T43" s="756"/>
      <c r="U43" s="768"/>
      <c r="V43" s="758"/>
      <c r="W43" s="1"/>
      <c r="X43" s="756"/>
      <c r="AJ43" s="164" t="s">
        <v>88</v>
      </c>
      <c r="AK43" s="135">
        <v>20240005461</v>
      </c>
      <c r="AL43" s="135"/>
      <c r="AM43" s="834" t="s">
        <v>187</v>
      </c>
      <c r="AN43" s="135" t="s">
        <v>188</v>
      </c>
      <c r="AO43" s="18">
        <v>980000</v>
      </c>
    </row>
    <row r="44" s="18" customFormat="1" ht="25" customHeight="1" spans="11:41">
      <c r="K44" s="632"/>
      <c r="L44" s="632"/>
      <c r="M44" s="692" t="s">
        <v>189</v>
      </c>
      <c r="N44" s="693"/>
      <c r="O44" s="694"/>
      <c r="P44" s="694"/>
      <c r="Q44" s="632"/>
      <c r="R44" s="632"/>
      <c r="S44" s="632"/>
      <c r="T44" s="756"/>
      <c r="U44" s="768"/>
      <c r="V44" s="758"/>
      <c r="W44" s="1"/>
      <c r="X44" s="772" t="s">
        <v>190</v>
      </c>
      <c r="Y44" s="772" t="s">
        <v>191</v>
      </c>
      <c r="Z44" s="772" t="s">
        <v>192</v>
      </c>
      <c r="AA44" s="787" t="s">
        <v>193</v>
      </c>
      <c r="AB44" s="788" t="s">
        <v>194</v>
      </c>
      <c r="AC44" s="789" t="s">
        <v>195</v>
      </c>
      <c r="AD44" s="789" t="s">
        <v>196</v>
      </c>
      <c r="AE44" s="789" t="s">
        <v>197</v>
      </c>
      <c r="AF44" s="789" t="s">
        <v>198</v>
      </c>
      <c r="AG44" s="769" t="s">
        <v>199</v>
      </c>
      <c r="AH44" s="769" t="s">
        <v>200</v>
      </c>
      <c r="AJ44" s="164" t="s">
        <v>163</v>
      </c>
      <c r="AK44" s="135">
        <v>20240005733</v>
      </c>
      <c r="AL44" s="135"/>
      <c r="AM44" s="834" t="s">
        <v>201</v>
      </c>
      <c r="AN44" s="135" t="s">
        <v>202</v>
      </c>
      <c r="AO44" s="18">
        <v>636000</v>
      </c>
    </row>
    <row r="45" s="18" customFormat="1" ht="25" customHeight="1" spans="1:41">
      <c r="A45" s="634"/>
      <c r="B45" s="632"/>
      <c r="C45" s="632"/>
      <c r="D45" s="632"/>
      <c r="E45" s="632"/>
      <c r="F45" s="632"/>
      <c r="G45" s="632"/>
      <c r="H45" s="632"/>
      <c r="I45" s="632"/>
      <c r="J45" s="632"/>
      <c r="K45" s="632"/>
      <c r="L45" s="632"/>
      <c r="M45" s="692" t="s">
        <v>203</v>
      </c>
      <c r="N45" s="693"/>
      <c r="O45" s="695">
        <v>181274094</v>
      </c>
      <c r="P45" s="694"/>
      <c r="Q45" s="632"/>
      <c r="R45" s="632"/>
      <c r="S45" s="632"/>
      <c r="T45" s="756"/>
      <c r="U45" s="768"/>
      <c r="V45" s="758"/>
      <c r="W45" s="1"/>
      <c r="X45" s="773" t="s">
        <v>204</v>
      </c>
      <c r="Y45" s="773" t="s">
        <v>205</v>
      </c>
      <c r="Z45" s="773">
        <v>286.85</v>
      </c>
      <c r="AA45" s="773">
        <v>1.3</v>
      </c>
      <c r="AB45" s="790">
        <v>136110.325</v>
      </c>
      <c r="AC45" s="791">
        <v>136110</v>
      </c>
      <c r="AD45" s="792"/>
      <c r="AE45" s="790">
        <v>11342</v>
      </c>
      <c r="AF45" s="790">
        <v>699606</v>
      </c>
      <c r="AG45" s="769">
        <v>10697.3394495413</v>
      </c>
      <c r="AH45" s="769">
        <v>1283.68073394495</v>
      </c>
      <c r="AJ45" s="164" t="s">
        <v>206</v>
      </c>
      <c r="AK45" s="135">
        <v>20240006811</v>
      </c>
      <c r="AL45" s="135"/>
      <c r="AM45" s="834" t="s">
        <v>207</v>
      </c>
      <c r="AN45" s="135" t="s">
        <v>208</v>
      </c>
      <c r="AO45" s="18">
        <v>702993</v>
      </c>
    </row>
    <row r="46" s="18" customFormat="1" ht="25" customHeight="1" spans="1:41">
      <c r="A46" s="26"/>
      <c r="B46" s="632"/>
      <c r="C46" s="632"/>
      <c r="D46" s="632"/>
      <c r="E46" s="632"/>
      <c r="F46" s="632"/>
      <c r="G46" s="632"/>
      <c r="H46" s="632"/>
      <c r="I46" s="632"/>
      <c r="J46" s="632"/>
      <c r="K46" s="632"/>
      <c r="L46" s="632"/>
      <c r="M46" s="696" t="s">
        <v>209</v>
      </c>
      <c r="N46" s="697">
        <f>(O45/1.09)*0.1</f>
        <v>16630650.8256881</v>
      </c>
      <c r="O46" s="694" t="s">
        <v>210</v>
      </c>
      <c r="P46" s="694"/>
      <c r="Q46" s="632"/>
      <c r="R46" s="632"/>
      <c r="S46" s="632"/>
      <c r="T46" s="756"/>
      <c r="U46" s="768"/>
      <c r="V46" s="758"/>
      <c r="W46" s="1"/>
      <c r="X46" s="773" t="s">
        <v>211</v>
      </c>
      <c r="Y46" s="773" t="s">
        <v>212</v>
      </c>
      <c r="Z46" s="773">
        <v>315.68</v>
      </c>
      <c r="AA46" s="773">
        <v>1.2</v>
      </c>
      <c r="AB46" s="790">
        <v>138267.84</v>
      </c>
      <c r="AC46" s="791">
        <v>88268</v>
      </c>
      <c r="AD46" s="792"/>
      <c r="AE46" s="790">
        <v>11365</v>
      </c>
      <c r="AF46" s="790">
        <v>746879</v>
      </c>
      <c r="AG46" s="769">
        <v>11420.1681957187</v>
      </c>
      <c r="AH46" s="769">
        <v>1370.42018348624</v>
      </c>
      <c r="AJ46" s="164" t="s">
        <v>213</v>
      </c>
      <c r="AK46" s="135">
        <v>20240006859</v>
      </c>
      <c r="AL46" s="135"/>
      <c r="AM46" s="834" t="s">
        <v>214</v>
      </c>
      <c r="AN46" s="135" t="s">
        <v>215</v>
      </c>
      <c r="AO46" s="18">
        <v>693957</v>
      </c>
    </row>
    <row r="47" s="18" customFormat="1" ht="25" customHeight="1" spans="1:41">
      <c r="A47" s="26"/>
      <c r="B47" s="632"/>
      <c r="C47" s="632"/>
      <c r="D47" s="632"/>
      <c r="E47" s="632"/>
      <c r="F47" s="632"/>
      <c r="G47" s="632"/>
      <c r="H47" s="632"/>
      <c r="I47" s="632"/>
      <c r="J47" s="632"/>
      <c r="K47" s="632"/>
      <c r="L47" s="632"/>
      <c r="M47" s="696" t="s">
        <v>216</v>
      </c>
      <c r="N47" s="697">
        <f>-(O47/1.09)*0.1</f>
        <v>-22530902.5688073</v>
      </c>
      <c r="O47" s="694">
        <v>245586838</v>
      </c>
      <c r="P47" s="694"/>
      <c r="Q47" s="632"/>
      <c r="T47" s="756"/>
      <c r="U47" s="768"/>
      <c r="V47" s="758"/>
      <c r="W47" s="1"/>
      <c r="X47" s="773" t="s">
        <v>217</v>
      </c>
      <c r="Y47" s="773" t="s">
        <v>218</v>
      </c>
      <c r="Z47" s="773">
        <v>315.62</v>
      </c>
      <c r="AA47" s="773">
        <v>1.4</v>
      </c>
      <c r="AB47" s="790">
        <v>161281.82</v>
      </c>
      <c r="AC47" s="791">
        <v>161282</v>
      </c>
      <c r="AD47" s="792"/>
      <c r="AE47" s="790">
        <v>13440</v>
      </c>
      <c r="AF47" s="790">
        <v>828990</v>
      </c>
      <c r="AG47" s="769">
        <v>12675.6880733945</v>
      </c>
      <c r="AH47" s="769">
        <v>1521.08256880734</v>
      </c>
      <c r="AJ47" s="164" t="s">
        <v>219</v>
      </c>
      <c r="AK47" s="135">
        <v>20240006777</v>
      </c>
      <c r="AL47" s="135"/>
      <c r="AM47" s="135"/>
      <c r="AN47" s="135" t="s">
        <v>220</v>
      </c>
      <c r="AO47" s="18">
        <v>672087</v>
      </c>
    </row>
    <row r="48" s="18" customFormat="1" ht="25" customHeight="1" spans="2:41">
      <c r="B48" s="632"/>
      <c r="C48" s="632"/>
      <c r="D48" s="632"/>
      <c r="E48" s="632"/>
      <c r="F48" s="632"/>
      <c r="G48" s="632"/>
      <c r="H48" s="632"/>
      <c r="I48" s="632"/>
      <c r="J48" s="632"/>
      <c r="K48" s="632"/>
      <c r="L48" s="632"/>
      <c r="M48" s="696" t="s">
        <v>221</v>
      </c>
      <c r="N48" s="698">
        <v>298052377.98</v>
      </c>
      <c r="O48" s="694" t="s">
        <v>222</v>
      </c>
      <c r="P48" s="694">
        <f>N48*1.09</f>
        <v>324877091.9982</v>
      </c>
      <c r="Q48" s="632"/>
      <c r="T48" s="756"/>
      <c r="U48" s="768"/>
      <c r="V48" s="758"/>
      <c r="W48" s="1"/>
      <c r="X48" s="773" t="s">
        <v>223</v>
      </c>
      <c r="Y48" s="773" t="s">
        <v>224</v>
      </c>
      <c r="Z48" s="773">
        <v>349.6</v>
      </c>
      <c r="AA48" s="773">
        <v>1.4</v>
      </c>
      <c r="AB48" s="790">
        <v>178645.6</v>
      </c>
      <c r="AC48" s="791">
        <v>178666</v>
      </c>
      <c r="AD48" s="792"/>
      <c r="AE48" s="790">
        <v>14888</v>
      </c>
      <c r="AF48" s="790">
        <v>971178</v>
      </c>
      <c r="AG48" s="769">
        <v>14849.8165137615</v>
      </c>
      <c r="AH48" s="769">
        <v>1781.97798165138</v>
      </c>
      <c r="AJ48" s="191">
        <v>45548</v>
      </c>
      <c r="AK48" s="135">
        <v>20240005254</v>
      </c>
      <c r="AL48" s="135"/>
      <c r="AM48" s="834" t="s">
        <v>225</v>
      </c>
      <c r="AN48" s="135" t="s">
        <v>226</v>
      </c>
      <c r="AO48" s="18">
        <v>800000</v>
      </c>
    </row>
    <row r="49" s="18" customFormat="1" ht="25" customHeight="1" spans="2:41">
      <c r="B49" s="632"/>
      <c r="C49" s="632"/>
      <c r="D49" s="632"/>
      <c r="E49" s="632"/>
      <c r="F49" s="632"/>
      <c r="G49" s="632"/>
      <c r="H49" s="632"/>
      <c r="I49" s="632"/>
      <c r="J49" s="632"/>
      <c r="K49" s="632"/>
      <c r="L49" s="632"/>
      <c r="M49" s="696" t="s">
        <v>227</v>
      </c>
      <c r="N49" s="698">
        <v>3150970.65</v>
      </c>
      <c r="O49" s="694" t="s">
        <v>228</v>
      </c>
      <c r="P49" s="694"/>
      <c r="Q49" s="632"/>
      <c r="T49" s="756"/>
      <c r="U49" s="768"/>
      <c r="V49" s="758"/>
      <c r="W49" s="1"/>
      <c r="X49" s="773" t="s">
        <v>229</v>
      </c>
      <c r="Y49" s="773" t="s">
        <v>230</v>
      </c>
      <c r="Z49" s="773">
        <v>67.85</v>
      </c>
      <c r="AA49" s="773">
        <v>2.3</v>
      </c>
      <c r="AB49" s="793">
        <v>56960.075</v>
      </c>
      <c r="AC49" s="791">
        <v>56960</v>
      </c>
      <c r="AD49" s="790"/>
      <c r="AE49" s="790">
        <v>4747</v>
      </c>
      <c r="AF49" s="790">
        <v>170880</v>
      </c>
      <c r="AG49" s="769">
        <v>4354.74006116208</v>
      </c>
      <c r="AH49" s="769">
        <v>522.56880733945</v>
      </c>
      <c r="AJ49" s="164" t="s">
        <v>88</v>
      </c>
      <c r="AK49" s="135">
        <v>20240005506</v>
      </c>
      <c r="AL49" s="135"/>
      <c r="AM49" s="135" t="s">
        <v>231</v>
      </c>
      <c r="AN49" s="135" t="s">
        <v>232</v>
      </c>
      <c r="AO49" s="18">
        <v>680000</v>
      </c>
    </row>
    <row r="50" s="18" customFormat="1" ht="25" customHeight="1" spans="2:41">
      <c r="B50" s="632"/>
      <c r="C50" s="632"/>
      <c r="D50" s="632"/>
      <c r="E50" s="632"/>
      <c r="F50" s="632"/>
      <c r="G50" s="632"/>
      <c r="H50" s="632"/>
      <c r="I50" s="632"/>
      <c r="J50" s="632"/>
      <c r="K50" s="632"/>
      <c r="L50" s="632"/>
      <c r="M50" s="696" t="s">
        <v>233</v>
      </c>
      <c r="N50" s="698">
        <v>44567.51</v>
      </c>
      <c r="O50" s="694"/>
      <c r="P50" s="694"/>
      <c r="Q50" s="632"/>
      <c r="T50" s="756"/>
      <c r="U50" s="768"/>
      <c r="V50" s="758"/>
      <c r="W50" s="1"/>
      <c r="X50" s="773" t="s">
        <v>234</v>
      </c>
      <c r="Y50" s="773" t="s">
        <v>235</v>
      </c>
      <c r="Z50" s="773">
        <v>130.9</v>
      </c>
      <c r="AA50" s="773">
        <v>1</v>
      </c>
      <c r="AB50" s="793">
        <v>47778.5</v>
      </c>
      <c r="AC50" s="791">
        <v>47779</v>
      </c>
      <c r="AD50" s="790"/>
      <c r="AE50" s="790">
        <v>3927</v>
      </c>
      <c r="AF50" s="790">
        <v>245585</v>
      </c>
      <c r="AG50" s="769">
        <v>3693.56294179576</v>
      </c>
      <c r="AH50" s="769">
        <v>443.227553015491</v>
      </c>
      <c r="AJ50" s="164" t="s">
        <v>236</v>
      </c>
      <c r="AK50" s="135">
        <v>20240003996</v>
      </c>
      <c r="AL50" s="135"/>
      <c r="AM50" s="834" t="s">
        <v>237</v>
      </c>
      <c r="AN50" s="135" t="s">
        <v>238</v>
      </c>
      <c r="AO50" s="18">
        <v>698000</v>
      </c>
    </row>
    <row r="51" s="18" customFormat="1" ht="25" customHeight="1" spans="2:41">
      <c r="B51" s="632"/>
      <c r="C51" s="632"/>
      <c r="D51" s="632"/>
      <c r="E51" s="632"/>
      <c r="F51" s="632"/>
      <c r="G51" s="632"/>
      <c r="H51" s="632"/>
      <c r="I51" s="632"/>
      <c r="J51" s="632"/>
      <c r="K51" s="632"/>
      <c r="L51" s="632"/>
      <c r="M51" s="696" t="s">
        <v>239</v>
      </c>
      <c r="N51" s="698">
        <f>-239299308.98</f>
        <v>-239299308.98</v>
      </c>
      <c r="O51" s="694"/>
      <c r="P51" s="694"/>
      <c r="Q51" s="632"/>
      <c r="T51" s="756"/>
      <c r="U51" s="768"/>
      <c r="V51" s="758"/>
      <c r="W51" s="1"/>
      <c r="X51" s="774"/>
      <c r="Y51" s="769"/>
      <c r="Z51" s="769"/>
      <c r="AA51" s="769"/>
      <c r="AB51" s="769"/>
      <c r="AC51" s="769"/>
      <c r="AD51" s="769"/>
      <c r="AE51" s="769"/>
      <c r="AF51" s="769"/>
      <c r="AG51" s="769">
        <f>SUM(AG45:AG50)</f>
        <v>57691.3152353737</v>
      </c>
      <c r="AH51" s="798">
        <f>SUM(AH45:AH50)</f>
        <v>6922.95782824485</v>
      </c>
      <c r="AJ51" s="164" t="s">
        <v>240</v>
      </c>
      <c r="AK51" s="135">
        <v>20240006501</v>
      </c>
      <c r="AL51" s="135"/>
      <c r="AM51" s="135"/>
      <c r="AN51" s="135" t="s">
        <v>241</v>
      </c>
      <c r="AO51" s="18">
        <v>690000</v>
      </c>
    </row>
    <row r="52" s="18" customFormat="1" ht="25" customHeight="1" spans="2:41">
      <c r="B52" s="632"/>
      <c r="C52" s="632"/>
      <c r="D52" s="632"/>
      <c r="E52" s="632"/>
      <c r="F52" s="632"/>
      <c r="G52" s="632"/>
      <c r="H52" s="632"/>
      <c r="I52" s="632"/>
      <c r="J52" s="632"/>
      <c r="K52" s="632"/>
      <c r="L52" s="632"/>
      <c r="M52" s="696" t="s">
        <v>242</v>
      </c>
      <c r="N52" s="698">
        <v>-5706802.88</v>
      </c>
      <c r="O52" s="694"/>
      <c r="P52" s="694"/>
      <c r="Q52" s="632"/>
      <c r="T52" s="756"/>
      <c r="U52" s="768"/>
      <c r="V52" s="758"/>
      <c r="W52" s="1"/>
      <c r="X52" s="756"/>
      <c r="AJ52" s="164" t="s">
        <v>88</v>
      </c>
      <c r="AK52" s="135">
        <v>20240005501</v>
      </c>
      <c r="AL52" s="135"/>
      <c r="AM52" s="135" t="s">
        <v>243</v>
      </c>
      <c r="AN52" s="135" t="s">
        <v>244</v>
      </c>
      <c r="AO52" s="18">
        <v>684000</v>
      </c>
    </row>
    <row r="53" s="18" customFormat="1" ht="34" customHeight="1" spans="2:41">
      <c r="B53" s="632"/>
      <c r="C53" s="632"/>
      <c r="D53" s="632"/>
      <c r="E53" s="632"/>
      <c r="F53" s="632"/>
      <c r="G53" s="632"/>
      <c r="H53" s="632"/>
      <c r="I53" s="632"/>
      <c r="J53" s="632"/>
      <c r="K53" s="632"/>
      <c r="L53" s="632"/>
      <c r="M53" s="696" t="s">
        <v>245</v>
      </c>
      <c r="N53" s="698">
        <v>-6286897.96</v>
      </c>
      <c r="O53" s="694"/>
      <c r="P53" s="694"/>
      <c r="Q53" s="632"/>
      <c r="T53" s="756"/>
      <c r="U53" s="768"/>
      <c r="V53" s="758"/>
      <c r="W53" s="1"/>
      <c r="X53" s="756"/>
      <c r="AJ53" s="164" t="s">
        <v>88</v>
      </c>
      <c r="AK53" s="135">
        <v>20240005494</v>
      </c>
      <c r="AL53" s="135"/>
      <c r="AM53" s="834" t="s">
        <v>246</v>
      </c>
      <c r="AN53" s="135" t="s">
        <v>247</v>
      </c>
      <c r="AO53" s="18">
        <v>664101</v>
      </c>
    </row>
    <row r="54" customHeight="1" spans="4:41">
      <c r="D54" s="18"/>
      <c r="E54" s="18"/>
      <c r="F54" s="18"/>
      <c r="G54" s="18"/>
      <c r="H54" s="18"/>
      <c r="I54" s="18"/>
      <c r="J54" s="18"/>
      <c r="K54" s="18"/>
      <c r="L54" s="18"/>
      <c r="M54" s="696" t="s">
        <v>248</v>
      </c>
      <c r="N54" s="698">
        <v>-2363673.32</v>
      </c>
      <c r="O54" s="694"/>
      <c r="P54" s="694"/>
      <c r="Q54" s="18"/>
      <c r="AJ54" s="164" t="s">
        <v>163</v>
      </c>
      <c r="AK54" s="135">
        <v>20240005759</v>
      </c>
      <c r="AL54" s="135"/>
      <c r="AM54" s="834" t="s">
        <v>249</v>
      </c>
      <c r="AN54" s="135" t="s">
        <v>250</v>
      </c>
      <c r="AO54">
        <v>691000</v>
      </c>
    </row>
    <row r="55" s="548" customFormat="1" ht="23" customHeight="1" spans="4:41">
      <c r="D55" s="634"/>
      <c r="E55" s="634"/>
      <c r="F55" s="634"/>
      <c r="G55" s="634"/>
      <c r="H55" s="634"/>
      <c r="I55" s="1"/>
      <c r="J55" s="634"/>
      <c r="K55" s="634"/>
      <c r="L55" s="634"/>
      <c r="M55" s="696" t="s">
        <v>251</v>
      </c>
      <c r="N55" s="698">
        <v>-216159.18</v>
      </c>
      <c r="O55" s="694"/>
      <c r="P55" s="694"/>
      <c r="Q55" s="634"/>
      <c r="AJ55" s="164" t="s">
        <v>252</v>
      </c>
      <c r="AK55" s="135">
        <v>20240005803</v>
      </c>
      <c r="AL55" s="135"/>
      <c r="AM55" s="834" t="s">
        <v>253</v>
      </c>
      <c r="AN55" s="135" t="s">
        <v>254</v>
      </c>
      <c r="AO55" s="548">
        <v>450000</v>
      </c>
    </row>
    <row r="56" s="549" customFormat="1" ht="22" customHeight="1" spans="3:41">
      <c r="C56" s="36"/>
      <c r="D56" s="26"/>
      <c r="E56" s="26"/>
      <c r="F56" s="635"/>
      <c r="G56" s="25"/>
      <c r="H56" s="636"/>
      <c r="I56" s="694"/>
      <c r="J56" s="635"/>
      <c r="K56" s="635"/>
      <c r="L56" s="635"/>
      <c r="M56" s="696" t="s">
        <v>255</v>
      </c>
      <c r="N56" s="698">
        <v>-270000</v>
      </c>
      <c r="O56" s="694"/>
      <c r="P56" s="694"/>
      <c r="Q56" s="635"/>
      <c r="AJ56" s="164" t="s">
        <v>252</v>
      </c>
      <c r="AK56" s="135">
        <v>20240005800</v>
      </c>
      <c r="AL56" s="135"/>
      <c r="AM56" s="834" t="s">
        <v>256</v>
      </c>
      <c r="AN56" s="135" t="s">
        <v>257</v>
      </c>
      <c r="AO56" s="549">
        <v>450000</v>
      </c>
    </row>
    <row r="57" s="549" customFormat="1" ht="22" customHeight="1" spans="3:41">
      <c r="C57" s="26"/>
      <c r="D57" s="26"/>
      <c r="E57" s="26"/>
      <c r="F57" s="635"/>
      <c r="G57" s="26"/>
      <c r="H57" s="637"/>
      <c r="I57" s="694"/>
      <c r="J57" s="635"/>
      <c r="K57" s="635"/>
      <c r="L57" s="635"/>
      <c r="M57" s="696"/>
      <c r="N57" s="697"/>
      <c r="O57" s="694"/>
      <c r="P57" s="694"/>
      <c r="Q57" s="635"/>
      <c r="T57" s="775"/>
      <c r="U57" s="775"/>
      <c r="V57" s="775"/>
      <c r="W57" s="775"/>
      <c r="X57" s="775"/>
      <c r="Y57" s="775"/>
      <c r="Z57" s="775"/>
      <c r="AA57" s="775"/>
      <c r="AB57" s="775"/>
      <c r="AC57" s="775"/>
      <c r="AD57" s="775"/>
      <c r="AE57" s="775"/>
      <c r="AF57" s="775"/>
      <c r="AG57" s="775"/>
      <c r="AH57" s="775"/>
      <c r="AI57" s="775"/>
      <c r="AJ57" s="164" t="s">
        <v>252</v>
      </c>
      <c r="AK57" s="135">
        <v>20240005820</v>
      </c>
      <c r="AL57" s="135"/>
      <c r="AM57" s="834" t="s">
        <v>258</v>
      </c>
      <c r="AN57" s="164" t="s">
        <v>259</v>
      </c>
      <c r="AO57" s="549">
        <v>715000</v>
      </c>
    </row>
    <row r="58" s="549" customFormat="1" ht="22" customHeight="1" spans="3:41">
      <c r="C58" s="36"/>
      <c r="D58" s="33"/>
      <c r="E58" s="26"/>
      <c r="F58" s="29"/>
      <c r="G58" s="34"/>
      <c r="H58" s="638"/>
      <c r="I58" s="635"/>
      <c r="J58" s="635"/>
      <c r="K58" s="635"/>
      <c r="L58" s="635"/>
      <c r="M58" s="696" t="s">
        <v>260</v>
      </c>
      <c r="N58" s="697">
        <f>SUM(N46:N57)</f>
        <v>41204822.0768808</v>
      </c>
      <c r="O58" s="699"/>
      <c r="P58" s="694"/>
      <c r="Q58" s="635"/>
      <c r="T58" s="776"/>
      <c r="U58" s="776"/>
      <c r="V58" s="776"/>
      <c r="W58" s="777"/>
      <c r="X58" s="776"/>
      <c r="Y58" s="776"/>
      <c r="Z58" s="777"/>
      <c r="AA58" s="777"/>
      <c r="AB58" s="776"/>
      <c r="AC58" s="776"/>
      <c r="AD58" s="776"/>
      <c r="AE58" s="496"/>
      <c r="AF58" s="496"/>
      <c r="AG58" s="776"/>
      <c r="AH58" s="776"/>
      <c r="AI58" s="799"/>
      <c r="AJ58" s="164" t="s">
        <v>163</v>
      </c>
      <c r="AK58" s="135">
        <v>20240005753</v>
      </c>
      <c r="AL58" s="135"/>
      <c r="AM58" s="834" t="s">
        <v>261</v>
      </c>
      <c r="AN58" s="164" t="s">
        <v>262</v>
      </c>
      <c r="AO58" s="549">
        <v>513350</v>
      </c>
    </row>
    <row r="59" s="549" customFormat="1" ht="22" customHeight="1" spans="3:41">
      <c r="C59" s="36"/>
      <c r="D59" s="33"/>
      <c r="E59" s="26"/>
      <c r="F59" s="29"/>
      <c r="G59" s="34"/>
      <c r="H59" s="638"/>
      <c r="I59" s="635"/>
      <c r="J59" s="635"/>
      <c r="K59" s="635"/>
      <c r="L59" s="635"/>
      <c r="M59" s="696" t="s">
        <v>263</v>
      </c>
      <c r="N59" s="697">
        <f>N58*0.25</f>
        <v>10301205.5192202</v>
      </c>
      <c r="O59" s="694"/>
      <c r="P59" s="694"/>
      <c r="Q59" s="635"/>
      <c r="T59" s="776"/>
      <c r="U59" s="776"/>
      <c r="V59" s="776"/>
      <c r="W59" s="777"/>
      <c r="X59" s="776"/>
      <c r="Y59" s="19"/>
      <c r="Z59" s="776"/>
      <c r="AA59" s="776"/>
      <c r="AB59" s="776"/>
      <c r="AC59" s="776"/>
      <c r="AD59" s="776"/>
      <c r="AE59" s="794"/>
      <c r="AF59" s="496"/>
      <c r="AG59" s="776"/>
      <c r="AH59" s="776"/>
      <c r="AI59" s="799"/>
      <c r="AJ59" s="135" t="s">
        <v>206</v>
      </c>
      <c r="AK59" s="263" t="s">
        <v>264</v>
      </c>
      <c r="AL59" s="135" t="s">
        <v>265</v>
      </c>
      <c r="AM59" s="264" t="s">
        <v>266</v>
      </c>
      <c r="AN59" s="262" t="s">
        <v>267</v>
      </c>
      <c r="AO59" s="549">
        <v>632500</v>
      </c>
    </row>
    <row r="60" s="549" customFormat="1" ht="22" customHeight="1" spans="13:41">
      <c r="M60" s="700" t="s">
        <v>268</v>
      </c>
      <c r="N60" s="701">
        <f>1864955.1+4922048.54</f>
        <v>6787003.64</v>
      </c>
      <c r="O60" s="694"/>
      <c r="P60" s="694"/>
      <c r="T60" s="776"/>
      <c r="U60" s="776"/>
      <c r="V60" s="776"/>
      <c r="W60" s="777"/>
      <c r="X60" s="541"/>
      <c r="Y60" s="19"/>
      <c r="Z60" s="776"/>
      <c r="AA60" s="776"/>
      <c r="AB60" s="776"/>
      <c r="AC60" s="776"/>
      <c r="AD60" s="776"/>
      <c r="AE60" s="794"/>
      <c r="AF60" s="496"/>
      <c r="AG60" s="776"/>
      <c r="AH60" s="776"/>
      <c r="AI60" s="799"/>
      <c r="AJ60" s="135" t="s">
        <v>269</v>
      </c>
      <c r="AK60" s="263" t="s">
        <v>270</v>
      </c>
      <c r="AL60" s="135" t="s">
        <v>271</v>
      </c>
      <c r="AM60" s="264" t="s">
        <v>272</v>
      </c>
      <c r="AN60" s="262" t="s">
        <v>273</v>
      </c>
      <c r="AO60" s="549">
        <v>750000</v>
      </c>
    </row>
    <row r="61" s="549" customFormat="1" ht="22" customHeight="1" spans="13:41">
      <c r="M61" s="702" t="s">
        <v>274</v>
      </c>
      <c r="N61" s="703">
        <f>N59-N60</f>
        <v>3514201.8792202</v>
      </c>
      <c r="O61" s="694"/>
      <c r="P61" s="694"/>
      <c r="T61" s="776"/>
      <c r="U61" s="776"/>
      <c r="V61" s="776"/>
      <c r="W61" s="777"/>
      <c r="X61" s="541"/>
      <c r="Y61" s="776"/>
      <c r="Z61" s="776"/>
      <c r="AA61" s="776"/>
      <c r="AB61" s="776"/>
      <c r="AC61" s="776"/>
      <c r="AD61" s="776"/>
      <c r="AE61" s="794"/>
      <c r="AF61" s="496"/>
      <c r="AG61" s="776"/>
      <c r="AH61" s="776"/>
      <c r="AI61" s="799"/>
      <c r="AJ61" s="135" t="s">
        <v>275</v>
      </c>
      <c r="AK61" s="263" t="s">
        <v>276</v>
      </c>
      <c r="AL61" s="135"/>
      <c r="AM61" s="280" t="s">
        <v>277</v>
      </c>
      <c r="AN61" s="220" t="s">
        <v>278</v>
      </c>
      <c r="AO61" s="549">
        <v>730000</v>
      </c>
    </row>
    <row r="62" s="15" customFormat="1" ht="22" customHeight="1" spans="15:41">
      <c r="O62" s="704"/>
      <c r="T62" s="776"/>
      <c r="U62" s="776"/>
      <c r="V62" s="776"/>
      <c r="W62" s="777"/>
      <c r="X62" s="776"/>
      <c r="Y62" s="776"/>
      <c r="Z62" s="776"/>
      <c r="AA62" s="776"/>
      <c r="AB62" s="776"/>
      <c r="AC62" s="776"/>
      <c r="AD62" s="776"/>
      <c r="AE62" s="496"/>
      <c r="AF62" s="496"/>
      <c r="AG62" s="776"/>
      <c r="AH62" s="776"/>
      <c r="AI62" s="799"/>
      <c r="AJ62" s="135" t="s">
        <v>88</v>
      </c>
      <c r="AK62" s="135">
        <v>20240005473</v>
      </c>
      <c r="AL62" s="135"/>
      <c r="AM62" s="264" t="s">
        <v>279</v>
      </c>
      <c r="AN62" s="262" t="s">
        <v>280</v>
      </c>
      <c r="AO62" s="15">
        <v>819000</v>
      </c>
    </row>
    <row r="63" s="15" customFormat="1" ht="22" customHeight="1" spans="15:41">
      <c r="O63" s="704"/>
      <c r="T63" s="776"/>
      <c r="U63" s="776"/>
      <c r="V63" s="776"/>
      <c r="W63" s="777"/>
      <c r="X63" s="776"/>
      <c r="Y63" s="776"/>
      <c r="Z63" s="776"/>
      <c r="AA63" s="776"/>
      <c r="AB63" s="776"/>
      <c r="AC63" s="776"/>
      <c r="AD63" s="776"/>
      <c r="AE63" s="496"/>
      <c r="AF63" s="496"/>
      <c r="AG63" s="776"/>
      <c r="AH63" s="776"/>
      <c r="AI63" s="799"/>
      <c r="AJ63" s="135" t="s">
        <v>88</v>
      </c>
      <c r="AK63" s="135">
        <v>20240005456</v>
      </c>
      <c r="AL63" s="135"/>
      <c r="AM63" s="264" t="s">
        <v>281</v>
      </c>
      <c r="AN63" s="220" t="s">
        <v>282</v>
      </c>
      <c r="AO63" s="15">
        <v>860255</v>
      </c>
    </row>
    <row r="64" s="15" customFormat="1" ht="22" customHeight="1" spans="15:41">
      <c r="O64" s="704"/>
      <c r="T64" s="778"/>
      <c r="U64" s="776"/>
      <c r="V64" s="776"/>
      <c r="W64" s="777"/>
      <c r="X64" s="776"/>
      <c r="Y64" s="19"/>
      <c r="Z64" s="776"/>
      <c r="AA64" s="776"/>
      <c r="AB64" s="776"/>
      <c r="AC64" s="776"/>
      <c r="AD64" s="776"/>
      <c r="AE64" s="794"/>
      <c r="AF64" s="496"/>
      <c r="AG64" s="778"/>
      <c r="AH64" s="776"/>
      <c r="AI64" s="799"/>
      <c r="AJ64" s="135" t="s">
        <v>125</v>
      </c>
      <c r="AK64" s="135">
        <v>20240005865</v>
      </c>
      <c r="AL64" s="135"/>
      <c r="AM64" s="264" t="s">
        <v>283</v>
      </c>
      <c r="AN64" s="220" t="s">
        <v>284</v>
      </c>
      <c r="AO64" s="15">
        <v>755000</v>
      </c>
    </row>
    <row r="65" s="15" customFormat="1" ht="22" customHeight="1" spans="15:41">
      <c r="O65" s="704"/>
      <c r="T65" s="635"/>
      <c r="U65" s="635"/>
      <c r="V65" s="635"/>
      <c r="W65" s="635"/>
      <c r="X65" s="804"/>
      <c r="Y65" s="776"/>
      <c r="Z65" s="776"/>
      <c r="AA65" s="777"/>
      <c r="AB65" s="776"/>
      <c r="AC65" s="19"/>
      <c r="AD65" s="776"/>
      <c r="AE65" s="776"/>
      <c r="AF65" s="776"/>
      <c r="AG65" s="776"/>
      <c r="AH65" s="496"/>
      <c r="AI65" s="635"/>
      <c r="AJ65" s="135" t="s">
        <v>285</v>
      </c>
      <c r="AK65" s="135">
        <v>20240004487</v>
      </c>
      <c r="AL65" s="135"/>
      <c r="AM65" s="264" t="s">
        <v>286</v>
      </c>
      <c r="AN65" s="220" t="s">
        <v>287</v>
      </c>
      <c r="AO65" s="15">
        <v>762419</v>
      </c>
    </row>
    <row r="66" s="15" customFormat="1" ht="22" customHeight="1" spans="14:41">
      <c r="N66" s="800"/>
      <c r="O66" s="704"/>
      <c r="T66" s="635"/>
      <c r="U66" s="635"/>
      <c r="V66" s="635"/>
      <c r="W66" s="635"/>
      <c r="X66" s="804"/>
      <c r="Y66" s="776"/>
      <c r="Z66" s="776"/>
      <c r="AA66" s="777"/>
      <c r="AB66" s="776"/>
      <c r="AC66" s="19"/>
      <c r="AD66" s="776"/>
      <c r="AE66" s="776"/>
      <c r="AF66" s="776"/>
      <c r="AG66" s="776"/>
      <c r="AH66" s="496"/>
      <c r="AI66" s="635"/>
      <c r="AJ66" s="135" t="s">
        <v>252</v>
      </c>
      <c r="AK66" s="135">
        <v>20240005814</v>
      </c>
      <c r="AL66" s="135"/>
      <c r="AM66" s="264" t="s">
        <v>288</v>
      </c>
      <c r="AN66" s="220" t="s">
        <v>289</v>
      </c>
      <c r="AO66" s="15">
        <v>766570</v>
      </c>
    </row>
    <row r="67" s="15" customFormat="1" ht="22" customHeight="1" spans="15:41">
      <c r="O67" s="704"/>
      <c r="W67" s="549"/>
      <c r="X67" s="423"/>
      <c r="Y67" s="172"/>
      <c r="Z67" s="172"/>
      <c r="AA67" s="415"/>
      <c r="AB67" s="172"/>
      <c r="AC67" s="132"/>
      <c r="AD67" s="172"/>
      <c r="AE67" s="172"/>
      <c r="AF67" s="172"/>
      <c r="AG67" s="172"/>
      <c r="AH67" s="358"/>
      <c r="AI67" s="549"/>
      <c r="AJ67" s="135" t="s">
        <v>290</v>
      </c>
      <c r="AK67" s="263" t="s">
        <v>291</v>
      </c>
      <c r="AL67" s="135"/>
      <c r="AM67" s="264" t="s">
        <v>292</v>
      </c>
      <c r="AN67" s="262" t="s">
        <v>293</v>
      </c>
      <c r="AO67" s="15">
        <v>883000</v>
      </c>
    </row>
    <row r="68" s="15" customFormat="1" ht="22" customHeight="1" spans="15:41">
      <c r="O68" s="704"/>
      <c r="W68" s="549"/>
      <c r="X68" s="423"/>
      <c r="Y68" s="172"/>
      <c r="Z68" s="172"/>
      <c r="AA68" s="415"/>
      <c r="AB68" s="336"/>
      <c r="AC68" s="132"/>
      <c r="AD68" s="172"/>
      <c r="AE68" s="172"/>
      <c r="AF68" s="172"/>
      <c r="AG68" s="172"/>
      <c r="AH68" s="358"/>
      <c r="AI68" s="549"/>
      <c r="AJ68" s="135" t="s">
        <v>88</v>
      </c>
      <c r="AK68" s="263" t="s">
        <v>294</v>
      </c>
      <c r="AL68" s="135"/>
      <c r="AM68" s="298" t="s">
        <v>295</v>
      </c>
      <c r="AN68" s="220" t="s">
        <v>296</v>
      </c>
      <c r="AO68" s="15">
        <v>770000</v>
      </c>
    </row>
    <row r="69" s="15" customFormat="1" ht="22" customHeight="1" spans="15:41">
      <c r="O69" s="704"/>
      <c r="W69" s="549"/>
      <c r="X69" s="423"/>
      <c r="Y69" s="172"/>
      <c r="Z69" s="172"/>
      <c r="AA69" s="415"/>
      <c r="AB69" s="172"/>
      <c r="AC69" s="172"/>
      <c r="AD69" s="172"/>
      <c r="AE69" s="172"/>
      <c r="AF69" s="172"/>
      <c r="AG69" s="172"/>
      <c r="AH69" s="358"/>
      <c r="AI69" s="549"/>
      <c r="AJ69" s="135" t="s">
        <v>213</v>
      </c>
      <c r="AK69" s="263" t="s">
        <v>297</v>
      </c>
      <c r="AL69" s="135"/>
      <c r="AM69" s="264" t="s">
        <v>298</v>
      </c>
      <c r="AN69" s="220" t="s">
        <v>299</v>
      </c>
      <c r="AO69" s="15">
        <v>810000</v>
      </c>
    </row>
    <row r="70" s="15" customFormat="1" ht="22" customHeight="1" spans="15:41">
      <c r="O70" s="704"/>
      <c r="W70" s="549"/>
      <c r="X70" s="423"/>
      <c r="Y70" s="172"/>
      <c r="Z70" s="172"/>
      <c r="AA70" s="415"/>
      <c r="AB70" s="172"/>
      <c r="AC70" s="172"/>
      <c r="AD70" s="172"/>
      <c r="AE70" s="172"/>
      <c r="AF70" s="172"/>
      <c r="AG70" s="172"/>
      <c r="AH70" s="358"/>
      <c r="AI70" s="549"/>
      <c r="AJ70" s="135" t="s">
        <v>88</v>
      </c>
      <c r="AK70" s="263" t="s">
        <v>300</v>
      </c>
      <c r="AL70" s="135"/>
      <c r="AM70" s="264" t="s">
        <v>301</v>
      </c>
      <c r="AN70" s="262" t="s">
        <v>302</v>
      </c>
      <c r="AO70" s="15">
        <v>797020</v>
      </c>
    </row>
    <row r="71" s="15" customFormat="1" ht="22" customHeight="1" spans="12:41">
      <c r="L71" s="801">
        <v>280677946.79</v>
      </c>
      <c r="O71" s="704"/>
      <c r="W71" s="549"/>
      <c r="X71" s="423"/>
      <c r="Y71" s="172"/>
      <c r="Z71" s="172"/>
      <c r="AA71" s="415"/>
      <c r="AB71" s="172"/>
      <c r="AC71" s="172"/>
      <c r="AD71" s="172"/>
      <c r="AE71" s="172"/>
      <c r="AF71" s="172"/>
      <c r="AG71" s="172"/>
      <c r="AH71" s="358"/>
      <c r="AI71" s="549"/>
      <c r="AJ71" s="135" t="s">
        <v>303</v>
      </c>
      <c r="AK71" s="135">
        <v>20240006840</v>
      </c>
      <c r="AL71" s="135"/>
      <c r="AM71" s="264" t="s">
        <v>304</v>
      </c>
      <c r="AN71" s="220" t="s">
        <v>305</v>
      </c>
      <c r="AO71" s="15">
        <v>941365</v>
      </c>
    </row>
    <row r="72" s="15" customFormat="1" ht="22" customHeight="1" spans="12:41">
      <c r="L72" s="801">
        <v>2767727.53</v>
      </c>
      <c r="O72" s="704"/>
      <c r="W72" s="549"/>
      <c r="X72" s="423"/>
      <c r="Y72" s="172"/>
      <c r="Z72" s="172"/>
      <c r="AA72" s="415"/>
      <c r="AB72" s="336"/>
      <c r="AC72" s="172"/>
      <c r="AD72" s="172"/>
      <c r="AE72" s="172"/>
      <c r="AF72" s="172"/>
      <c r="AG72" s="172"/>
      <c r="AH72" s="358"/>
      <c r="AI72" s="549"/>
      <c r="AJ72" s="135" t="s">
        <v>306</v>
      </c>
      <c r="AK72" s="135">
        <v>20240006325</v>
      </c>
      <c r="AL72" s="135"/>
      <c r="AM72" s="264" t="s">
        <v>307</v>
      </c>
      <c r="AN72" s="135" t="s">
        <v>308</v>
      </c>
      <c r="AO72" s="15">
        <v>838000</v>
      </c>
    </row>
    <row r="73" s="15" customFormat="1" ht="22" customHeight="1" spans="12:41">
      <c r="L73" s="802">
        <f>L71+L72</f>
        <v>283445674.32</v>
      </c>
      <c r="M73" s="803">
        <v>283445741.57</v>
      </c>
      <c r="O73" s="704"/>
      <c r="W73" s="549"/>
      <c r="X73" s="423"/>
      <c r="Y73" s="172"/>
      <c r="Z73" s="172"/>
      <c r="AA73" s="415"/>
      <c r="AB73" s="336"/>
      <c r="AC73" s="172"/>
      <c r="AD73" s="172"/>
      <c r="AE73" s="172"/>
      <c r="AF73" s="172"/>
      <c r="AG73" s="172"/>
      <c r="AH73" s="358"/>
      <c r="AI73" s="549"/>
      <c r="AJ73" s="135" t="s">
        <v>309</v>
      </c>
      <c r="AK73" s="135">
        <v>20240006415</v>
      </c>
      <c r="AL73" s="135"/>
      <c r="AM73" s="264" t="s">
        <v>310</v>
      </c>
      <c r="AN73" s="135" t="s">
        <v>311</v>
      </c>
      <c r="AO73" s="15">
        <v>862285</v>
      </c>
    </row>
    <row r="74" s="15" customFormat="1" ht="22" customHeight="1" spans="13:41">
      <c r="M74" s="803">
        <f>L73-M73</f>
        <v>-67.25</v>
      </c>
      <c r="N74" s="15" t="s">
        <v>312</v>
      </c>
      <c r="O74" s="704"/>
      <c r="W74" s="549"/>
      <c r="X74" s="423"/>
      <c r="Y74" s="172"/>
      <c r="Z74" s="172"/>
      <c r="AA74" s="415"/>
      <c r="AB74" s="336"/>
      <c r="AC74" s="172"/>
      <c r="AD74" s="172"/>
      <c r="AE74" s="172"/>
      <c r="AF74" s="172"/>
      <c r="AG74" s="172"/>
      <c r="AH74" s="358"/>
      <c r="AI74" s="549"/>
      <c r="AJ74" s="135" t="s">
        <v>313</v>
      </c>
      <c r="AK74" s="135">
        <v>20240006617</v>
      </c>
      <c r="AL74" s="135"/>
      <c r="AM74" s="834" t="s">
        <v>314</v>
      </c>
      <c r="AN74" s="135" t="s">
        <v>315</v>
      </c>
      <c r="AO74" s="135">
        <v>859139</v>
      </c>
    </row>
    <row r="75" s="15" customFormat="1" ht="22" customHeight="1" spans="15:41">
      <c r="O75" s="704"/>
      <c r="W75" s="549"/>
      <c r="X75" s="423"/>
      <c r="Y75" s="172"/>
      <c r="Z75" s="172"/>
      <c r="AA75" s="415"/>
      <c r="AB75" s="172"/>
      <c r="AC75" s="172"/>
      <c r="AD75" s="172"/>
      <c r="AE75" s="172"/>
      <c r="AF75" s="172"/>
      <c r="AG75" s="172"/>
      <c r="AH75" s="358"/>
      <c r="AI75" s="549"/>
      <c r="AJ75" s="135" t="s">
        <v>313</v>
      </c>
      <c r="AK75" s="135">
        <v>20240006618</v>
      </c>
      <c r="AL75" s="135"/>
      <c r="AM75" s="834" t="s">
        <v>316</v>
      </c>
      <c r="AN75" s="135" t="s">
        <v>317</v>
      </c>
      <c r="AO75" s="135">
        <v>805990</v>
      </c>
    </row>
    <row r="76" s="15" customFormat="1" ht="22" customHeight="1" spans="15:41">
      <c r="O76" s="704"/>
      <c r="W76" s="549"/>
      <c r="X76" s="423"/>
      <c r="Y76" s="172"/>
      <c r="Z76" s="172"/>
      <c r="AA76" s="415"/>
      <c r="AB76" s="172"/>
      <c r="AC76" s="172"/>
      <c r="AD76" s="172"/>
      <c r="AE76" s="172"/>
      <c r="AF76" s="172"/>
      <c r="AG76" s="172"/>
      <c r="AH76" s="358"/>
      <c r="AI76" s="549"/>
      <c r="AJ76" s="135" t="s">
        <v>290</v>
      </c>
      <c r="AK76" s="135">
        <v>20240006190</v>
      </c>
      <c r="AL76" s="135"/>
      <c r="AM76" s="834" t="s">
        <v>318</v>
      </c>
      <c r="AN76" s="164" t="s">
        <v>319</v>
      </c>
      <c r="AO76" s="135">
        <v>865751</v>
      </c>
    </row>
    <row r="77" s="15" customFormat="1" ht="22" customHeight="1" spans="15:41">
      <c r="O77" s="704"/>
      <c r="W77" s="549"/>
      <c r="X77" s="423"/>
      <c r="Y77" s="172"/>
      <c r="Z77" s="172"/>
      <c r="AA77" s="415"/>
      <c r="AB77" s="172"/>
      <c r="AC77" s="172"/>
      <c r="AD77" s="172"/>
      <c r="AE77" s="172"/>
      <c r="AF77" s="172"/>
      <c r="AG77" s="172"/>
      <c r="AH77" s="358"/>
      <c r="AI77" s="549"/>
      <c r="AJ77" s="135" t="s">
        <v>88</v>
      </c>
      <c r="AK77" s="135">
        <v>20240005546</v>
      </c>
      <c r="AL77" s="135"/>
      <c r="AM77" s="834" t="s">
        <v>320</v>
      </c>
      <c r="AN77" s="135" t="s">
        <v>321</v>
      </c>
      <c r="AO77" s="135">
        <v>840888</v>
      </c>
    </row>
    <row r="78" s="15" customFormat="1" ht="22" customHeight="1" spans="15:41">
      <c r="O78" s="704"/>
      <c r="W78" s="549"/>
      <c r="X78" s="423"/>
      <c r="Y78" s="415"/>
      <c r="Z78" s="172"/>
      <c r="AA78" s="415"/>
      <c r="AB78" s="416"/>
      <c r="AC78" s="416"/>
      <c r="AD78" s="549"/>
      <c r="AE78" s="418"/>
      <c r="AF78" s="172"/>
      <c r="AG78" s="172"/>
      <c r="AH78" s="441"/>
      <c r="AI78" s="549"/>
      <c r="AJ78" s="135" t="s">
        <v>322</v>
      </c>
      <c r="AK78" s="135">
        <v>20240006521</v>
      </c>
      <c r="AL78" s="135"/>
      <c r="AM78" s="834" t="s">
        <v>323</v>
      </c>
      <c r="AN78" s="135" t="s">
        <v>324</v>
      </c>
      <c r="AO78" s="135">
        <v>886756</v>
      </c>
    </row>
    <row r="79" s="15" customFormat="1" ht="22" customHeight="1" spans="15:41">
      <c r="O79" s="704"/>
      <c r="W79" s="549"/>
      <c r="X79" s="423"/>
      <c r="Y79" s="414"/>
      <c r="Z79" s="172"/>
      <c r="AA79" s="415"/>
      <c r="AB79" s="172"/>
      <c r="AC79" s="172"/>
      <c r="AD79" s="549"/>
      <c r="AE79" s="443"/>
      <c r="AF79" s="172"/>
      <c r="AG79" s="172"/>
      <c r="AH79" s="429"/>
      <c r="AI79" s="549"/>
      <c r="AJ79" s="135" t="s">
        <v>88</v>
      </c>
      <c r="AK79" s="135">
        <v>20240005557</v>
      </c>
      <c r="AL79" s="135"/>
      <c r="AM79" s="834" t="s">
        <v>325</v>
      </c>
      <c r="AN79" s="164" t="s">
        <v>326</v>
      </c>
      <c r="AO79" s="135">
        <v>820980</v>
      </c>
    </row>
    <row r="80" s="15" customFormat="1" ht="22" customHeight="1" spans="15:41">
      <c r="O80" s="704"/>
      <c r="W80" s="549"/>
      <c r="X80" s="219"/>
      <c r="Y80" s="132"/>
      <c r="Z80" s="132"/>
      <c r="AA80" s="132"/>
      <c r="AB80" s="132"/>
      <c r="AC80" s="132"/>
      <c r="AD80" s="549"/>
      <c r="AE80" s="231"/>
      <c r="AF80" s="132"/>
      <c r="AG80" s="132"/>
      <c r="AH80" s="215"/>
      <c r="AI80" s="549"/>
      <c r="AJ80" s="135" t="s">
        <v>327</v>
      </c>
      <c r="AK80" s="135">
        <v>20240005654</v>
      </c>
      <c r="AL80" s="135"/>
      <c r="AM80" s="834" t="s">
        <v>328</v>
      </c>
      <c r="AN80" s="135" t="s">
        <v>329</v>
      </c>
      <c r="AO80" s="135">
        <v>870000</v>
      </c>
    </row>
    <row r="81" s="15" customFormat="1" ht="22" customHeight="1" spans="15:41">
      <c r="O81" s="704"/>
      <c r="W81" s="549"/>
      <c r="X81" s="273"/>
      <c r="Y81" s="132"/>
      <c r="Z81" s="132"/>
      <c r="AA81" s="132"/>
      <c r="AB81" s="132"/>
      <c r="AC81" s="132"/>
      <c r="AD81" s="549"/>
      <c r="AE81" s="231"/>
      <c r="AF81" s="132"/>
      <c r="AG81" s="132"/>
      <c r="AH81" s="215"/>
      <c r="AI81" s="549"/>
      <c r="AJ81" s="135" t="s">
        <v>252</v>
      </c>
      <c r="AK81" s="135">
        <v>20240005780</v>
      </c>
      <c r="AL81" s="135"/>
      <c r="AM81" s="834" t="s">
        <v>330</v>
      </c>
      <c r="AN81" s="135" t="s">
        <v>331</v>
      </c>
      <c r="AO81" s="135">
        <v>854247</v>
      </c>
    </row>
    <row r="82" s="15" customFormat="1" ht="22" customHeight="1" spans="15:41">
      <c r="O82" s="704"/>
      <c r="W82" s="549"/>
      <c r="X82" s="273"/>
      <c r="Y82" s="132"/>
      <c r="Z82" s="132"/>
      <c r="AA82" s="132"/>
      <c r="AB82" s="219"/>
      <c r="AC82" s="132"/>
      <c r="AD82" s="549"/>
      <c r="AE82" s="132"/>
      <c r="AF82" s="132"/>
      <c r="AG82" s="132"/>
      <c r="AH82" s="215"/>
      <c r="AI82" s="549"/>
      <c r="AJ82" s="135" t="s">
        <v>332</v>
      </c>
      <c r="AK82" s="135">
        <v>20240006475</v>
      </c>
      <c r="AL82" s="135"/>
      <c r="AM82" s="164" t="s">
        <v>333</v>
      </c>
      <c r="AN82" s="164" t="s">
        <v>334</v>
      </c>
      <c r="AO82" s="135">
        <v>972289</v>
      </c>
    </row>
    <row r="83" s="15" customFormat="1" ht="22" customHeight="1" spans="15:41">
      <c r="O83" s="704"/>
      <c r="W83" s="549"/>
      <c r="X83" s="273"/>
      <c r="Y83" s="132"/>
      <c r="Z83" s="132"/>
      <c r="AA83" s="132"/>
      <c r="AB83" s="132"/>
      <c r="AC83" s="132"/>
      <c r="AD83" s="549"/>
      <c r="AE83" s="132"/>
      <c r="AF83" s="132"/>
      <c r="AG83" s="132"/>
      <c r="AH83" s="215"/>
      <c r="AI83" s="549"/>
      <c r="AJ83" s="135" t="s">
        <v>88</v>
      </c>
      <c r="AK83" s="135">
        <v>20240005587</v>
      </c>
      <c r="AL83" s="135"/>
      <c r="AM83" s="834" t="s">
        <v>335</v>
      </c>
      <c r="AN83" s="135" t="s">
        <v>336</v>
      </c>
      <c r="AO83" s="135">
        <v>660000</v>
      </c>
    </row>
    <row r="84" s="15" customFormat="1" ht="22" customHeight="1" spans="15:41">
      <c r="O84" s="704"/>
      <c r="W84" s="549"/>
      <c r="X84" s="273"/>
      <c r="Y84" s="132"/>
      <c r="Z84" s="132"/>
      <c r="AA84" s="132"/>
      <c r="AB84" s="132"/>
      <c r="AC84" s="132"/>
      <c r="AD84" s="549"/>
      <c r="AE84" s="132"/>
      <c r="AF84" s="132"/>
      <c r="AG84" s="132"/>
      <c r="AH84" s="215"/>
      <c r="AI84" s="549"/>
      <c r="AJ84" s="155">
        <v>45539</v>
      </c>
      <c r="AK84" s="135">
        <v>20240005079</v>
      </c>
      <c r="AL84" s="135"/>
      <c r="AM84" s="834" t="s">
        <v>337</v>
      </c>
      <c r="AN84" s="135" t="s">
        <v>338</v>
      </c>
      <c r="AO84" s="135">
        <v>670481</v>
      </c>
    </row>
    <row r="85" s="15" customFormat="1" ht="22" customHeight="1" spans="15:41">
      <c r="O85" s="704"/>
      <c r="W85" s="549"/>
      <c r="X85" s="273"/>
      <c r="Y85" s="132"/>
      <c r="Z85" s="132"/>
      <c r="AA85" s="132"/>
      <c r="AB85" s="219"/>
      <c r="AC85" s="132"/>
      <c r="AD85" s="549"/>
      <c r="AE85" s="132"/>
      <c r="AF85" s="132"/>
      <c r="AG85" s="173"/>
      <c r="AH85" s="215"/>
      <c r="AI85" s="549"/>
      <c r="AJ85" s="135" t="s">
        <v>163</v>
      </c>
      <c r="AK85" s="135">
        <v>20240005742</v>
      </c>
      <c r="AL85" s="135"/>
      <c r="AM85" s="834" t="s">
        <v>339</v>
      </c>
      <c r="AN85" s="135" t="s">
        <v>340</v>
      </c>
      <c r="AO85" s="135">
        <v>680000</v>
      </c>
    </row>
    <row r="86" s="15" customFormat="1" ht="22" customHeight="1" spans="15:41">
      <c r="O86" s="704"/>
      <c r="W86" s="549"/>
      <c r="X86" s="273"/>
      <c r="Y86" s="132"/>
      <c r="Z86" s="132"/>
      <c r="AA86" s="132"/>
      <c r="AB86" s="132"/>
      <c r="AC86" s="132"/>
      <c r="AD86" s="549"/>
      <c r="AE86" s="132"/>
      <c r="AF86" s="132"/>
      <c r="AG86" s="132"/>
      <c r="AH86" s="215"/>
      <c r="AI86" s="549"/>
      <c r="AJ86" s="135" t="s">
        <v>341</v>
      </c>
      <c r="AK86" s="135">
        <v>20240004830</v>
      </c>
      <c r="AL86" s="135"/>
      <c r="AM86" s="834" t="s">
        <v>342</v>
      </c>
      <c r="AN86" s="135" t="s">
        <v>343</v>
      </c>
      <c r="AO86" s="135">
        <v>690000</v>
      </c>
    </row>
    <row r="87" s="15" customFormat="1" ht="22" customHeight="1" spans="15:41">
      <c r="O87" s="704"/>
      <c r="W87" s="549"/>
      <c r="X87" s="273"/>
      <c r="Y87" s="132"/>
      <c r="Z87" s="132"/>
      <c r="AA87" s="132"/>
      <c r="AB87" s="219"/>
      <c r="AC87" s="219"/>
      <c r="AD87" s="549"/>
      <c r="AE87" s="132"/>
      <c r="AF87" s="132"/>
      <c r="AG87" s="132"/>
      <c r="AH87" s="215"/>
      <c r="AI87" s="549"/>
      <c r="AJ87" s="135" t="s">
        <v>344</v>
      </c>
      <c r="AK87" s="135">
        <v>20240006700</v>
      </c>
      <c r="AL87" s="135"/>
      <c r="AM87" s="834" t="s">
        <v>345</v>
      </c>
      <c r="AN87" s="135" t="s">
        <v>346</v>
      </c>
      <c r="AO87" s="135">
        <v>705000</v>
      </c>
    </row>
    <row r="88" s="15" customFormat="1" ht="22" customHeight="1" spans="15:41">
      <c r="O88" s="704"/>
      <c r="W88" s="549"/>
      <c r="X88" s="273"/>
      <c r="Y88" s="132"/>
      <c r="Z88" s="132"/>
      <c r="AA88" s="132"/>
      <c r="AB88" s="219"/>
      <c r="AC88" s="219"/>
      <c r="AD88" s="549"/>
      <c r="AE88" s="132"/>
      <c r="AF88" s="132"/>
      <c r="AG88" s="132"/>
      <c r="AH88" s="215"/>
      <c r="AI88" s="549"/>
      <c r="AJ88" s="135" t="s">
        <v>88</v>
      </c>
      <c r="AK88" s="135">
        <v>20240005482</v>
      </c>
      <c r="AL88" s="135"/>
      <c r="AM88" s="834" t="s">
        <v>347</v>
      </c>
      <c r="AN88" s="135" t="s">
        <v>348</v>
      </c>
      <c r="AO88" s="135">
        <v>670000</v>
      </c>
    </row>
    <row r="89" s="15" customFormat="1" ht="22" customHeight="1" spans="15:41">
      <c r="O89" s="704"/>
      <c r="W89" s="549"/>
      <c r="X89" s="274"/>
      <c r="Y89" s="279"/>
      <c r="Z89" s="132"/>
      <c r="AA89" s="276"/>
      <c r="AB89" s="212"/>
      <c r="AC89" s="212"/>
      <c r="AD89" s="549"/>
      <c r="AE89" s="231"/>
      <c r="AF89" s="132"/>
      <c r="AG89" s="132"/>
      <c r="AH89" s="215"/>
      <c r="AI89" s="549"/>
      <c r="AJ89" s="135" t="s">
        <v>349</v>
      </c>
      <c r="AK89" s="135">
        <v>20240005944</v>
      </c>
      <c r="AL89" s="135"/>
      <c r="AM89" s="834" t="s">
        <v>350</v>
      </c>
      <c r="AN89" s="135" t="s">
        <v>351</v>
      </c>
      <c r="AO89" s="135">
        <v>648120</v>
      </c>
    </row>
    <row r="90" s="15" customFormat="1" ht="22" customHeight="1" spans="15:41">
      <c r="O90" s="704"/>
      <c r="W90" s="549"/>
      <c r="X90" s="274"/>
      <c r="Y90" s="279"/>
      <c r="Z90" s="132"/>
      <c r="AA90" s="276"/>
      <c r="AB90" s="212"/>
      <c r="AC90" s="212"/>
      <c r="AD90" s="549"/>
      <c r="AE90" s="231"/>
      <c r="AF90" s="132"/>
      <c r="AG90" s="132"/>
      <c r="AH90" s="215"/>
      <c r="AI90" s="549"/>
      <c r="AJ90" s="135" t="s">
        <v>352</v>
      </c>
      <c r="AK90" s="135">
        <v>20240004547</v>
      </c>
      <c r="AL90" s="135"/>
      <c r="AM90" s="135" t="s">
        <v>353</v>
      </c>
      <c r="AN90" s="135" t="s">
        <v>354</v>
      </c>
      <c r="AO90" s="135">
        <v>680000</v>
      </c>
    </row>
    <row r="91" s="15" customFormat="1" ht="22" customHeight="1" spans="15:41">
      <c r="O91" s="704"/>
      <c r="W91" s="549"/>
      <c r="X91" s="274"/>
      <c r="Y91" s="279"/>
      <c r="Z91" s="132"/>
      <c r="AA91" s="276"/>
      <c r="AB91" s="219"/>
      <c r="AC91" s="219"/>
      <c r="AD91" s="549"/>
      <c r="AE91" s="238"/>
      <c r="AF91" s="132"/>
      <c r="AG91" s="132"/>
      <c r="AH91" s="271"/>
      <c r="AI91" s="549"/>
      <c r="AJ91" s="135" t="s">
        <v>269</v>
      </c>
      <c r="AK91" s="135">
        <v>20240006533</v>
      </c>
      <c r="AL91" s="135"/>
      <c r="AM91" s="834" t="s">
        <v>355</v>
      </c>
      <c r="AN91" s="135" t="s">
        <v>356</v>
      </c>
      <c r="AO91" s="135">
        <v>690000</v>
      </c>
    </row>
    <row r="92" s="15" customFormat="1" ht="22" customHeight="1" spans="15:41">
      <c r="O92" s="704"/>
      <c r="W92" s="549"/>
      <c r="X92" s="274"/>
      <c r="Y92" s="276"/>
      <c r="Z92" s="132"/>
      <c r="AA92" s="276"/>
      <c r="AB92" s="266"/>
      <c r="AC92" s="266"/>
      <c r="AD92" s="549"/>
      <c r="AE92" s="238"/>
      <c r="AF92" s="132"/>
      <c r="AG92" s="132"/>
      <c r="AH92" s="271"/>
      <c r="AI92" s="549"/>
      <c r="AJ92" s="135" t="s">
        <v>252</v>
      </c>
      <c r="AK92" s="135">
        <v>20240005722</v>
      </c>
      <c r="AL92" s="135"/>
      <c r="AM92" s="135" t="s">
        <v>357</v>
      </c>
      <c r="AN92" s="135" t="s">
        <v>358</v>
      </c>
      <c r="AO92" s="135">
        <v>680000</v>
      </c>
    </row>
    <row r="93" s="15" customFormat="1" ht="22" customHeight="1" spans="15:41">
      <c r="O93" s="704"/>
      <c r="W93" s="549"/>
      <c r="X93" s="274"/>
      <c r="Y93" s="132"/>
      <c r="Z93" s="132"/>
      <c r="AA93" s="276"/>
      <c r="AB93" s="212"/>
      <c r="AC93" s="212"/>
      <c r="AD93" s="549"/>
      <c r="AE93" s="231"/>
      <c r="AF93" s="132"/>
      <c r="AG93" s="132"/>
      <c r="AH93" s="215"/>
      <c r="AI93" s="549"/>
      <c r="AJ93" s="135" t="s">
        <v>125</v>
      </c>
      <c r="AK93" s="135">
        <v>20240005923</v>
      </c>
      <c r="AL93" s="135"/>
      <c r="AM93" s="834" t="s">
        <v>359</v>
      </c>
      <c r="AN93" s="135" t="s">
        <v>360</v>
      </c>
      <c r="AO93" s="135">
        <v>707040</v>
      </c>
    </row>
    <row r="94" s="15" customFormat="1" ht="22" customHeight="1" spans="15:41">
      <c r="O94" s="704"/>
      <c r="W94" s="549"/>
      <c r="X94" s="274"/>
      <c r="Y94" s="279"/>
      <c r="Z94" s="132"/>
      <c r="AA94" s="276"/>
      <c r="AB94" s="266"/>
      <c r="AC94" s="266"/>
      <c r="AD94" s="549"/>
      <c r="AE94" s="231"/>
      <c r="AF94" s="132"/>
      <c r="AG94" s="173"/>
      <c r="AH94" s="271"/>
      <c r="AI94" s="549"/>
      <c r="AJ94" s="135" t="s">
        <v>327</v>
      </c>
      <c r="AK94" s="135">
        <v>20240006294</v>
      </c>
      <c r="AL94" s="135"/>
      <c r="AM94" s="834" t="s">
        <v>361</v>
      </c>
      <c r="AN94" s="135" t="s">
        <v>362</v>
      </c>
      <c r="AO94" s="135">
        <v>697000</v>
      </c>
    </row>
    <row r="95" s="15" customFormat="1" ht="22" customHeight="1" spans="15:41">
      <c r="O95" s="704"/>
      <c r="W95" s="549"/>
      <c r="X95" s="132"/>
      <c r="Y95" s="279"/>
      <c r="Z95" s="132"/>
      <c r="AA95" s="276"/>
      <c r="AB95" s="219"/>
      <c r="AC95" s="132"/>
      <c r="AD95" s="549"/>
      <c r="AE95" s="231"/>
      <c r="AF95" s="132"/>
      <c r="AG95" s="132"/>
      <c r="AH95" s="271"/>
      <c r="AI95" s="549"/>
      <c r="AJ95" s="135" t="s">
        <v>88</v>
      </c>
      <c r="AK95" s="135">
        <v>20240005540</v>
      </c>
      <c r="AL95" s="135"/>
      <c r="AM95" s="834" t="s">
        <v>363</v>
      </c>
      <c r="AN95" s="135" t="s">
        <v>364</v>
      </c>
      <c r="AO95" s="135">
        <v>690000</v>
      </c>
    </row>
    <row r="96" s="15" customFormat="1" ht="22" customHeight="1" spans="15:41">
      <c r="O96" s="704"/>
      <c r="W96" s="549"/>
      <c r="X96" s="274"/>
      <c r="Y96" s="279"/>
      <c r="Z96" s="132"/>
      <c r="AA96" s="276"/>
      <c r="AB96" s="219"/>
      <c r="AC96" s="132"/>
      <c r="AD96" s="549"/>
      <c r="AE96" s="231"/>
      <c r="AF96" s="132"/>
      <c r="AG96" s="132"/>
      <c r="AH96" s="271"/>
      <c r="AI96" s="549"/>
      <c r="AJ96" s="135" t="s">
        <v>88</v>
      </c>
      <c r="AK96" s="135">
        <v>20240005552</v>
      </c>
      <c r="AL96" s="135"/>
      <c r="AM96" s="834" t="s">
        <v>365</v>
      </c>
      <c r="AN96" s="135" t="s">
        <v>366</v>
      </c>
      <c r="AO96" s="135">
        <v>716438</v>
      </c>
    </row>
    <row r="97" s="15" customFormat="1" ht="22" customHeight="1" spans="15:41">
      <c r="O97" s="704"/>
      <c r="W97" s="549"/>
      <c r="X97" s="274"/>
      <c r="Y97" s="279"/>
      <c r="Z97" s="132"/>
      <c r="AA97" s="276"/>
      <c r="AB97" s="219"/>
      <c r="AC97" s="219"/>
      <c r="AD97" s="549"/>
      <c r="AE97" s="231"/>
      <c r="AF97" s="132"/>
      <c r="AG97" s="132"/>
      <c r="AH97" s="271"/>
      <c r="AI97" s="549"/>
      <c r="AJ97" s="135" t="s">
        <v>151</v>
      </c>
      <c r="AK97" s="135">
        <v>20240005637</v>
      </c>
      <c r="AL97" s="135"/>
      <c r="AM97" s="834" t="s">
        <v>367</v>
      </c>
      <c r="AN97" s="135" t="s">
        <v>368</v>
      </c>
      <c r="AO97" s="15">
        <v>743985</v>
      </c>
    </row>
    <row r="98" s="15" customFormat="1" ht="22" customHeight="1" spans="15:41">
      <c r="O98" s="704"/>
      <c r="W98" s="549"/>
      <c r="X98" s="274"/>
      <c r="Y98" s="279"/>
      <c r="Z98" s="132"/>
      <c r="AA98" s="276"/>
      <c r="AB98" s="219"/>
      <c r="AC98" s="219"/>
      <c r="AD98" s="549"/>
      <c r="AE98" s="231"/>
      <c r="AF98" s="132"/>
      <c r="AG98" s="132"/>
      <c r="AH98" s="271"/>
      <c r="AI98" s="549"/>
      <c r="AJ98" s="135" t="s">
        <v>327</v>
      </c>
      <c r="AK98" s="135">
        <v>20240006297</v>
      </c>
      <c r="AL98" s="135"/>
      <c r="AM98" s="834" t="s">
        <v>369</v>
      </c>
      <c r="AN98" s="135" t="s">
        <v>370</v>
      </c>
      <c r="AO98" s="15">
        <v>748769</v>
      </c>
    </row>
    <row r="99" s="15" customFormat="1" ht="22" customHeight="1" spans="15:41">
      <c r="O99" s="704"/>
      <c r="W99" s="549"/>
      <c r="X99" s="274"/>
      <c r="Y99" s="279"/>
      <c r="Z99" s="132"/>
      <c r="AA99" s="276"/>
      <c r="AB99" s="212"/>
      <c r="AC99" s="212"/>
      <c r="AD99" s="549"/>
      <c r="AE99" s="231"/>
      <c r="AF99" s="173"/>
      <c r="AG99" s="132"/>
      <c r="AH99" s="271"/>
      <c r="AI99" s="549"/>
      <c r="AJ99" s="135" t="s">
        <v>163</v>
      </c>
      <c r="AK99" s="135">
        <v>20240005755</v>
      </c>
      <c r="AL99" s="135"/>
      <c r="AM99" s="834" t="s">
        <v>371</v>
      </c>
      <c r="AN99" s="135" t="s">
        <v>372</v>
      </c>
      <c r="AO99" s="15">
        <v>822569</v>
      </c>
    </row>
    <row r="100" s="15" customFormat="1" ht="22" customHeight="1" spans="15:41">
      <c r="O100" s="704"/>
      <c r="W100" s="549"/>
      <c r="X100" s="274"/>
      <c r="Y100" s="132"/>
      <c r="Z100" s="132"/>
      <c r="AA100" s="276"/>
      <c r="AB100" s="219"/>
      <c r="AC100" s="132"/>
      <c r="AD100" s="549"/>
      <c r="AE100" s="231"/>
      <c r="AF100" s="132"/>
      <c r="AG100" s="132"/>
      <c r="AH100" s="271"/>
      <c r="AI100" s="549"/>
      <c r="AJ100" s="135" t="s">
        <v>125</v>
      </c>
      <c r="AK100" s="135">
        <v>20240005848</v>
      </c>
      <c r="AL100" s="135"/>
      <c r="AM100" s="834" t="s">
        <v>373</v>
      </c>
      <c r="AN100" s="164" t="s">
        <v>374</v>
      </c>
      <c r="AO100" s="15">
        <v>1211385</v>
      </c>
    </row>
    <row r="101" s="15" customFormat="1" ht="22" customHeight="1" spans="15:43">
      <c r="O101" s="704"/>
      <c r="W101" s="549"/>
      <c r="X101" s="274"/>
      <c r="Y101" s="132"/>
      <c r="Z101" s="132"/>
      <c r="AA101" s="276"/>
      <c r="AB101" s="219"/>
      <c r="AC101" s="132"/>
      <c r="AD101" s="549"/>
      <c r="AE101" s="231"/>
      <c r="AF101" s="132"/>
      <c r="AG101" s="132"/>
      <c r="AH101" s="271"/>
      <c r="AI101" s="549"/>
      <c r="AJ101" s="323" t="s">
        <v>375</v>
      </c>
      <c r="AK101" s="323">
        <v>20240007440</v>
      </c>
      <c r="AL101" s="833" t="s">
        <v>376</v>
      </c>
      <c r="AM101" s="338" t="s">
        <v>377</v>
      </c>
      <c r="AN101" s="519" t="s">
        <v>378</v>
      </c>
      <c r="AO101" s="135">
        <v>5265780</v>
      </c>
      <c r="AP101" s="323"/>
      <c r="AQ101" s="323"/>
    </row>
    <row r="102" s="15" customFormat="1" ht="22" customHeight="1" spans="15:43">
      <c r="O102" s="704"/>
      <c r="W102" s="549"/>
      <c r="X102" s="274"/>
      <c r="Y102" s="132"/>
      <c r="Z102" s="132"/>
      <c r="AA102" s="276"/>
      <c r="AB102" s="219"/>
      <c r="AC102" s="132"/>
      <c r="AD102" s="549"/>
      <c r="AE102" s="231"/>
      <c r="AF102" s="132"/>
      <c r="AG102" s="132"/>
      <c r="AH102" s="271"/>
      <c r="AI102" s="549"/>
      <c r="AJ102" s="323" t="s">
        <v>379</v>
      </c>
      <c r="AK102" s="323">
        <v>20240007405</v>
      </c>
      <c r="AL102" s="833" t="s">
        <v>380</v>
      </c>
      <c r="AM102" s="338" t="s">
        <v>381</v>
      </c>
      <c r="AN102" s="337" t="s">
        <v>382</v>
      </c>
      <c r="AO102" s="135">
        <v>1950000</v>
      </c>
      <c r="AP102" s="323"/>
      <c r="AQ102" s="323"/>
    </row>
    <row r="103" s="15" customFormat="1" ht="22" customHeight="1" spans="15:41">
      <c r="O103" s="704"/>
      <c r="W103" s="549"/>
      <c r="X103" s="274"/>
      <c r="Y103" s="132"/>
      <c r="Z103" s="132"/>
      <c r="AA103" s="276"/>
      <c r="AB103" s="219"/>
      <c r="AC103" s="132"/>
      <c r="AD103" s="549"/>
      <c r="AE103" s="231"/>
      <c r="AF103" s="132"/>
      <c r="AG103" s="132"/>
      <c r="AH103" s="271"/>
      <c r="AI103" s="549"/>
      <c r="AJ103" s="164" t="s">
        <v>383</v>
      </c>
      <c r="AK103" s="135">
        <v>20240006995</v>
      </c>
      <c r="AL103" s="135"/>
      <c r="AM103" s="834" t="s">
        <v>384</v>
      </c>
      <c r="AN103" s="135" t="s">
        <v>385</v>
      </c>
      <c r="AO103" s="15">
        <v>658224</v>
      </c>
    </row>
    <row r="104" s="15" customFormat="1" ht="22" customHeight="1" spans="15:41">
      <c r="O104" s="704"/>
      <c r="W104" s="549"/>
      <c r="X104" s="274"/>
      <c r="Y104" s="132"/>
      <c r="Z104" s="132"/>
      <c r="AA104" s="276"/>
      <c r="AB104" s="219"/>
      <c r="AC104" s="132"/>
      <c r="AD104" s="549"/>
      <c r="AE104" s="231"/>
      <c r="AF104" s="132"/>
      <c r="AG104" s="132"/>
      <c r="AH104" s="271"/>
      <c r="AI104" s="549"/>
      <c r="AJ104" s="164" t="s">
        <v>386</v>
      </c>
      <c r="AK104" s="135">
        <v>20240007530</v>
      </c>
      <c r="AL104" s="135"/>
      <c r="AM104" s="834" t="s">
        <v>387</v>
      </c>
      <c r="AN104" s="135" t="s">
        <v>388</v>
      </c>
      <c r="AO104" s="15">
        <v>660000</v>
      </c>
    </row>
    <row r="105" s="15" customFormat="1" ht="22" customHeight="1" spans="15:41">
      <c r="O105" s="704"/>
      <c r="W105" s="549"/>
      <c r="X105" s="274"/>
      <c r="Y105" s="132"/>
      <c r="Z105" s="132"/>
      <c r="AA105" s="276"/>
      <c r="AB105" s="219"/>
      <c r="AC105" s="132"/>
      <c r="AD105" s="549"/>
      <c r="AE105" s="231"/>
      <c r="AF105" s="132"/>
      <c r="AG105" s="132"/>
      <c r="AH105" s="271"/>
      <c r="AI105" s="549"/>
      <c r="AJ105" s="164" t="s">
        <v>389</v>
      </c>
      <c r="AK105" s="135">
        <v>20240007184</v>
      </c>
      <c r="AL105" s="135"/>
      <c r="AM105" s="135"/>
      <c r="AN105" s="135" t="s">
        <v>390</v>
      </c>
      <c r="AO105" s="15">
        <v>454463</v>
      </c>
    </row>
    <row r="106" s="15" customFormat="1" ht="22" customHeight="1" spans="15:41">
      <c r="O106" s="704"/>
      <c r="W106" s="549"/>
      <c r="X106" s="274"/>
      <c r="Y106" s="132"/>
      <c r="Z106" s="132"/>
      <c r="AA106" s="276"/>
      <c r="AB106" s="219"/>
      <c r="AC106" s="132"/>
      <c r="AD106" s="549"/>
      <c r="AE106" s="231"/>
      <c r="AF106" s="132"/>
      <c r="AG106" s="132"/>
      <c r="AH106" s="271"/>
      <c r="AI106" s="549"/>
      <c r="AJ106" s="135" t="s">
        <v>391</v>
      </c>
      <c r="AK106" s="263" t="s">
        <v>392</v>
      </c>
      <c r="AL106" s="135"/>
      <c r="AM106" s="264" t="s">
        <v>393</v>
      </c>
      <c r="AN106" s="220" t="s">
        <v>394</v>
      </c>
      <c r="AO106" s="15">
        <v>770000</v>
      </c>
    </row>
    <row r="107" s="15" customFormat="1" ht="22" customHeight="1" spans="15:41">
      <c r="O107" s="704"/>
      <c r="W107" s="549"/>
      <c r="X107" s="274"/>
      <c r="Y107" s="132"/>
      <c r="Z107" s="132"/>
      <c r="AA107" s="276"/>
      <c r="AB107" s="219"/>
      <c r="AC107" s="132"/>
      <c r="AD107" s="549"/>
      <c r="AE107" s="231"/>
      <c r="AF107" s="132"/>
      <c r="AG107" s="132"/>
      <c r="AH107" s="271"/>
      <c r="AI107" s="549"/>
      <c r="AJ107" s="135" t="s">
        <v>395</v>
      </c>
      <c r="AK107" s="263" t="s">
        <v>396</v>
      </c>
      <c r="AL107" s="135"/>
      <c r="AM107" s="264" t="s">
        <v>397</v>
      </c>
      <c r="AN107" s="220" t="s">
        <v>398</v>
      </c>
      <c r="AO107" s="15">
        <v>805000</v>
      </c>
    </row>
    <row r="108" s="15" customFormat="1" ht="22" customHeight="1" spans="15:41">
      <c r="O108" s="704"/>
      <c r="W108" s="549"/>
      <c r="X108" s="274"/>
      <c r="Y108" s="132"/>
      <c r="Z108" s="132"/>
      <c r="AA108" s="276"/>
      <c r="AB108" s="219"/>
      <c r="AC108" s="132"/>
      <c r="AD108" s="549"/>
      <c r="AE108" s="231"/>
      <c r="AF108" s="132"/>
      <c r="AG108" s="132"/>
      <c r="AH108" s="271"/>
      <c r="AI108" s="549"/>
      <c r="AJ108" s="135" t="s">
        <v>399</v>
      </c>
      <c r="AK108" s="135">
        <v>20240007219</v>
      </c>
      <c r="AL108" s="135"/>
      <c r="AM108" s="264"/>
      <c r="AN108" s="135" t="s">
        <v>400</v>
      </c>
      <c r="AO108" s="15">
        <v>790000</v>
      </c>
    </row>
    <row r="109" s="15" customFormat="1" ht="22" customHeight="1" spans="15:41">
      <c r="O109" s="704"/>
      <c r="W109" s="549"/>
      <c r="X109" s="274"/>
      <c r="Y109" s="132"/>
      <c r="Z109" s="132"/>
      <c r="AA109" s="276"/>
      <c r="AB109" s="219"/>
      <c r="AC109" s="132"/>
      <c r="AD109" s="549"/>
      <c r="AE109" s="231"/>
      <c r="AF109" s="132"/>
      <c r="AG109" s="132"/>
      <c r="AH109" s="271"/>
      <c r="AI109" s="549"/>
      <c r="AJ109" s="135" t="s">
        <v>401</v>
      </c>
      <c r="AK109" s="135">
        <v>20240007256</v>
      </c>
      <c r="AL109" s="135"/>
      <c r="AM109" s="834" t="s">
        <v>402</v>
      </c>
      <c r="AN109" s="135" t="s">
        <v>403</v>
      </c>
      <c r="AO109" s="15">
        <v>650000</v>
      </c>
    </row>
    <row r="110" s="15" customFormat="1" ht="22" customHeight="1" spans="15:41">
      <c r="O110" s="704"/>
      <c r="W110" s="549"/>
      <c r="X110" s="274"/>
      <c r="Y110" s="132"/>
      <c r="Z110" s="132"/>
      <c r="AA110" s="276"/>
      <c r="AB110" s="219"/>
      <c r="AC110" s="132"/>
      <c r="AD110" s="549"/>
      <c r="AE110" s="231"/>
      <c r="AF110" s="132"/>
      <c r="AG110" s="132"/>
      <c r="AH110" s="271"/>
      <c r="AI110" s="549"/>
      <c r="AJ110" s="135" t="s">
        <v>404</v>
      </c>
      <c r="AK110" s="135">
        <v>20240007357</v>
      </c>
      <c r="AL110" s="135"/>
      <c r="AM110" s="135"/>
      <c r="AN110" s="135" t="s">
        <v>405</v>
      </c>
      <c r="AO110" s="15">
        <v>690000</v>
      </c>
    </row>
    <row r="111" s="15" customFormat="1" ht="22" customHeight="1" spans="15:41">
      <c r="O111" s="704"/>
      <c r="W111" s="549"/>
      <c r="X111" s="274"/>
      <c r="Y111" s="132"/>
      <c r="Z111" s="132"/>
      <c r="AA111" s="276"/>
      <c r="AB111" s="219"/>
      <c r="AC111" s="132"/>
      <c r="AD111" s="549"/>
      <c r="AE111" s="231"/>
      <c r="AF111" s="132"/>
      <c r="AG111" s="132"/>
      <c r="AH111" s="271"/>
      <c r="AI111" s="549"/>
      <c r="AJ111" s="135" t="s">
        <v>406</v>
      </c>
      <c r="AK111" s="135">
        <v>20240002528</v>
      </c>
      <c r="AL111" s="135"/>
      <c r="AM111" s="135"/>
      <c r="AN111" s="135" t="s">
        <v>407</v>
      </c>
      <c r="AO111" s="15">
        <v>705000</v>
      </c>
    </row>
    <row r="112" s="15" customFormat="1" ht="22" customHeight="1" spans="15:41">
      <c r="O112" s="704"/>
      <c r="W112" s="549"/>
      <c r="X112" s="274"/>
      <c r="Y112" s="132"/>
      <c r="Z112" s="132"/>
      <c r="AA112" s="276"/>
      <c r="AB112" s="219"/>
      <c r="AC112" s="132"/>
      <c r="AD112" s="549"/>
      <c r="AE112" s="231"/>
      <c r="AF112" s="132"/>
      <c r="AG112" s="132"/>
      <c r="AH112" s="271"/>
      <c r="AI112" s="549"/>
      <c r="AJ112" s="135" t="s">
        <v>386</v>
      </c>
      <c r="AK112" s="135">
        <v>20240007531</v>
      </c>
      <c r="AL112" s="135"/>
      <c r="AM112" s="834" t="s">
        <v>408</v>
      </c>
      <c r="AN112" s="135" t="s">
        <v>409</v>
      </c>
      <c r="AO112" s="15">
        <v>670000</v>
      </c>
    </row>
    <row r="113" s="15" customFormat="1" ht="22" customHeight="1" spans="15:41">
      <c r="O113" s="704"/>
      <c r="W113" s="549"/>
      <c r="X113" s="274"/>
      <c r="Y113" s="132"/>
      <c r="Z113" s="132"/>
      <c r="AA113" s="276"/>
      <c r="AB113" s="219"/>
      <c r="AC113" s="132"/>
      <c r="AD113" s="549"/>
      <c r="AE113" s="231"/>
      <c r="AF113" s="132"/>
      <c r="AG113" s="132"/>
      <c r="AH113" s="271"/>
      <c r="AI113" s="549"/>
      <c r="AJ113" s="135" t="s">
        <v>404</v>
      </c>
      <c r="AK113" s="135">
        <v>20240007355</v>
      </c>
      <c r="AL113" s="135"/>
      <c r="AM113" s="834" t="s">
        <v>410</v>
      </c>
      <c r="AN113" s="135" t="s">
        <v>411</v>
      </c>
      <c r="AO113" s="15">
        <v>665000</v>
      </c>
    </row>
    <row r="114" s="15" customFormat="1" ht="22" customHeight="1" spans="15:41">
      <c r="O114" s="704"/>
      <c r="W114" s="549"/>
      <c r="X114" s="274"/>
      <c r="Y114" s="132"/>
      <c r="Z114" s="132"/>
      <c r="AA114" s="276"/>
      <c r="AB114" s="219"/>
      <c r="AC114" s="132"/>
      <c r="AD114" s="549"/>
      <c r="AE114" s="231"/>
      <c r="AF114" s="132"/>
      <c r="AG114" s="132"/>
      <c r="AH114" s="271"/>
      <c r="AI114" s="549"/>
      <c r="AJ114" s="136" t="s">
        <v>412</v>
      </c>
      <c r="AK114" s="136">
        <v>20240007336</v>
      </c>
      <c r="AL114" s="136"/>
      <c r="AM114" s="835" t="s">
        <v>413</v>
      </c>
      <c r="AN114" s="136" t="s">
        <v>414</v>
      </c>
      <c r="AO114" s="136">
        <v>775000</v>
      </c>
    </row>
    <row r="115" s="15" customFormat="1" ht="22" customHeight="1" spans="15:41">
      <c r="O115" s="704"/>
      <c r="W115" s="549"/>
      <c r="X115" s="274"/>
      <c r="Y115" s="132"/>
      <c r="Z115" s="132"/>
      <c r="AA115" s="276"/>
      <c r="AB115" s="219"/>
      <c r="AC115" s="132"/>
      <c r="AD115" s="549"/>
      <c r="AE115" s="231"/>
      <c r="AF115" s="132"/>
      <c r="AG115" s="132"/>
      <c r="AH115" s="271"/>
      <c r="AI115" s="549"/>
      <c r="AJ115" s="136" t="s">
        <v>177</v>
      </c>
      <c r="AK115" s="136">
        <v>20240007458</v>
      </c>
      <c r="AL115" s="136"/>
      <c r="AM115" s="835" t="s">
        <v>415</v>
      </c>
      <c r="AN115" s="136" t="s">
        <v>416</v>
      </c>
      <c r="AO115" s="136">
        <v>980000</v>
      </c>
    </row>
    <row r="116" s="15" customFormat="1" ht="22" customHeight="1" spans="15:41">
      <c r="O116" s="704"/>
      <c r="W116" s="549"/>
      <c r="X116" s="274"/>
      <c r="Y116" s="132"/>
      <c r="Z116" s="132"/>
      <c r="AA116" s="276"/>
      <c r="AB116" s="219"/>
      <c r="AC116" s="132"/>
      <c r="AD116" s="549"/>
      <c r="AE116" s="231"/>
      <c r="AF116" s="132"/>
      <c r="AG116" s="132"/>
      <c r="AH116" s="271"/>
      <c r="AI116" s="549"/>
      <c r="AJ116" s="806" t="s">
        <v>386</v>
      </c>
      <c r="AK116" s="806">
        <v>20240007524</v>
      </c>
      <c r="AL116" s="806"/>
      <c r="AM116" s="807"/>
      <c r="AN116" s="806" t="s">
        <v>417</v>
      </c>
      <c r="AO116" s="15">
        <v>1581125</v>
      </c>
    </row>
    <row r="117" s="15" customFormat="1" ht="22" customHeight="1" spans="15:41">
      <c r="O117" s="704"/>
      <c r="W117" s="549"/>
      <c r="X117" s="274"/>
      <c r="Y117" s="132"/>
      <c r="Z117" s="132"/>
      <c r="AA117" s="276"/>
      <c r="AB117" s="219"/>
      <c r="AC117" s="132"/>
      <c r="AD117" s="549"/>
      <c r="AE117" s="231"/>
      <c r="AF117" s="132"/>
      <c r="AG117" s="132"/>
      <c r="AH117" s="271"/>
      <c r="AI117" s="549"/>
      <c r="AJ117" s="806" t="s">
        <v>418</v>
      </c>
      <c r="AK117" s="806">
        <v>20240007552</v>
      </c>
      <c r="AL117" s="806"/>
      <c r="AM117" s="807"/>
      <c r="AN117" s="806" t="s">
        <v>419</v>
      </c>
      <c r="AO117" s="15">
        <v>786882</v>
      </c>
    </row>
    <row r="118" s="15" customFormat="1" ht="22" customHeight="1" spans="15:41">
      <c r="O118" s="704"/>
      <c r="W118" s="549"/>
      <c r="X118" s="274"/>
      <c r="Y118" s="132"/>
      <c r="Z118" s="132"/>
      <c r="AA118" s="276"/>
      <c r="AB118" s="219"/>
      <c r="AC118" s="132"/>
      <c r="AD118" s="549"/>
      <c r="AE118" s="231"/>
      <c r="AF118" s="132"/>
      <c r="AG118" s="132"/>
      <c r="AH118" s="271"/>
      <c r="AI118" s="549"/>
      <c r="AJ118" s="806" t="s">
        <v>420</v>
      </c>
      <c r="AK118" s="806">
        <v>20240007416</v>
      </c>
      <c r="AL118" s="806"/>
      <c r="AM118" s="807"/>
      <c r="AN118" s="806" t="s">
        <v>419</v>
      </c>
      <c r="AO118" s="15">
        <v>791257</v>
      </c>
    </row>
    <row r="119" s="15" customFormat="1" ht="22" customHeight="1" spans="15:41">
      <c r="O119" s="704"/>
      <c r="W119" s="549"/>
      <c r="X119" s="274"/>
      <c r="Y119" s="132"/>
      <c r="Z119" s="132"/>
      <c r="AA119" s="276"/>
      <c r="AB119" s="219"/>
      <c r="AC119" s="132"/>
      <c r="AD119" s="549"/>
      <c r="AE119" s="231"/>
      <c r="AF119" s="132"/>
      <c r="AG119" s="132"/>
      <c r="AH119" s="271"/>
      <c r="AI119" s="549"/>
      <c r="AJ119" s="806" t="s">
        <v>420</v>
      </c>
      <c r="AK119" s="806">
        <v>20240007420</v>
      </c>
      <c r="AL119" s="806"/>
      <c r="AM119" s="806"/>
      <c r="AN119" s="808" t="s">
        <v>419</v>
      </c>
      <c r="AO119" s="15">
        <v>795632</v>
      </c>
    </row>
    <row r="120" s="15" customFormat="1" ht="22" customHeight="1" spans="15:40">
      <c r="O120" s="704"/>
      <c r="W120" s="549"/>
      <c r="X120" s="274"/>
      <c r="Y120" s="132"/>
      <c r="Z120" s="132"/>
      <c r="AA120" s="276"/>
      <c r="AB120" s="219"/>
      <c r="AC120" s="132"/>
      <c r="AD120" s="549"/>
      <c r="AE120" s="231"/>
      <c r="AF120" s="132"/>
      <c r="AG120" s="132"/>
      <c r="AH120" s="271"/>
      <c r="AI120" s="549"/>
      <c r="AJ120" s="806"/>
      <c r="AK120" s="806"/>
      <c r="AL120" s="806"/>
      <c r="AM120" s="806"/>
      <c r="AN120" s="808"/>
    </row>
    <row r="121" s="15" customFormat="1" ht="22" customHeight="1" spans="15:35">
      <c r="O121" s="704"/>
      <c r="W121" s="549"/>
      <c r="X121" s="274"/>
      <c r="Y121" s="132"/>
      <c r="Z121" s="132"/>
      <c r="AA121" s="132"/>
      <c r="AB121" s="132"/>
      <c r="AC121" s="132"/>
      <c r="AD121" s="549"/>
      <c r="AE121" s="805"/>
      <c r="AF121" s="205"/>
      <c r="AG121" s="132"/>
      <c r="AH121" s="132"/>
      <c r="AI121" s="549"/>
    </row>
    <row r="122" s="15" customFormat="1" ht="22" customHeight="1" spans="15:41">
      <c r="O122" s="704"/>
      <c r="W122" s="549"/>
      <c r="X122" s="274"/>
      <c r="Y122" s="132"/>
      <c r="Z122" s="132"/>
      <c r="AA122" s="132"/>
      <c r="AB122" s="132"/>
      <c r="AC122" s="132"/>
      <c r="AD122" s="549"/>
      <c r="AE122" s="805"/>
      <c r="AF122" s="205"/>
      <c r="AG122" s="132"/>
      <c r="AH122" s="132"/>
      <c r="AI122" s="549"/>
      <c r="AO122" s="809">
        <f>SUM(AO24:AO121)</f>
        <v>83448680</v>
      </c>
    </row>
    <row r="123" s="15" customFormat="1" ht="22" customHeight="1" spans="15:35">
      <c r="O123" s="704"/>
      <c r="W123" s="549"/>
      <c r="X123" s="274"/>
      <c r="Y123" s="132"/>
      <c r="Z123" s="132"/>
      <c r="AA123" s="132"/>
      <c r="AB123" s="132"/>
      <c r="AC123" s="132"/>
      <c r="AD123" s="549"/>
      <c r="AE123" s="204"/>
      <c r="AF123" s="205"/>
      <c r="AG123" s="132"/>
      <c r="AH123" s="132"/>
      <c r="AI123" s="549"/>
    </row>
    <row r="124" s="15" customFormat="1" ht="22" customHeight="1" spans="15:35">
      <c r="O124" s="704"/>
      <c r="W124" s="549"/>
      <c r="X124" s="274"/>
      <c r="Y124" s="132"/>
      <c r="Z124" s="132"/>
      <c r="AA124" s="132"/>
      <c r="AB124" s="132"/>
      <c r="AC124" s="132"/>
      <c r="AD124" s="549"/>
      <c r="AE124" s="204"/>
      <c r="AF124" s="205"/>
      <c r="AG124" s="132"/>
      <c r="AH124" s="132"/>
      <c r="AI124" s="549"/>
    </row>
    <row r="125" s="15" customFormat="1" ht="22" customHeight="1" spans="15:35">
      <c r="O125" s="704"/>
      <c r="W125" s="549"/>
      <c r="X125" s="274"/>
      <c r="Y125" s="132"/>
      <c r="Z125" s="132"/>
      <c r="AA125" s="132"/>
      <c r="AB125" s="132"/>
      <c r="AC125" s="132"/>
      <c r="AD125" s="549"/>
      <c r="AE125" s="805"/>
      <c r="AF125" s="205"/>
      <c r="AG125" s="132"/>
      <c r="AH125" s="132"/>
      <c r="AI125" s="549"/>
    </row>
    <row r="126" s="15" customFormat="1" ht="22" customHeight="1" spans="15:35">
      <c r="O126" s="704"/>
      <c r="W126" s="549"/>
      <c r="X126" s="274"/>
      <c r="Y126" s="132"/>
      <c r="Z126" s="132"/>
      <c r="AA126" s="132"/>
      <c r="AB126" s="132"/>
      <c r="AC126" s="132"/>
      <c r="AD126" s="549"/>
      <c r="AE126" s="204"/>
      <c r="AF126" s="205"/>
      <c r="AG126" s="132"/>
      <c r="AH126" s="132"/>
      <c r="AI126" s="549"/>
    </row>
    <row r="127" s="15" customFormat="1" ht="22" customHeight="1" spans="15:35">
      <c r="O127" s="704"/>
      <c r="W127" s="549"/>
      <c r="X127" s="274"/>
      <c r="Y127" s="132"/>
      <c r="Z127" s="132"/>
      <c r="AA127" s="132"/>
      <c r="AB127" s="219"/>
      <c r="AC127" s="132"/>
      <c r="AD127" s="549"/>
      <c r="AE127" s="805"/>
      <c r="AF127" s="205"/>
      <c r="AG127" s="132"/>
      <c r="AH127" s="132"/>
      <c r="AI127" s="549"/>
    </row>
    <row r="128" s="15" customFormat="1" ht="22" customHeight="1" spans="15:35">
      <c r="O128" s="704"/>
      <c r="W128" s="549"/>
      <c r="X128" s="274"/>
      <c r="Y128" s="132"/>
      <c r="Z128" s="132"/>
      <c r="AA128" s="132"/>
      <c r="AB128" s="132"/>
      <c r="AC128" s="132"/>
      <c r="AD128" s="549"/>
      <c r="AE128" s="805"/>
      <c r="AF128" s="205"/>
      <c r="AG128" s="132"/>
      <c r="AH128" s="132"/>
      <c r="AI128" s="549"/>
    </row>
    <row r="129" s="15" customFormat="1" ht="22" customHeight="1" spans="15:35">
      <c r="O129" s="704"/>
      <c r="W129" s="549"/>
      <c r="X129" s="274"/>
      <c r="Y129" s="132"/>
      <c r="Z129" s="132"/>
      <c r="AA129" s="132"/>
      <c r="AB129" s="132"/>
      <c r="AC129" s="132"/>
      <c r="AD129" s="549"/>
      <c r="AE129" s="204"/>
      <c r="AF129" s="205"/>
      <c r="AG129" s="132"/>
      <c r="AH129" s="132"/>
      <c r="AI129" s="549"/>
    </row>
    <row r="130" s="15" customFormat="1" ht="22" customHeight="1" spans="15:35">
      <c r="O130" s="704"/>
      <c r="W130" s="549"/>
      <c r="X130" s="549"/>
      <c r="Y130" s="549"/>
      <c r="Z130" s="549"/>
      <c r="AA130" s="549"/>
      <c r="AB130" s="549"/>
      <c r="AC130" s="549"/>
      <c r="AD130" s="549"/>
      <c r="AE130" s="549"/>
      <c r="AF130" s="549"/>
      <c r="AG130" s="549"/>
      <c r="AH130" s="549"/>
      <c r="AI130" s="549"/>
    </row>
    <row r="131" s="15" customFormat="1" ht="22" customHeight="1" spans="15:15">
      <c r="O131" s="704"/>
    </row>
    <row r="132" s="15" customFormat="1" ht="22" customHeight="1" spans="15:15">
      <c r="O132" s="704"/>
    </row>
    <row r="133" s="15" customFormat="1" ht="22" customHeight="1" spans="15:15">
      <c r="O133" s="704"/>
    </row>
    <row r="134" s="15" customFormat="1" ht="22" customHeight="1" spans="15:15">
      <c r="O134" s="704"/>
    </row>
    <row r="135" s="15" customFormat="1" ht="22" customHeight="1" spans="15:15">
      <c r="O135" s="704"/>
    </row>
  </sheetData>
  <mergeCells count="84">
    <mergeCell ref="A1:X1"/>
    <mergeCell ref="L2:S2"/>
    <mergeCell ref="T2:V2"/>
    <mergeCell ref="AE6:AF6"/>
    <mergeCell ref="H13:I13"/>
    <mergeCell ref="H15:I15"/>
    <mergeCell ref="H16:I16"/>
    <mergeCell ref="H17:J17"/>
    <mergeCell ref="H18:I18"/>
    <mergeCell ref="B23:G23"/>
    <mergeCell ref="B24:C24"/>
    <mergeCell ref="D24:E24"/>
    <mergeCell ref="F24:G24"/>
    <mergeCell ref="H24:I24"/>
    <mergeCell ref="J24:K24"/>
    <mergeCell ref="M24:N24"/>
    <mergeCell ref="D25:E25"/>
    <mergeCell ref="F25:G25"/>
    <mergeCell ref="H25:I25"/>
    <mergeCell ref="J25:K25"/>
    <mergeCell ref="M25:N25"/>
    <mergeCell ref="H26:I26"/>
    <mergeCell ref="H27:I27"/>
    <mergeCell ref="D28:E28"/>
    <mergeCell ref="F28:G28"/>
    <mergeCell ref="H28:I28"/>
    <mergeCell ref="J28:K28"/>
    <mergeCell ref="M28:N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D35:E35"/>
    <mergeCell ref="D36:E36"/>
    <mergeCell ref="D37:E37"/>
    <mergeCell ref="D38:E38"/>
    <mergeCell ref="B39:C39"/>
    <mergeCell ref="D39:E39"/>
    <mergeCell ref="F39:G39"/>
    <mergeCell ref="H39:I39"/>
    <mergeCell ref="J39:K39"/>
    <mergeCell ref="M39:N39"/>
    <mergeCell ref="C40:L40"/>
    <mergeCell ref="M40:N40"/>
    <mergeCell ref="Z40:AA40"/>
    <mergeCell ref="B42:S42"/>
    <mergeCell ref="E43:F43"/>
    <mergeCell ref="M44:N44"/>
    <mergeCell ref="M45:N45"/>
    <mergeCell ref="T57:AI57"/>
    <mergeCell ref="A2:A3"/>
    <mergeCell ref="B2:B3"/>
    <mergeCell ref="B36:B37"/>
    <mergeCell ref="F16:F18"/>
    <mergeCell ref="J2:J3"/>
    <mergeCell ref="K2:K3"/>
    <mergeCell ref="P16:P17"/>
    <mergeCell ref="W2:W3"/>
    <mergeCell ref="B25:C26"/>
  </mergeCells>
  <conditionalFormatting sqref="U31">
    <cfRule type="expression" dxfId="0" priority="365" stopIfTrue="1">
      <formula>#REF!&lt;&gt;0</formula>
    </cfRule>
    <cfRule type="expression" dxfId="0" priority="366" stopIfTrue="1">
      <formula>#REF!&lt;&gt;0</formula>
    </cfRule>
  </conditionalFormatting>
  <conditionalFormatting sqref="U39">
    <cfRule type="expression" dxfId="0" priority="373" stopIfTrue="1">
      <formula>#REF!&lt;&gt;0</formula>
    </cfRule>
    <cfRule type="expression" dxfId="0" priority="374" stopIfTrue="1">
      <formula>#REF!&lt;&gt;0</formula>
    </cfRule>
  </conditionalFormatting>
  <conditionalFormatting sqref="U40">
    <cfRule type="expression" dxfId="0" priority="371" stopIfTrue="1">
      <formula>#REF!&lt;&gt;0</formula>
    </cfRule>
    <cfRule type="expression" dxfId="0" priority="372" stopIfTrue="1">
      <formula>#REF!&lt;&gt;0</formula>
    </cfRule>
  </conditionalFormatting>
  <conditionalFormatting sqref="U41">
    <cfRule type="expression" dxfId="0" priority="356" stopIfTrue="1">
      <formula>#REF!&lt;&gt;0</formula>
    </cfRule>
    <cfRule type="expression" dxfId="0" priority="357" stopIfTrue="1">
      <formula>#REF!&lt;&gt;0</formula>
    </cfRule>
  </conditionalFormatting>
  <conditionalFormatting sqref="AE80">
    <cfRule type="expression" dxfId="0" priority="39" stopIfTrue="1">
      <formula>AJ80&lt;&gt;0</formula>
    </cfRule>
  </conditionalFormatting>
  <conditionalFormatting sqref="AE81">
    <cfRule type="expression" dxfId="0" priority="34" stopIfTrue="1">
      <formula>AJ81&lt;&gt;0</formula>
    </cfRule>
    <cfRule type="expression" dxfId="0" priority="35" stopIfTrue="1">
      <formula>AJ81&lt;&gt;0</formula>
    </cfRule>
  </conditionalFormatting>
  <conditionalFormatting sqref="AE85">
    <cfRule type="expression" dxfId="0" priority="17" stopIfTrue="1">
      <formula>AJ24&lt;&gt;0</formula>
    </cfRule>
    <cfRule type="expression" dxfId="0" priority="18" stopIfTrue="1">
      <formula>AJ24&lt;&gt;0</formula>
    </cfRule>
    <cfRule type="expression" dxfId="0" priority="19" stopIfTrue="1">
      <formula>AJ24&lt;&gt;0</formula>
    </cfRule>
    <cfRule type="expression" dxfId="0" priority="20" stopIfTrue="1">
      <formula>AJ24&lt;&gt;0</formula>
    </cfRule>
  </conditionalFormatting>
  <conditionalFormatting sqref="AE86">
    <cfRule type="expression" dxfId="0" priority="38" stopIfTrue="1">
      <formula>AJ35&lt;&gt;0</formula>
    </cfRule>
    <cfRule type="expression" dxfId="0" priority="40" stopIfTrue="1">
      <formula>AJ35&lt;&gt;0</formula>
    </cfRule>
  </conditionalFormatting>
  <conditionalFormatting sqref="AE87">
    <cfRule type="expression" dxfId="0" priority="23" stopIfTrue="1">
      <formula>AJ57&lt;&gt;0</formula>
    </cfRule>
    <cfRule type="expression" dxfId="0" priority="24" stopIfTrue="1">
      <formula>AJ57&lt;&gt;0</formula>
    </cfRule>
  </conditionalFormatting>
  <conditionalFormatting sqref="AE88">
    <cfRule type="expression" dxfId="0" priority="64" stopIfTrue="1">
      <formula>AJ27&lt;&gt;0</formula>
    </cfRule>
    <cfRule type="expression" dxfId="0" priority="65" stopIfTrue="1">
      <formula>AJ27&lt;&gt;0</formula>
    </cfRule>
  </conditionalFormatting>
  <conditionalFormatting sqref="AE91">
    <cfRule type="expression" dxfId="0" priority="30" stopIfTrue="1">
      <formula>AJ29&lt;&gt;0</formula>
    </cfRule>
    <cfRule type="expression" dxfId="0" priority="31" stopIfTrue="1">
      <formula>AJ29&lt;&gt;0</formula>
    </cfRule>
  </conditionalFormatting>
  <conditionalFormatting sqref="AF91">
    <cfRule type="expression" dxfId="1" priority="50" stopIfTrue="1">
      <formula>$F91&lt;&gt;0</formula>
    </cfRule>
    <cfRule type="expression" dxfId="1" priority="51" stopIfTrue="1">
      <formula>$F91&lt;&gt;0</formula>
    </cfRule>
  </conditionalFormatting>
  <conditionalFormatting sqref="AE92">
    <cfRule type="expression" dxfId="0" priority="28" stopIfTrue="1">
      <formula>AJ8&lt;&gt;0</formula>
    </cfRule>
    <cfRule type="expression" dxfId="0" priority="29" stopIfTrue="1">
      <formula>AJ8&lt;&gt;0</formula>
    </cfRule>
  </conditionalFormatting>
  <conditionalFormatting sqref="AF92">
    <cfRule type="expression" dxfId="1" priority="48" stopIfTrue="1">
      <formula>$F92&lt;&gt;0</formula>
    </cfRule>
    <cfRule type="expression" dxfId="1" priority="49" stopIfTrue="1">
      <formula>$F92&lt;&gt;0</formula>
    </cfRule>
  </conditionalFormatting>
  <conditionalFormatting sqref="AE93">
    <cfRule type="expression" dxfId="0" priority="25" stopIfTrue="1">
      <formula>AJ14&lt;&gt;0</formula>
    </cfRule>
    <cfRule type="expression" dxfId="0" priority="26" stopIfTrue="1">
      <formula>AJ14&lt;&gt;0</formula>
    </cfRule>
  </conditionalFormatting>
  <conditionalFormatting sqref="AF94">
    <cfRule type="expression" dxfId="1" priority="60" stopIfTrue="1">
      <formula>$F94&lt;&gt;0</formula>
    </cfRule>
  </conditionalFormatting>
  <conditionalFormatting sqref="AF95">
    <cfRule type="expression" dxfId="1" priority="57" stopIfTrue="1">
      <formula>$F95&lt;&gt;0</formula>
    </cfRule>
  </conditionalFormatting>
  <conditionalFormatting sqref="AF96">
    <cfRule type="expression" dxfId="1" priority="56" stopIfTrue="1">
      <formula>$F96&lt;&gt;0</formula>
    </cfRule>
  </conditionalFormatting>
  <conditionalFormatting sqref="AF97">
    <cfRule type="expression" dxfId="1" priority="55" stopIfTrue="1">
      <formula>$F97&lt;&gt;0</formula>
    </cfRule>
  </conditionalFormatting>
  <conditionalFormatting sqref="AF98">
    <cfRule type="expression" dxfId="1" priority="53" stopIfTrue="1">
      <formula>$F98&lt;&gt;0</formula>
    </cfRule>
    <cfRule type="expression" dxfId="1" priority="54" stopIfTrue="1">
      <formula>$F98&lt;&gt;0</formula>
    </cfRule>
  </conditionalFormatting>
  <conditionalFormatting sqref="AE99">
    <cfRule type="expression" dxfId="0" priority="21" stopIfTrue="1">
      <formula>AJ65&lt;&gt;0</formula>
    </cfRule>
    <cfRule type="expression" dxfId="0" priority="22" stopIfTrue="1">
      <formula>AJ65&lt;&gt;0</formula>
    </cfRule>
  </conditionalFormatting>
  <conditionalFormatting sqref="AF99">
    <cfRule type="expression" dxfId="1" priority="52" stopIfTrue="1">
      <formula>#REF!&lt;&gt;0</formula>
    </cfRule>
  </conditionalFormatting>
  <conditionalFormatting sqref="AF122">
    <cfRule type="expression" dxfId="1" priority="5" stopIfTrue="1">
      <formula>$F122&lt;&gt;0</formula>
    </cfRule>
    <cfRule type="expression" dxfId="1" priority="6" stopIfTrue="1">
      <formula>$F122&lt;&gt;0</formula>
    </cfRule>
  </conditionalFormatting>
  <conditionalFormatting sqref="AF123">
    <cfRule type="expression" dxfId="1" priority="3" stopIfTrue="1">
      <formula>$F123&lt;&gt;0</formula>
    </cfRule>
    <cfRule type="expression" dxfId="1" priority="4" stopIfTrue="1">
      <formula>$F123&lt;&gt;0</formula>
    </cfRule>
  </conditionalFormatting>
  <conditionalFormatting sqref="AF124">
    <cfRule type="expression" dxfId="1" priority="9" stopIfTrue="1">
      <formula>$F124&lt;&gt;0</formula>
    </cfRule>
    <cfRule type="expression" dxfId="1" priority="10" stopIfTrue="1">
      <formula>$F124&lt;&gt;0</formula>
    </cfRule>
  </conditionalFormatting>
  <conditionalFormatting sqref="AF125">
    <cfRule type="expression" dxfId="1" priority="1" stopIfTrue="1">
      <formula>$F125&lt;&gt;0</formula>
    </cfRule>
    <cfRule type="expression" dxfId="1" priority="2" stopIfTrue="1">
      <formula>$F125&lt;&gt;0</formula>
    </cfRule>
  </conditionalFormatting>
  <conditionalFormatting sqref="U32:U33">
    <cfRule type="expression" dxfId="0" priority="363" stopIfTrue="1">
      <formula>#REF!&lt;&gt;0</formula>
    </cfRule>
    <cfRule type="expression" dxfId="0" priority="364" stopIfTrue="1">
      <formula>#REF!&lt;&gt;0</formula>
    </cfRule>
  </conditionalFormatting>
  <conditionalFormatting sqref="U42:U53">
    <cfRule type="expression" dxfId="0" priority="355" stopIfTrue="1">
      <formula>#REF!&lt;&gt;0</formula>
    </cfRule>
    <cfRule type="expression" dxfId="0" priority="358" stopIfTrue="1">
      <formula>#REF!&lt;&gt;0</formula>
    </cfRule>
  </conditionalFormatting>
  <conditionalFormatting sqref="V41:V53">
    <cfRule type="expression" dxfId="0" priority="347" stopIfTrue="1">
      <formula>#REF!&lt;&gt;0</formula>
    </cfRule>
    <cfRule type="expression" dxfId="0" priority="348" stopIfTrue="1">
      <formula>#REF!&lt;&gt;0</formula>
    </cfRule>
  </conditionalFormatting>
  <conditionalFormatting sqref="AE82:AE83">
    <cfRule type="expression" dxfId="0" priority="13" stopIfTrue="1">
      <formula>AJ41&lt;&gt;0</formula>
    </cfRule>
    <cfRule type="expression" dxfId="0" priority="14" stopIfTrue="1">
      <formula>AJ41&lt;&gt;0</formula>
    </cfRule>
    <cfRule type="expression" dxfId="0" priority="15" stopIfTrue="1">
      <formula>AJ82&lt;&gt;0</formula>
    </cfRule>
    <cfRule type="expression" dxfId="0" priority="16" stopIfTrue="1">
      <formula>AJ82&lt;&gt;0</formula>
    </cfRule>
    <cfRule type="expression" dxfId="0" priority="36" stopIfTrue="1">
      <formula>AJ82&lt;&gt;0</formula>
    </cfRule>
    <cfRule type="expression" dxfId="0" priority="37" stopIfTrue="1">
      <formula>AJ82&lt;&gt;0</formula>
    </cfRule>
  </conditionalFormatting>
  <conditionalFormatting sqref="AE84:AE85">
    <cfRule type="expression" dxfId="0" priority="32" stopIfTrue="1">
      <formula>AJ84&lt;&gt;0</formula>
    </cfRule>
    <cfRule type="expression" dxfId="0" priority="33" stopIfTrue="1">
      <formula>AJ84&lt;&gt;0</formula>
    </cfRule>
  </conditionalFormatting>
  <conditionalFormatting sqref="AE89:AE90">
    <cfRule type="expression" dxfId="0" priority="66" stopIfTrue="1">
      <formula>AJ64&lt;&gt;0</formula>
    </cfRule>
    <cfRule type="expression" dxfId="0" priority="67" stopIfTrue="1">
      <formula>AJ64&lt;&gt;0</formula>
    </cfRule>
  </conditionalFormatting>
  <conditionalFormatting sqref="AE94:AE98">
    <cfRule type="expression" dxfId="0" priority="27" stopIfTrue="1">
      <formula>AJ15&lt;&gt;0</formula>
    </cfRule>
    <cfRule type="expression" dxfId="0" priority="43" stopIfTrue="1">
      <formula>AJ15&lt;&gt;0</formula>
    </cfRule>
  </conditionalFormatting>
  <conditionalFormatting sqref="AE99:AE118">
    <cfRule type="expression" dxfId="0" priority="41" stopIfTrue="1">
      <formula>AJ28&lt;&gt;0</formula>
    </cfRule>
    <cfRule type="expression" dxfId="0" priority="42" stopIfTrue="1">
      <formula>AJ28&lt;&gt;0</formula>
    </cfRule>
  </conditionalFormatting>
  <conditionalFormatting sqref="AE100:AE120">
    <cfRule type="expression" dxfId="0" priority="44" stopIfTrue="1">
      <formula>#REF!&lt;&gt;0</formula>
    </cfRule>
    <cfRule type="expression" dxfId="0" priority="45" stopIfTrue="1">
      <formula>#REF!&lt;&gt;0</formula>
    </cfRule>
  </conditionalFormatting>
  <conditionalFormatting sqref="AE119:AE120">
    <cfRule type="expression" dxfId="0" priority="375" stopIfTrue="1">
      <formula>AJ38&lt;&gt;0</formula>
    </cfRule>
    <cfRule type="expression" dxfId="0" priority="376" stopIfTrue="1">
      <formula>AJ38&lt;&gt;0</formula>
    </cfRule>
  </conditionalFormatting>
  <conditionalFormatting sqref="AF87:AF88">
    <cfRule type="expression" dxfId="1" priority="46" stopIfTrue="1">
      <formula>$F87&lt;&gt;0</formula>
    </cfRule>
    <cfRule type="expression" dxfId="1" priority="47" stopIfTrue="1">
      <formula>$F87&lt;&gt;0</formula>
    </cfRule>
  </conditionalFormatting>
  <conditionalFormatting sqref="AF89:AF90">
    <cfRule type="expression" dxfId="1" priority="62" stopIfTrue="1">
      <formula>$F89&lt;&gt;0</formula>
    </cfRule>
    <cfRule type="expression" dxfId="1" priority="63" stopIfTrue="1">
      <formula>$F89&lt;&gt;0</formula>
    </cfRule>
  </conditionalFormatting>
  <conditionalFormatting sqref="AF93:AF94">
    <cfRule type="expression" dxfId="1" priority="61" stopIfTrue="1">
      <formula>$F93&lt;&gt;0</formula>
    </cfRule>
  </conditionalFormatting>
  <conditionalFormatting sqref="AF100:AF120">
    <cfRule type="expression" dxfId="1" priority="58" stopIfTrue="1">
      <formula>$F100&lt;&gt;0</formula>
    </cfRule>
    <cfRule type="expression" dxfId="1" priority="59" stopIfTrue="1">
      <formula>$F100&lt;&gt;0</formula>
    </cfRule>
  </conditionalFormatting>
  <conditionalFormatting sqref="AF128:AF129">
    <cfRule type="expression" dxfId="1" priority="7" stopIfTrue="1">
      <formula>$F128&lt;&gt;0</formula>
    </cfRule>
    <cfRule type="expression" dxfId="1" priority="8" stopIfTrue="1">
      <formula>$F128&lt;&gt;0</formula>
    </cfRule>
  </conditionalFormatting>
  <conditionalFormatting sqref="V31 V33">
    <cfRule type="expression" dxfId="0" priority="369" stopIfTrue="1">
      <formula>#REF!&lt;&gt;0</formula>
    </cfRule>
    <cfRule type="expression" dxfId="0" priority="370" stopIfTrue="1">
      <formula>#REF!&lt;&gt;0</formula>
    </cfRule>
  </conditionalFormatting>
  <conditionalFormatting sqref="V32 V39:V40">
    <cfRule type="expression" dxfId="0" priority="367" stopIfTrue="1">
      <formula>#REF!&lt;&gt;0</formula>
    </cfRule>
    <cfRule type="expression" dxfId="0" priority="368" stopIfTrue="1">
      <formula>#REF!&lt;&gt;0</formula>
    </cfRule>
  </conditionalFormatting>
  <conditionalFormatting sqref="AF126:AF127 AF121">
    <cfRule type="expression" dxfId="1" priority="11" stopIfTrue="1">
      <formula>$F121&lt;&gt;0</formula>
    </cfRule>
    <cfRule type="expression" dxfId="1" priority="12" stopIfTrue="1">
      <formula>$F121&lt;&gt;0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166"/>
  <sheetViews>
    <sheetView workbookViewId="0">
      <pane ySplit="3" topLeftCell="A108" activePane="bottomLeft" state="frozen"/>
      <selection/>
      <selection pane="bottomLeft" activeCell="G116" sqref="G116"/>
    </sheetView>
  </sheetViews>
  <sheetFormatPr defaultColWidth="9" defaultRowHeight="33" customHeight="1"/>
  <cols>
    <col min="1" max="1" width="5.55833333333333" style="172" customWidth="1"/>
    <col min="2" max="2" width="6.24166666666667" style="172" customWidth="1"/>
    <col min="3" max="3" width="12.625" style="172" customWidth="1"/>
    <col min="4" max="4" width="17.625" style="172" customWidth="1"/>
    <col min="5" max="5" width="14.75" style="172" customWidth="1"/>
    <col min="6" max="6" width="20.375" style="172" customWidth="1"/>
    <col min="7" max="7" width="25.875" style="172" customWidth="1"/>
    <col min="8" max="8" width="9.025" style="172" customWidth="1"/>
    <col min="9" max="9" width="10.25" style="172" customWidth="1"/>
    <col min="10" max="10" width="8.5" style="172" customWidth="1"/>
    <col min="11" max="11" width="9.025" style="172" customWidth="1"/>
    <col min="12" max="12" width="12.225" style="172" customWidth="1"/>
    <col min="13" max="13" width="11.375" style="172" customWidth="1"/>
    <col min="14" max="14" width="19.725" style="455" customWidth="1"/>
    <col min="15" max="15" width="16.5" style="358" customWidth="1"/>
    <col min="16" max="16" width="16.5" style="172" customWidth="1"/>
    <col min="17" max="17" width="18.25" style="172" customWidth="1"/>
    <col min="18" max="18" width="22" style="172" customWidth="1"/>
    <col min="19" max="19" width="17.35" style="172" customWidth="1"/>
    <col min="20" max="20" width="16.75" style="358" customWidth="1"/>
    <col min="21" max="21" width="13.375" style="172" customWidth="1"/>
    <col min="22" max="22" width="21.875" style="172" customWidth="1"/>
    <col min="23" max="23" width="15.1333333333333" style="172" customWidth="1"/>
    <col min="24" max="24" width="16.625" style="358" customWidth="1"/>
    <col min="25" max="25" width="17.5" style="172" customWidth="1"/>
    <col min="26" max="26" width="18.25" style="358" customWidth="1"/>
    <col min="27" max="27" width="15.625" style="172" customWidth="1"/>
    <col min="28" max="28" width="17" style="358" customWidth="1"/>
    <col min="29" max="29" width="15.25" style="172" customWidth="1"/>
    <col min="30" max="30" width="14.25" style="172" customWidth="1"/>
    <col min="31" max="37" width="13.75" style="172" customWidth="1"/>
    <col min="38" max="38" width="17.625" style="358" customWidth="1"/>
    <col min="39" max="39" width="10.4" style="172" customWidth="1"/>
    <col min="40" max="40" width="11.5" style="172" customWidth="1"/>
    <col min="41" max="41" width="18.625" style="513" customWidth="1"/>
    <col min="42" max="42" width="19.8" style="172" customWidth="1"/>
    <col min="43" max="43" width="13.2" style="172" customWidth="1"/>
    <col min="44" max="44" width="23.2" style="172" customWidth="1"/>
    <col min="45" max="45" width="8.7" style="172" customWidth="1"/>
    <col min="46" max="48" width="12.9" style="358" customWidth="1"/>
    <col min="49" max="49" width="11.625" style="358" customWidth="1"/>
    <col min="50" max="50" width="11.5" style="358" customWidth="1"/>
    <col min="51" max="51" width="12.875" style="358" customWidth="1"/>
    <col min="52" max="52" width="11.5" style="358" customWidth="1"/>
    <col min="53" max="54" width="14.375" style="358" customWidth="1"/>
    <col min="55" max="55" width="18" style="358" customWidth="1"/>
    <col min="56" max="56" width="10.375" style="514" customWidth="1"/>
    <col min="57" max="57" width="16.5" style="358" customWidth="1"/>
    <col min="58" max="59" width="15.375" style="358" customWidth="1"/>
    <col min="60" max="60" width="21.525" style="358" customWidth="1"/>
    <col min="61" max="61" width="15.1416666666667" style="358" customWidth="1"/>
    <col min="62" max="62" width="15.1333333333333" style="358" customWidth="1"/>
    <col min="63" max="74" width="16.8083333333333" style="358" customWidth="1"/>
    <col min="75" max="75" width="13.125" style="358" customWidth="1"/>
    <col min="76" max="76" width="21.5" style="172" customWidth="1"/>
    <col min="77" max="79" width="9" style="172" customWidth="1"/>
    <col min="80" max="80" width="10.4166666666667" style="172" customWidth="1"/>
    <col min="81" max="81" width="9.25" style="172" customWidth="1"/>
    <col min="82" max="83" width="9" style="172" customWidth="1"/>
    <col min="84" max="16384" width="9" style="172"/>
  </cols>
  <sheetData>
    <row r="1" s="512" customFormat="1" customHeight="1" spans="1:75">
      <c r="A1" s="512" t="s">
        <v>421</v>
      </c>
      <c r="N1" s="520"/>
      <c r="O1" s="521"/>
      <c r="T1" s="521"/>
      <c r="X1" s="521"/>
      <c r="Z1" s="521"/>
      <c r="AB1" s="521"/>
      <c r="AL1" s="521"/>
      <c r="AO1" s="522"/>
      <c r="AT1" s="521"/>
      <c r="AU1" s="521"/>
      <c r="AV1" s="521"/>
      <c r="AW1" s="521"/>
      <c r="AX1" s="521"/>
      <c r="AY1" s="521"/>
      <c r="AZ1" s="521"/>
      <c r="BA1" s="521"/>
      <c r="BB1" s="521"/>
      <c r="BC1" s="521"/>
      <c r="BD1" s="528"/>
      <c r="BE1" s="521"/>
      <c r="BF1" s="521"/>
      <c r="BG1" s="521"/>
      <c r="BH1" s="521"/>
      <c r="BI1" s="521"/>
      <c r="BJ1" s="521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521"/>
    </row>
    <row r="2" s="512" customFormat="1" ht="16" customHeight="1" spans="1:83">
      <c r="A2" s="512" t="s">
        <v>21</v>
      </c>
      <c r="B2" s="512" t="s">
        <v>422</v>
      </c>
      <c r="C2" s="515" t="s">
        <v>423</v>
      </c>
      <c r="D2" s="512" t="s">
        <v>424</v>
      </c>
      <c r="E2" s="512" t="s">
        <v>425</v>
      </c>
      <c r="F2" s="512" t="s">
        <v>426</v>
      </c>
      <c r="G2" s="512" t="s">
        <v>427</v>
      </c>
      <c r="H2" s="512" t="s">
        <v>22</v>
      </c>
      <c r="I2" s="512" t="s">
        <v>428</v>
      </c>
      <c r="J2" s="512" t="s">
        <v>429</v>
      </c>
      <c r="K2" s="515" t="s">
        <v>430</v>
      </c>
      <c r="L2" s="512" t="s">
        <v>431</v>
      </c>
      <c r="M2" s="512" t="s">
        <v>432</v>
      </c>
      <c r="N2" s="520" t="s">
        <v>433</v>
      </c>
      <c r="O2" s="521" t="s">
        <v>434</v>
      </c>
      <c r="P2" s="522" t="s">
        <v>435</v>
      </c>
      <c r="Q2" s="522" t="s">
        <v>436</v>
      </c>
      <c r="R2" s="522"/>
      <c r="S2" s="522"/>
      <c r="T2" s="523" t="s">
        <v>437</v>
      </c>
      <c r="U2" s="512" t="s">
        <v>438</v>
      </c>
      <c r="V2" s="512" t="s">
        <v>439</v>
      </c>
      <c r="W2" s="512" t="s">
        <v>440</v>
      </c>
      <c r="X2" s="521" t="s">
        <v>441</v>
      </c>
      <c r="Z2" s="521"/>
      <c r="AB2" s="521"/>
      <c r="AL2" s="521" t="s">
        <v>442</v>
      </c>
      <c r="AM2" s="515" t="s">
        <v>443</v>
      </c>
      <c r="AN2" s="512" t="s">
        <v>444</v>
      </c>
      <c r="AO2" s="522" t="s">
        <v>42</v>
      </c>
      <c r="AP2" s="512" t="s">
        <v>445</v>
      </c>
      <c r="AQ2" s="512" t="s">
        <v>30</v>
      </c>
      <c r="AT2" s="526" t="s">
        <v>446</v>
      </c>
      <c r="AU2" s="527" t="s">
        <v>447</v>
      </c>
      <c r="AV2" s="527" t="s">
        <v>448</v>
      </c>
      <c r="AW2" s="527" t="s">
        <v>449</v>
      </c>
      <c r="AX2" s="527" t="s">
        <v>450</v>
      </c>
      <c r="AY2" s="527" t="s">
        <v>451</v>
      </c>
      <c r="AZ2" s="527" t="s">
        <v>452</v>
      </c>
      <c r="BA2" s="527" t="s">
        <v>453</v>
      </c>
      <c r="BB2" s="527" t="s">
        <v>454</v>
      </c>
      <c r="BC2" s="529" t="s">
        <v>455</v>
      </c>
      <c r="BD2" s="530" t="s">
        <v>456</v>
      </c>
      <c r="BE2" s="531" t="s">
        <v>457</v>
      </c>
      <c r="BF2" s="531" t="s">
        <v>458</v>
      </c>
      <c r="BG2" s="531" t="s">
        <v>459</v>
      </c>
      <c r="BH2" s="531" t="s">
        <v>460</v>
      </c>
      <c r="BI2" s="531" t="s">
        <v>461</v>
      </c>
      <c r="BJ2" s="531" t="s">
        <v>462</v>
      </c>
      <c r="BK2" s="531" t="s">
        <v>463</v>
      </c>
      <c r="BL2" s="531" t="s">
        <v>464</v>
      </c>
      <c r="BM2" s="531" t="s">
        <v>465</v>
      </c>
      <c r="BN2" s="531" t="s">
        <v>466</v>
      </c>
      <c r="BO2" s="531" t="s">
        <v>467</v>
      </c>
      <c r="BP2" s="531" t="s">
        <v>468</v>
      </c>
      <c r="BQ2" s="531" t="s">
        <v>469</v>
      </c>
      <c r="BR2" s="531" t="s">
        <v>470</v>
      </c>
      <c r="BS2" s="531" t="s">
        <v>471</v>
      </c>
      <c r="BT2" s="531" t="s">
        <v>472</v>
      </c>
      <c r="BU2" s="531" t="s">
        <v>473</v>
      </c>
      <c r="BV2" s="531" t="s">
        <v>474</v>
      </c>
      <c r="BW2" s="531"/>
      <c r="BX2" s="512" t="s">
        <v>475</v>
      </c>
      <c r="BZ2" s="133" t="s">
        <v>149</v>
      </c>
      <c r="CA2" s="133" t="s">
        <v>476</v>
      </c>
      <c r="CB2" s="140"/>
      <c r="CC2" s="410" t="s">
        <v>477</v>
      </c>
      <c r="CD2" s="410"/>
      <c r="CE2" s="410"/>
    </row>
    <row r="3" s="512" customFormat="1" ht="20" customHeight="1" spans="3:83">
      <c r="C3" s="515"/>
      <c r="N3" s="520"/>
      <c r="O3" s="521"/>
      <c r="P3" s="522"/>
      <c r="Q3" s="522" t="s">
        <v>478</v>
      </c>
      <c r="R3" s="522" t="s">
        <v>479</v>
      </c>
      <c r="S3" s="522"/>
      <c r="T3" s="521"/>
      <c r="X3" s="521" t="s">
        <v>480</v>
      </c>
      <c r="Y3" s="512" t="s">
        <v>481</v>
      </c>
      <c r="Z3" s="521" t="s">
        <v>482</v>
      </c>
      <c r="AA3" s="525" t="s">
        <v>481</v>
      </c>
      <c r="AB3" s="521" t="s">
        <v>483</v>
      </c>
      <c r="AC3" s="525" t="s">
        <v>481</v>
      </c>
      <c r="AD3" s="512" t="s">
        <v>484</v>
      </c>
      <c r="AE3" s="512" t="s">
        <v>481</v>
      </c>
      <c r="AF3" s="512" t="s">
        <v>485</v>
      </c>
      <c r="AG3" s="512" t="s">
        <v>481</v>
      </c>
      <c r="AH3" s="512" t="s">
        <v>486</v>
      </c>
      <c r="AI3" s="512" t="s">
        <v>481</v>
      </c>
      <c r="AJ3" s="512" t="s">
        <v>487</v>
      </c>
      <c r="AK3" s="512" t="s">
        <v>481</v>
      </c>
      <c r="AL3" s="521"/>
      <c r="AO3" s="522"/>
      <c r="AQ3" s="512" t="s">
        <v>488</v>
      </c>
      <c r="AR3" s="512" t="s">
        <v>489</v>
      </c>
      <c r="AS3" s="512" t="s">
        <v>490</v>
      </c>
      <c r="AT3" s="526"/>
      <c r="AU3" s="527"/>
      <c r="AV3" s="527"/>
      <c r="AW3" s="527"/>
      <c r="AX3" s="527"/>
      <c r="AY3" s="527"/>
      <c r="AZ3" s="527"/>
      <c r="BA3" s="527"/>
      <c r="BB3" s="527"/>
      <c r="BC3" s="529"/>
      <c r="BD3" s="530"/>
      <c r="BE3" s="531"/>
      <c r="BF3" s="531"/>
      <c r="BG3" s="531"/>
      <c r="BH3" s="531"/>
      <c r="BI3" s="531"/>
      <c r="BJ3" s="531"/>
      <c r="BK3" s="531"/>
      <c r="BL3" s="531"/>
      <c r="BM3" s="531"/>
      <c r="BN3" s="531"/>
      <c r="BO3" s="531"/>
      <c r="BP3" s="531"/>
      <c r="BQ3" s="531"/>
      <c r="BR3" s="531"/>
      <c r="BS3" s="531"/>
      <c r="BT3" s="531"/>
      <c r="BU3" s="531"/>
      <c r="BV3" s="531"/>
      <c r="BW3" s="531"/>
      <c r="CA3" s="133"/>
      <c r="CB3" s="515"/>
      <c r="CC3" s="410"/>
      <c r="CD3" s="410"/>
      <c r="CE3" s="410"/>
    </row>
    <row r="4" s="323" customFormat="1" customHeight="1" spans="1:78">
      <c r="A4" s="323">
        <v>1</v>
      </c>
      <c r="B4" s="323"/>
      <c r="C4" s="323" t="s">
        <v>88</v>
      </c>
      <c r="D4" s="323">
        <v>20240005549</v>
      </c>
      <c r="F4" s="338" t="s">
        <v>89</v>
      </c>
      <c r="G4" s="337" t="s">
        <v>90</v>
      </c>
      <c r="H4" s="323" t="s">
        <v>491</v>
      </c>
      <c r="I4" s="338" t="s">
        <v>492</v>
      </c>
      <c r="J4" s="338" t="s">
        <v>493</v>
      </c>
      <c r="K4" s="323">
        <v>68.42</v>
      </c>
      <c r="L4" s="323">
        <v>68.42</v>
      </c>
      <c r="M4" s="323">
        <v>20868.5</v>
      </c>
      <c r="N4" s="392">
        <v>1427823</v>
      </c>
      <c r="O4" s="327">
        <v>22746.96</v>
      </c>
      <c r="P4" s="323"/>
      <c r="Q4" s="323">
        <v>1309929.36</v>
      </c>
      <c r="R4" s="833" t="s">
        <v>494</v>
      </c>
      <c r="S4" s="323" t="s">
        <v>105</v>
      </c>
      <c r="T4" s="327"/>
      <c r="U4" s="379"/>
      <c r="V4" s="379"/>
      <c r="W4" s="379" t="s">
        <v>495</v>
      </c>
      <c r="X4" s="327">
        <v>10000</v>
      </c>
      <c r="Y4" s="379">
        <v>45561</v>
      </c>
      <c r="Z4" s="327">
        <f>1060000+57823</f>
        <v>1117823</v>
      </c>
      <c r="AA4" s="379" t="s">
        <v>88</v>
      </c>
      <c r="AB4" s="327">
        <v>300000</v>
      </c>
      <c r="AC4" s="379" t="s">
        <v>105</v>
      </c>
      <c r="AL4" s="327">
        <f>X4+Z4+AB4+AD4+AF4+AH4+AJ4</f>
        <v>1427823</v>
      </c>
      <c r="AO4" s="390">
        <f t="shared" ref="AO4:AO9" si="0">N4-AL4</f>
        <v>0</v>
      </c>
      <c r="AP4" s="323">
        <v>13579043254</v>
      </c>
      <c r="AT4" s="398">
        <f>AU4+AV4+AW4+AX4+AY4+AZ4+BA4+BB4</f>
        <v>400</v>
      </c>
      <c r="AU4" s="398">
        <f>200</f>
        <v>200</v>
      </c>
      <c r="AV4" s="327">
        <v>200</v>
      </c>
      <c r="AW4" s="327"/>
      <c r="AX4" s="327"/>
      <c r="AY4" s="327"/>
      <c r="AZ4" s="327"/>
      <c r="BA4" s="327"/>
      <c r="BB4" s="327"/>
      <c r="BC4" s="327">
        <f>SUM(BE4:BW4)</f>
        <v>1427823</v>
      </c>
      <c r="BD4" s="478">
        <f>1%+0.18%+0.2%</f>
        <v>0.0138</v>
      </c>
      <c r="BE4" s="327"/>
      <c r="BF4" s="327"/>
      <c r="BG4" s="327"/>
      <c r="BH4" s="327"/>
      <c r="BI4" s="327"/>
      <c r="BJ4" s="327"/>
      <c r="BK4" s="327"/>
      <c r="BL4" s="327"/>
      <c r="BM4" s="327"/>
      <c r="BN4" s="327"/>
      <c r="BO4" s="327"/>
      <c r="BP4" s="327"/>
      <c r="BQ4" s="327"/>
      <c r="BR4" s="327"/>
      <c r="BS4" s="327"/>
      <c r="BT4" s="327"/>
      <c r="BU4" s="327">
        <v>1427823</v>
      </c>
      <c r="BV4" s="327"/>
      <c r="BW4" s="327"/>
      <c r="BX4" s="323"/>
      <c r="BZ4" s="323" t="s">
        <v>496</v>
      </c>
    </row>
    <row r="5" s="323" customFormat="1" customHeight="1" spans="1:79">
      <c r="A5" s="172">
        <v>2</v>
      </c>
      <c r="C5" s="380">
        <v>45401</v>
      </c>
      <c r="D5" s="323">
        <v>20240002187</v>
      </c>
      <c r="E5" s="833" t="s">
        <v>497</v>
      </c>
      <c r="F5" s="338" t="s">
        <v>498</v>
      </c>
      <c r="G5" s="337" t="s">
        <v>499</v>
      </c>
      <c r="I5" s="338" t="s">
        <v>492</v>
      </c>
      <c r="J5" s="338" t="s">
        <v>500</v>
      </c>
      <c r="K5" s="323">
        <v>68.42</v>
      </c>
      <c r="L5" s="323">
        <v>68.42</v>
      </c>
      <c r="M5" s="323">
        <v>22700</v>
      </c>
      <c r="N5" s="392">
        <v>1553134</v>
      </c>
      <c r="O5" s="327">
        <v>22651.12</v>
      </c>
      <c r="Q5" s="323">
        <v>1424893.58</v>
      </c>
      <c r="R5" s="833" t="s">
        <v>501</v>
      </c>
      <c r="S5" s="323" t="s">
        <v>379</v>
      </c>
      <c r="T5" s="327"/>
      <c r="U5" s="380"/>
      <c r="V5" s="379"/>
      <c r="W5" s="379" t="s">
        <v>502</v>
      </c>
      <c r="X5" s="327">
        <v>100000</v>
      </c>
      <c r="Y5" s="380" t="s">
        <v>503</v>
      </c>
      <c r="Z5" s="327">
        <v>683134</v>
      </c>
      <c r="AA5" s="365" t="s">
        <v>504</v>
      </c>
      <c r="AB5" s="327">
        <v>770000</v>
      </c>
      <c r="AC5" s="380" t="s">
        <v>505</v>
      </c>
      <c r="AL5" s="327">
        <f>X5+Z5+AB5+AD5+AF5+AH5+AJ5</f>
        <v>1553134</v>
      </c>
      <c r="AO5" s="390">
        <f t="shared" si="0"/>
        <v>0</v>
      </c>
      <c r="AP5" s="323">
        <v>18609962209</v>
      </c>
      <c r="AT5" s="398">
        <f t="shared" ref="AT5:AT36" si="1">AU5+AV5+AW5+AX5+AY5+AZ5+BA5+BB5</f>
        <v>400</v>
      </c>
      <c r="AU5" s="398">
        <f>200</f>
        <v>200</v>
      </c>
      <c r="AV5" s="327"/>
      <c r="AW5" s="327"/>
      <c r="AX5" s="327">
        <v>200</v>
      </c>
      <c r="AY5" s="327"/>
      <c r="AZ5" s="327"/>
      <c r="BA5" s="327"/>
      <c r="BB5" s="327"/>
      <c r="BC5" s="327">
        <f t="shared" ref="BC5:BC36" si="2">SUM(BE5:BW5)</f>
        <v>1553134</v>
      </c>
      <c r="BD5" s="479">
        <f>1%+0.2%</f>
        <v>0.012</v>
      </c>
      <c r="BE5" s="327"/>
      <c r="BF5" s="327"/>
      <c r="BG5" s="327"/>
      <c r="BH5" s="327"/>
      <c r="BI5" s="327"/>
      <c r="BJ5" s="327"/>
      <c r="BK5" s="327"/>
      <c r="BL5" s="327"/>
      <c r="BM5" s="327"/>
      <c r="BN5" s="327"/>
      <c r="BO5" s="327">
        <v>1553134</v>
      </c>
      <c r="BP5" s="327"/>
      <c r="BQ5" s="327"/>
      <c r="BR5" s="327"/>
      <c r="BS5" s="327"/>
      <c r="BT5" s="327"/>
      <c r="BU5" s="327"/>
      <c r="BV5" s="327"/>
      <c r="BW5" s="327"/>
      <c r="BZ5" s="323" t="s">
        <v>496</v>
      </c>
      <c r="CA5" s="323" t="s">
        <v>506</v>
      </c>
    </row>
    <row r="6" s="323" customFormat="1" customHeight="1" spans="1:78">
      <c r="A6" s="323">
        <v>3</v>
      </c>
      <c r="B6" s="323"/>
      <c r="C6" s="323" t="s">
        <v>88</v>
      </c>
      <c r="D6" s="323">
        <v>20240005511</v>
      </c>
      <c r="E6" s="833" t="s">
        <v>94</v>
      </c>
      <c r="F6" s="338" t="s">
        <v>95</v>
      </c>
      <c r="G6" s="323" t="s">
        <v>96</v>
      </c>
      <c r="I6" s="338" t="s">
        <v>492</v>
      </c>
      <c r="J6" s="338" t="s">
        <v>507</v>
      </c>
      <c r="K6" s="323">
        <v>116.65</v>
      </c>
      <c r="L6" s="323">
        <v>116.65</v>
      </c>
      <c r="M6" s="323">
        <v>21945.99</v>
      </c>
      <c r="N6" s="392">
        <v>2560000</v>
      </c>
      <c r="O6" s="327">
        <v>21618</v>
      </c>
      <c r="P6" s="323"/>
      <c r="T6" s="327"/>
      <c r="U6" s="380"/>
      <c r="W6" s="380" t="s">
        <v>508</v>
      </c>
      <c r="X6" s="327">
        <v>50000</v>
      </c>
      <c r="Y6" s="380">
        <v>45539</v>
      </c>
      <c r="Z6" s="327">
        <v>800000</v>
      </c>
      <c r="AA6" s="380">
        <v>45563</v>
      </c>
      <c r="AB6" s="327">
        <v>1710000</v>
      </c>
      <c r="AC6" s="380" t="s">
        <v>509</v>
      </c>
      <c r="AL6" s="327">
        <f>X6+Z6+AB6+AD6+AF6+AH6+AJ6</f>
        <v>2560000</v>
      </c>
      <c r="AO6" s="390">
        <f t="shared" si="0"/>
        <v>0</v>
      </c>
      <c r="AP6" s="323">
        <v>13899099509</v>
      </c>
      <c r="AT6" s="398">
        <f t="shared" si="1"/>
        <v>0</v>
      </c>
      <c r="AU6" s="337"/>
      <c r="BC6" s="327">
        <f t="shared" si="2"/>
        <v>2560000</v>
      </c>
      <c r="BD6" s="478">
        <f>1%+0.15%+0.2%</f>
        <v>0.0135</v>
      </c>
      <c r="BU6" s="323">
        <v>2560000</v>
      </c>
      <c r="BZ6" s="323" t="s">
        <v>496</v>
      </c>
    </row>
    <row r="7" s="323" customFormat="1" customHeight="1" spans="1:79">
      <c r="A7" s="172">
        <v>4</v>
      </c>
      <c r="C7" s="323" t="s">
        <v>510</v>
      </c>
      <c r="D7" s="323">
        <v>20230010576</v>
      </c>
      <c r="E7" s="833" t="s">
        <v>511</v>
      </c>
      <c r="F7" s="338" t="s">
        <v>512</v>
      </c>
      <c r="G7" s="323" t="s">
        <v>513</v>
      </c>
      <c r="I7" s="338" t="s">
        <v>492</v>
      </c>
      <c r="J7" s="338" t="s">
        <v>514</v>
      </c>
      <c r="K7" s="323">
        <v>68.42</v>
      </c>
      <c r="L7" s="323">
        <v>68.42</v>
      </c>
      <c r="M7" s="323">
        <v>21800</v>
      </c>
      <c r="N7" s="392">
        <v>1491556</v>
      </c>
      <c r="O7" s="327">
        <v>21560</v>
      </c>
      <c r="T7" s="327"/>
      <c r="U7" s="380"/>
      <c r="V7" s="380"/>
      <c r="W7" s="380" t="s">
        <v>515</v>
      </c>
      <c r="X7" s="327">
        <v>80000</v>
      </c>
      <c r="Y7" s="380" t="s">
        <v>516</v>
      </c>
      <c r="Z7" s="327">
        <f>420000+361556</f>
        <v>781556</v>
      </c>
      <c r="AA7" s="380" t="s">
        <v>510</v>
      </c>
      <c r="AB7" s="327">
        <v>100000</v>
      </c>
      <c r="AC7" s="380" t="s">
        <v>517</v>
      </c>
      <c r="AD7" s="327">
        <v>130000</v>
      </c>
      <c r="AE7" s="380" t="s">
        <v>518</v>
      </c>
      <c r="AF7" s="327">
        <v>200000</v>
      </c>
      <c r="AG7" s="380" t="s">
        <v>519</v>
      </c>
      <c r="AH7" s="327">
        <v>200000</v>
      </c>
      <c r="AI7" s="380" t="s">
        <v>519</v>
      </c>
      <c r="AL7" s="327">
        <f t="shared" ref="AL7:AL26" si="3">X7+Z7+AB7+AD7+AF7+AH7+AJ7</f>
        <v>1491556</v>
      </c>
      <c r="AO7" s="390">
        <f t="shared" si="0"/>
        <v>0</v>
      </c>
      <c r="AP7" s="323">
        <v>17399115251</v>
      </c>
      <c r="AT7" s="398">
        <f t="shared" si="1"/>
        <v>0</v>
      </c>
      <c r="AU7" s="337"/>
      <c r="BC7" s="327">
        <f t="shared" si="2"/>
        <v>1491556</v>
      </c>
      <c r="BD7" s="478">
        <f>0.8%+0.13%+0.14%</f>
        <v>0.0107</v>
      </c>
      <c r="BJ7" s="323">
        <v>861556</v>
      </c>
      <c r="BQ7" s="323">
        <v>630000</v>
      </c>
      <c r="BZ7" s="323" t="s">
        <v>496</v>
      </c>
      <c r="CA7" s="323" t="s">
        <v>506</v>
      </c>
    </row>
    <row r="8" s="323" customFormat="1" customHeight="1" spans="1:79">
      <c r="A8" s="172">
        <v>5</v>
      </c>
      <c r="C8" s="323" t="s">
        <v>520</v>
      </c>
      <c r="D8" s="323">
        <v>20240002029</v>
      </c>
      <c r="F8" s="338" t="s">
        <v>521</v>
      </c>
      <c r="G8" s="337" t="s">
        <v>522</v>
      </c>
      <c r="I8" s="338" t="s">
        <v>492</v>
      </c>
      <c r="J8" s="338" t="s">
        <v>523</v>
      </c>
      <c r="K8" s="323">
        <v>68.42</v>
      </c>
      <c r="L8" s="323">
        <v>68.42</v>
      </c>
      <c r="M8" s="323">
        <v>21967.26</v>
      </c>
      <c r="N8" s="392">
        <v>1503000</v>
      </c>
      <c r="O8" s="327">
        <v>21960</v>
      </c>
      <c r="T8" s="327"/>
      <c r="U8" s="380"/>
      <c r="V8" s="380"/>
      <c r="W8" s="379" t="s">
        <v>524</v>
      </c>
      <c r="X8" s="327">
        <v>20000</v>
      </c>
      <c r="Y8" s="380" t="s">
        <v>525</v>
      </c>
      <c r="Z8" s="327">
        <v>783000</v>
      </c>
      <c r="AA8" s="380" t="s">
        <v>520</v>
      </c>
      <c r="AB8" s="327">
        <v>700000</v>
      </c>
      <c r="AC8" s="380" t="s">
        <v>526</v>
      </c>
      <c r="AD8" s="327"/>
      <c r="AE8" s="380"/>
      <c r="AL8" s="327">
        <f t="shared" si="3"/>
        <v>1503000</v>
      </c>
      <c r="AO8" s="390">
        <f t="shared" si="0"/>
        <v>0</v>
      </c>
      <c r="AP8" s="323">
        <v>13150241703</v>
      </c>
      <c r="AT8" s="398">
        <f t="shared" si="1"/>
        <v>200</v>
      </c>
      <c r="AU8" s="337"/>
      <c r="AV8" s="323">
        <v>200</v>
      </c>
      <c r="BC8" s="327">
        <f t="shared" si="2"/>
        <v>1503000</v>
      </c>
      <c r="BD8" s="478">
        <f>1%+0.18%+0.2%</f>
        <v>0.0138</v>
      </c>
      <c r="BN8" s="323">
        <v>803000</v>
      </c>
      <c r="BO8" s="323">
        <v>700000</v>
      </c>
      <c r="BZ8" s="323" t="s">
        <v>496</v>
      </c>
      <c r="CA8" s="323" t="s">
        <v>506</v>
      </c>
    </row>
    <row r="9" s="323" customFormat="1" ht="47" customHeight="1" spans="1:79">
      <c r="A9" s="172">
        <v>6</v>
      </c>
      <c r="C9" s="323" t="s">
        <v>527</v>
      </c>
      <c r="D9" s="323">
        <v>20230010242</v>
      </c>
      <c r="E9" s="833" t="s">
        <v>528</v>
      </c>
      <c r="F9" s="338" t="s">
        <v>529</v>
      </c>
      <c r="G9" s="337" t="s">
        <v>530</v>
      </c>
      <c r="I9" s="338" t="s">
        <v>492</v>
      </c>
      <c r="J9" s="338" t="s">
        <v>531</v>
      </c>
      <c r="K9" s="323">
        <v>68.42</v>
      </c>
      <c r="L9" s="323">
        <v>68.42</v>
      </c>
      <c r="M9" s="323">
        <v>22500</v>
      </c>
      <c r="N9" s="392">
        <v>1539450</v>
      </c>
      <c r="O9" s="327">
        <v>22360</v>
      </c>
      <c r="T9" s="327"/>
      <c r="V9" s="337"/>
      <c r="W9" s="337" t="s">
        <v>532</v>
      </c>
      <c r="X9" s="327">
        <v>100000</v>
      </c>
      <c r="Y9" s="323" t="s">
        <v>533</v>
      </c>
      <c r="Z9" s="323">
        <v>909450</v>
      </c>
      <c r="AA9" s="365" t="s">
        <v>534</v>
      </c>
      <c r="AB9" s="327">
        <v>530000</v>
      </c>
      <c r="AC9" s="323" t="s">
        <v>527</v>
      </c>
      <c r="AD9" s="327"/>
      <c r="AL9" s="327">
        <f t="shared" si="3"/>
        <v>1539450</v>
      </c>
      <c r="AO9" s="390">
        <f t="shared" si="0"/>
        <v>0</v>
      </c>
      <c r="AT9" s="398">
        <f t="shared" si="1"/>
        <v>500</v>
      </c>
      <c r="AU9" s="398"/>
      <c r="AV9" s="327">
        <v>200</v>
      </c>
      <c r="AW9" s="327"/>
      <c r="AX9" s="327"/>
      <c r="AY9" s="327"/>
      <c r="AZ9" s="327"/>
      <c r="BA9" s="327">
        <v>300</v>
      </c>
      <c r="BB9" s="327"/>
      <c r="BC9" s="327">
        <f t="shared" si="2"/>
        <v>1539450</v>
      </c>
      <c r="BD9" s="479">
        <f>0.9%+0.13%+0.14%</f>
        <v>0.0117</v>
      </c>
      <c r="BE9" s="327"/>
      <c r="BF9" s="327"/>
      <c r="BG9" s="327"/>
      <c r="BH9" s="327"/>
      <c r="BI9" s="327"/>
      <c r="BJ9" s="327">
        <v>1539450</v>
      </c>
      <c r="BK9" s="327"/>
      <c r="BL9" s="327"/>
      <c r="BM9" s="327"/>
      <c r="BN9" s="327"/>
      <c r="BO9" s="327"/>
      <c r="BP9" s="327"/>
      <c r="BQ9" s="327"/>
      <c r="BR9" s="327"/>
      <c r="BS9" s="327"/>
      <c r="BT9" s="327"/>
      <c r="BU9" s="327"/>
      <c r="BV9" s="327"/>
      <c r="BW9" s="327"/>
      <c r="BX9" s="323"/>
      <c r="BZ9" s="323" t="s">
        <v>496</v>
      </c>
      <c r="CA9" s="323" t="s">
        <v>506</v>
      </c>
    </row>
    <row r="10" s="323" customFormat="1" ht="39" customHeight="1" spans="1:79">
      <c r="A10" s="172">
        <v>7</v>
      </c>
      <c r="C10" s="380">
        <v>45200</v>
      </c>
      <c r="D10" s="323">
        <v>20230008432</v>
      </c>
      <c r="E10" s="833" t="s">
        <v>535</v>
      </c>
      <c r="F10" s="338" t="s">
        <v>536</v>
      </c>
      <c r="G10" s="337" t="s">
        <v>537</v>
      </c>
      <c r="I10" s="338" t="s">
        <v>492</v>
      </c>
      <c r="J10" s="338" t="s">
        <v>538</v>
      </c>
      <c r="K10" s="323">
        <v>68.42</v>
      </c>
      <c r="L10" s="323">
        <v>68.42</v>
      </c>
      <c r="M10" s="323">
        <v>22960.42</v>
      </c>
      <c r="N10" s="392">
        <v>1570952</v>
      </c>
      <c r="O10" s="327">
        <v>22760.42</v>
      </c>
      <c r="T10" s="327"/>
      <c r="W10" s="337" t="s">
        <v>539</v>
      </c>
      <c r="X10" s="327">
        <v>30000</v>
      </c>
      <c r="Y10" s="323" t="s">
        <v>540</v>
      </c>
      <c r="Z10" s="327">
        <v>760952</v>
      </c>
      <c r="AA10" s="323" t="s">
        <v>541</v>
      </c>
      <c r="AB10" s="327">
        <v>780000</v>
      </c>
      <c r="AC10" s="323" t="s">
        <v>542</v>
      </c>
      <c r="AD10" s="327"/>
      <c r="AL10" s="327">
        <f t="shared" si="3"/>
        <v>1570952</v>
      </c>
      <c r="AO10" s="390">
        <f t="shared" ref="AO10:AO25" si="4">N10-AL10</f>
        <v>0</v>
      </c>
      <c r="AT10" s="398">
        <f t="shared" si="1"/>
        <v>200</v>
      </c>
      <c r="AU10" s="398"/>
      <c r="AV10" s="327">
        <v>200</v>
      </c>
      <c r="AW10" s="327"/>
      <c r="AX10" s="327"/>
      <c r="AY10" s="327"/>
      <c r="AZ10" s="327"/>
      <c r="BA10" s="327"/>
      <c r="BB10" s="327"/>
      <c r="BC10" s="327">
        <f t="shared" si="2"/>
        <v>1570952</v>
      </c>
      <c r="BD10" s="479">
        <f>1%+0.18%+0.25%</f>
        <v>0.0143</v>
      </c>
      <c r="BE10" s="327"/>
      <c r="BF10" s="327"/>
      <c r="BG10" s="327"/>
      <c r="BH10" s="327"/>
      <c r="BI10" s="327"/>
      <c r="BJ10" s="327"/>
      <c r="BK10" s="327"/>
      <c r="BL10" s="327"/>
      <c r="BM10" s="327"/>
      <c r="BN10" s="327">
        <v>1570952</v>
      </c>
      <c r="BO10" s="327"/>
      <c r="BP10" s="327"/>
      <c r="BQ10" s="327"/>
      <c r="BR10" s="327"/>
      <c r="BS10" s="327"/>
      <c r="BT10" s="327"/>
      <c r="BU10" s="327"/>
      <c r="BV10" s="327"/>
      <c r="BW10" s="327"/>
      <c r="BZ10" s="323" t="s">
        <v>496</v>
      </c>
      <c r="CA10" s="323" t="s">
        <v>506</v>
      </c>
    </row>
    <row r="11" s="323" customFormat="1" ht="60" customHeight="1" spans="1:79">
      <c r="A11" s="172">
        <v>8</v>
      </c>
      <c r="C11" s="323" t="s">
        <v>543</v>
      </c>
      <c r="D11" s="323">
        <v>20230009415</v>
      </c>
      <c r="E11" s="833" t="s">
        <v>544</v>
      </c>
      <c r="F11" s="338" t="s">
        <v>545</v>
      </c>
      <c r="G11" s="516" t="s">
        <v>546</v>
      </c>
      <c r="I11" s="338" t="s">
        <v>492</v>
      </c>
      <c r="J11" s="338" t="s">
        <v>547</v>
      </c>
      <c r="K11" s="323">
        <v>68.42</v>
      </c>
      <c r="L11" s="323">
        <v>68.42</v>
      </c>
      <c r="M11" s="323">
        <v>23165.74</v>
      </c>
      <c r="N11" s="392">
        <v>1585000</v>
      </c>
      <c r="O11" s="327">
        <v>22953.6</v>
      </c>
      <c r="T11" s="327"/>
      <c r="U11" s="337"/>
      <c r="V11" s="337"/>
      <c r="W11" s="337" t="s">
        <v>548</v>
      </c>
      <c r="X11" s="327">
        <v>40000</v>
      </c>
      <c r="Y11" s="337" t="s">
        <v>549</v>
      </c>
      <c r="Z11" s="327">
        <v>765000</v>
      </c>
      <c r="AA11" s="337" t="s">
        <v>543</v>
      </c>
      <c r="AB11" s="323">
        <v>780000</v>
      </c>
      <c r="AC11" s="323" t="s">
        <v>550</v>
      </c>
      <c r="AL11" s="327">
        <f t="shared" si="3"/>
        <v>1585000</v>
      </c>
      <c r="AO11" s="390">
        <f t="shared" si="4"/>
        <v>0</v>
      </c>
      <c r="AP11" s="323">
        <v>15001560586</v>
      </c>
      <c r="AT11" s="398">
        <f t="shared" si="1"/>
        <v>700</v>
      </c>
      <c r="AU11" s="398"/>
      <c r="AV11" s="327">
        <f>200+200</f>
        <v>400</v>
      </c>
      <c r="AW11" s="327"/>
      <c r="AX11" s="327"/>
      <c r="AY11" s="327"/>
      <c r="AZ11" s="327"/>
      <c r="BA11" s="327">
        <v>300</v>
      </c>
      <c r="BB11" s="327"/>
      <c r="BC11" s="327">
        <f t="shared" si="2"/>
        <v>1585000</v>
      </c>
      <c r="BD11" s="479">
        <f>1%+0.2%</f>
        <v>0.012</v>
      </c>
      <c r="BE11" s="327"/>
      <c r="BF11" s="327"/>
      <c r="BG11" s="327"/>
      <c r="BH11" s="327"/>
      <c r="BI11" s="327">
        <v>805000</v>
      </c>
      <c r="BJ11" s="327"/>
      <c r="BK11" s="327"/>
      <c r="BL11" s="327"/>
      <c r="BM11" s="327">
        <v>780000</v>
      </c>
      <c r="BN11" s="327"/>
      <c r="BO11" s="327"/>
      <c r="BP11" s="327"/>
      <c r="BQ11" s="327"/>
      <c r="BR11" s="327"/>
      <c r="BS11" s="327"/>
      <c r="BT11" s="327"/>
      <c r="BU11" s="327"/>
      <c r="BV11" s="327"/>
      <c r="BW11" s="327"/>
      <c r="BX11" s="323"/>
      <c r="BZ11" s="323" t="s">
        <v>496</v>
      </c>
      <c r="CA11" s="323" t="s">
        <v>506</v>
      </c>
    </row>
    <row r="12" s="323" customFormat="1" ht="35" customHeight="1" spans="1:79">
      <c r="A12" s="172">
        <v>9</v>
      </c>
      <c r="C12" s="323" t="s">
        <v>551</v>
      </c>
      <c r="D12" s="323">
        <v>20230010496</v>
      </c>
      <c r="E12" s="833" t="s">
        <v>552</v>
      </c>
      <c r="F12" s="338" t="s">
        <v>553</v>
      </c>
      <c r="G12" s="516" t="s">
        <v>554</v>
      </c>
      <c r="I12" s="338" t="s">
        <v>492</v>
      </c>
      <c r="J12" s="342">
        <v>9</v>
      </c>
      <c r="K12" s="323">
        <v>68.42</v>
      </c>
      <c r="L12" s="323">
        <v>68.42</v>
      </c>
      <c r="M12" s="323">
        <v>23346.77</v>
      </c>
      <c r="N12" s="392">
        <v>1597386</v>
      </c>
      <c r="O12" s="327">
        <v>23146.77</v>
      </c>
      <c r="T12" s="327"/>
      <c r="V12" s="337" t="s">
        <v>555</v>
      </c>
      <c r="W12" s="337" t="s">
        <v>556</v>
      </c>
      <c r="X12" s="327">
        <v>20000</v>
      </c>
      <c r="Y12" s="337" t="s">
        <v>557</v>
      </c>
      <c r="Z12" s="327">
        <v>80000</v>
      </c>
      <c r="AA12" s="365" t="s">
        <v>558</v>
      </c>
      <c r="AB12" s="327">
        <f>1386+976000</f>
        <v>977386</v>
      </c>
      <c r="AC12" s="323" t="s">
        <v>551</v>
      </c>
      <c r="AD12" s="327">
        <v>520000</v>
      </c>
      <c r="AE12" s="323" t="s">
        <v>559</v>
      </c>
      <c r="AL12" s="327">
        <f t="shared" si="3"/>
        <v>1597386</v>
      </c>
      <c r="AO12" s="390">
        <f t="shared" si="4"/>
        <v>0</v>
      </c>
      <c r="AP12" s="323">
        <v>15276275398</v>
      </c>
      <c r="AT12" s="398">
        <f t="shared" si="1"/>
        <v>700</v>
      </c>
      <c r="AU12" s="398"/>
      <c r="AV12" s="327">
        <f>200+200</f>
        <v>400</v>
      </c>
      <c r="AW12" s="327"/>
      <c r="AX12" s="327"/>
      <c r="AY12" s="327"/>
      <c r="AZ12" s="327"/>
      <c r="BA12" s="327"/>
      <c r="BB12" s="327">
        <v>300</v>
      </c>
      <c r="BC12" s="327">
        <f t="shared" si="2"/>
        <v>1597386</v>
      </c>
      <c r="BD12" s="479">
        <f t="shared" ref="BD12:BD17" si="5">1%+0.18%+0.25%</f>
        <v>0.0143</v>
      </c>
      <c r="BE12" s="327"/>
      <c r="BF12" s="327"/>
      <c r="BG12" s="327"/>
      <c r="BH12" s="327"/>
      <c r="BI12" s="327"/>
      <c r="BJ12" s="327"/>
      <c r="BK12" s="327">
        <v>1597386</v>
      </c>
      <c r="BL12" s="327"/>
      <c r="BM12" s="327"/>
      <c r="BN12" s="327"/>
      <c r="BO12" s="327"/>
      <c r="BP12" s="327"/>
      <c r="BQ12" s="327"/>
      <c r="BR12" s="327"/>
      <c r="BS12" s="327"/>
      <c r="BT12" s="327"/>
      <c r="BU12" s="327"/>
      <c r="BV12" s="327"/>
      <c r="BW12" s="327"/>
      <c r="BX12" s="323"/>
      <c r="BZ12" s="323" t="s">
        <v>496</v>
      </c>
      <c r="CA12" s="323" t="s">
        <v>506</v>
      </c>
    </row>
    <row r="13" s="323" customFormat="1" customHeight="1" spans="1:79">
      <c r="A13" s="172">
        <v>10</v>
      </c>
      <c r="C13" s="323" t="s">
        <v>560</v>
      </c>
      <c r="D13" s="323">
        <v>20230008488</v>
      </c>
      <c r="E13" s="833" t="s">
        <v>561</v>
      </c>
      <c r="F13" s="338" t="s">
        <v>562</v>
      </c>
      <c r="G13" s="337" t="s">
        <v>563</v>
      </c>
      <c r="I13" s="338" t="s">
        <v>492</v>
      </c>
      <c r="J13" s="338">
        <v>10</v>
      </c>
      <c r="K13" s="323">
        <v>68.42</v>
      </c>
      <c r="L13" s="323">
        <v>68.42</v>
      </c>
      <c r="M13" s="323">
        <v>23830.765</v>
      </c>
      <c r="N13" s="392">
        <v>1630501</v>
      </c>
      <c r="O13" s="327">
        <v>23533.12</v>
      </c>
      <c r="T13" s="327"/>
      <c r="U13" s="380"/>
      <c r="V13" s="323" t="s">
        <v>564</v>
      </c>
      <c r="W13" s="323" t="s">
        <v>565</v>
      </c>
      <c r="X13" s="327">
        <v>10000</v>
      </c>
      <c r="Y13" s="380" t="s">
        <v>566</v>
      </c>
      <c r="Z13" s="327">
        <v>90000</v>
      </c>
      <c r="AA13" s="365" t="s">
        <v>567</v>
      </c>
      <c r="AB13" s="327">
        <v>930501</v>
      </c>
      <c r="AC13" s="380" t="s">
        <v>541</v>
      </c>
      <c r="AD13" s="327">
        <v>600000</v>
      </c>
      <c r="AE13" s="380" t="s">
        <v>568</v>
      </c>
      <c r="AL13" s="327">
        <f t="shared" si="3"/>
        <v>1630501</v>
      </c>
      <c r="AO13" s="390">
        <f t="shared" si="4"/>
        <v>0</v>
      </c>
      <c r="AP13" s="323">
        <v>18299772946</v>
      </c>
      <c r="AT13" s="398">
        <f t="shared" si="1"/>
        <v>500</v>
      </c>
      <c r="AU13" s="398"/>
      <c r="AV13" s="327"/>
      <c r="AW13" s="327"/>
      <c r="AX13" s="327"/>
      <c r="AY13" s="327"/>
      <c r="AZ13" s="327">
        <v>200</v>
      </c>
      <c r="BA13" s="327"/>
      <c r="BB13" s="327">
        <v>300</v>
      </c>
      <c r="BC13" s="327">
        <f t="shared" si="2"/>
        <v>1630501</v>
      </c>
      <c r="BD13" s="478">
        <f t="shared" ref="BD13:BD15" si="6">1%+0.18%+0.25%</f>
        <v>0.0143</v>
      </c>
      <c r="BE13" s="327"/>
      <c r="BF13" s="327"/>
      <c r="BG13" s="327"/>
      <c r="BH13" s="327">
        <v>1030501</v>
      </c>
      <c r="BI13" s="327"/>
      <c r="BJ13" s="327">
        <v>600000</v>
      </c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7"/>
      <c r="BW13" s="327"/>
      <c r="BX13" s="323"/>
      <c r="BZ13" s="323" t="s">
        <v>496</v>
      </c>
      <c r="CA13" s="323" t="s">
        <v>506</v>
      </c>
    </row>
    <row r="14" s="323" customFormat="1" customHeight="1" spans="1:79">
      <c r="A14" s="172">
        <v>11</v>
      </c>
      <c r="C14" s="380">
        <v>45201</v>
      </c>
      <c r="D14" s="323">
        <v>20230008484</v>
      </c>
      <c r="E14" s="833" t="s">
        <v>569</v>
      </c>
      <c r="F14" s="417" t="s">
        <v>570</v>
      </c>
      <c r="G14" s="337" t="s">
        <v>571</v>
      </c>
      <c r="I14" s="338" t="s">
        <v>492</v>
      </c>
      <c r="J14" s="338">
        <v>11</v>
      </c>
      <c r="K14" s="323">
        <v>98.74</v>
      </c>
      <c r="L14" s="323">
        <v>98.74</v>
      </c>
      <c r="M14" s="323">
        <v>23801.69</v>
      </c>
      <c r="N14" s="392">
        <v>2350179</v>
      </c>
      <c r="O14" s="327">
        <v>23500</v>
      </c>
      <c r="T14" s="327"/>
      <c r="U14" s="380"/>
      <c r="V14" s="379" t="s">
        <v>572</v>
      </c>
      <c r="W14" s="379" t="s">
        <v>573</v>
      </c>
      <c r="X14" s="327">
        <f>10000</f>
        <v>10000</v>
      </c>
      <c r="Y14" s="379" t="s">
        <v>566</v>
      </c>
      <c r="Z14" s="327">
        <v>90000</v>
      </c>
      <c r="AA14" s="365" t="s">
        <v>567</v>
      </c>
      <c r="AB14" s="327">
        <v>1100179</v>
      </c>
      <c r="AC14" s="380" t="s">
        <v>541</v>
      </c>
      <c r="AD14" s="327">
        <v>1150000</v>
      </c>
      <c r="AE14" s="380" t="s">
        <v>568</v>
      </c>
      <c r="AL14" s="327">
        <f t="shared" si="3"/>
        <v>2350179</v>
      </c>
      <c r="AO14" s="390">
        <f t="shared" si="4"/>
        <v>0</v>
      </c>
      <c r="AP14" s="323">
        <v>15235158196</v>
      </c>
      <c r="AT14" s="398">
        <f t="shared" si="1"/>
        <v>1000</v>
      </c>
      <c r="AU14" s="398">
        <v>200</v>
      </c>
      <c r="AV14" s="327"/>
      <c r="AW14" s="327"/>
      <c r="AX14" s="327"/>
      <c r="AY14" s="327"/>
      <c r="AZ14" s="327">
        <v>200</v>
      </c>
      <c r="BA14" s="327">
        <v>300</v>
      </c>
      <c r="BB14" s="327">
        <v>300</v>
      </c>
      <c r="BC14" s="327">
        <f t="shared" si="2"/>
        <v>2350179</v>
      </c>
      <c r="BD14" s="478">
        <f t="shared" si="6"/>
        <v>0.0143</v>
      </c>
      <c r="BE14" s="327"/>
      <c r="BF14" s="327"/>
      <c r="BG14" s="327"/>
      <c r="BH14" s="327">
        <v>1200179</v>
      </c>
      <c r="BI14" s="327"/>
      <c r="BJ14" s="327">
        <v>1150000</v>
      </c>
      <c r="BK14" s="327"/>
      <c r="BL14" s="327"/>
      <c r="BM14" s="327"/>
      <c r="BN14" s="327"/>
      <c r="BO14" s="327"/>
      <c r="BP14" s="327"/>
      <c r="BQ14" s="327"/>
      <c r="BR14" s="327"/>
      <c r="BS14" s="327"/>
      <c r="BT14" s="327"/>
      <c r="BU14" s="327"/>
      <c r="BV14" s="327"/>
      <c r="BW14" s="327"/>
      <c r="BX14" s="323"/>
      <c r="BZ14" s="323" t="s">
        <v>496</v>
      </c>
      <c r="CA14" s="323" t="s">
        <v>506</v>
      </c>
    </row>
    <row r="15" s="323" customFormat="1" ht="40" customHeight="1" spans="1:79">
      <c r="A15" s="172">
        <v>12</v>
      </c>
      <c r="C15" s="323" t="s">
        <v>560</v>
      </c>
      <c r="D15" s="323">
        <v>20230008510</v>
      </c>
      <c r="F15" s="338" t="s">
        <v>574</v>
      </c>
      <c r="G15" s="337" t="s">
        <v>575</v>
      </c>
      <c r="I15" s="338" t="s">
        <v>492</v>
      </c>
      <c r="J15" s="338">
        <v>12</v>
      </c>
      <c r="K15" s="323">
        <v>146.3</v>
      </c>
      <c r="L15" s="323">
        <v>146.3</v>
      </c>
      <c r="M15" s="323">
        <v>26000</v>
      </c>
      <c r="N15" s="392">
        <v>3803800</v>
      </c>
      <c r="O15" s="327">
        <v>25800</v>
      </c>
      <c r="T15" s="327"/>
      <c r="U15" s="379"/>
      <c r="V15" s="379" t="s">
        <v>576</v>
      </c>
      <c r="W15" s="379" t="s">
        <v>577</v>
      </c>
      <c r="X15" s="327">
        <v>100000</v>
      </c>
      <c r="Y15" s="365" t="s">
        <v>567</v>
      </c>
      <c r="Z15" s="327">
        <f>5000+5000+5000+5000</f>
        <v>20000</v>
      </c>
      <c r="AA15" s="379">
        <v>44751</v>
      </c>
      <c r="AB15" s="327">
        <v>633800</v>
      </c>
      <c r="AC15" s="379" t="s">
        <v>541</v>
      </c>
      <c r="AD15" s="327">
        <v>1150000</v>
      </c>
      <c r="AE15" s="379" t="s">
        <v>578</v>
      </c>
      <c r="AF15" s="327">
        <v>500000</v>
      </c>
      <c r="AG15" s="379" t="s">
        <v>579</v>
      </c>
      <c r="AH15" s="327">
        <v>200000</v>
      </c>
      <c r="AI15" s="379" t="s">
        <v>580</v>
      </c>
      <c r="AJ15" s="327">
        <v>1200000</v>
      </c>
      <c r="AK15" s="379" t="s">
        <v>581</v>
      </c>
      <c r="AL15" s="327">
        <f t="shared" si="3"/>
        <v>3803800</v>
      </c>
      <c r="AO15" s="390">
        <f t="shared" si="4"/>
        <v>0</v>
      </c>
      <c r="AT15" s="398">
        <f t="shared" si="1"/>
        <v>1100</v>
      </c>
      <c r="AU15" s="398">
        <f>200</f>
        <v>200</v>
      </c>
      <c r="AV15" s="327">
        <f>200+200</f>
        <v>400</v>
      </c>
      <c r="AW15" s="327">
        <v>200</v>
      </c>
      <c r="AX15" s="327"/>
      <c r="AY15" s="327"/>
      <c r="AZ15" s="327"/>
      <c r="BA15" s="327"/>
      <c r="BB15" s="327">
        <v>300</v>
      </c>
      <c r="BC15" s="327">
        <f t="shared" si="2"/>
        <v>3803800</v>
      </c>
      <c r="BD15" s="478">
        <f t="shared" si="6"/>
        <v>0.0143</v>
      </c>
      <c r="BE15" s="327"/>
      <c r="BF15" s="327"/>
      <c r="BG15" s="327"/>
      <c r="BH15" s="327"/>
      <c r="BI15" s="327"/>
      <c r="BJ15" s="327"/>
      <c r="BK15" s="327"/>
      <c r="BL15" s="327"/>
      <c r="BM15" s="327"/>
      <c r="BN15" s="327"/>
      <c r="BO15" s="327"/>
      <c r="BP15" s="327"/>
      <c r="BQ15" s="327"/>
      <c r="BR15" s="327"/>
      <c r="BS15" s="327"/>
      <c r="BT15" s="327"/>
      <c r="BU15" s="327">
        <v>3803800</v>
      </c>
      <c r="BV15" s="327"/>
      <c r="BW15" s="327"/>
      <c r="BX15" s="323"/>
      <c r="BZ15" s="323" t="s">
        <v>496</v>
      </c>
      <c r="CA15" s="323" t="s">
        <v>506</v>
      </c>
    </row>
    <row r="16" s="323" customFormat="1" customHeight="1" spans="1:79">
      <c r="A16" s="172">
        <v>13</v>
      </c>
      <c r="C16" s="323" t="s">
        <v>582</v>
      </c>
      <c r="D16" s="323">
        <v>2024000115</v>
      </c>
      <c r="F16" s="338" t="s">
        <v>583</v>
      </c>
      <c r="G16" s="517" t="s">
        <v>584</v>
      </c>
      <c r="I16" s="338" t="s">
        <v>585</v>
      </c>
      <c r="J16" s="338" t="s">
        <v>493</v>
      </c>
      <c r="K16" s="323">
        <v>85.66</v>
      </c>
      <c r="L16" s="323">
        <v>85.66</v>
      </c>
      <c r="M16" s="323">
        <v>9777</v>
      </c>
      <c r="N16" s="392">
        <v>837500</v>
      </c>
      <c r="O16" s="327">
        <v>9538.71</v>
      </c>
      <c r="T16" s="327"/>
      <c r="V16" s="337"/>
      <c r="W16" s="337" t="s">
        <v>515</v>
      </c>
      <c r="X16" s="327">
        <v>35000</v>
      </c>
      <c r="Y16" s="323" t="s">
        <v>586</v>
      </c>
      <c r="Z16" s="323">
        <v>802500</v>
      </c>
      <c r="AA16" s="365" t="s">
        <v>586</v>
      </c>
      <c r="AC16" s="365"/>
      <c r="AL16" s="327">
        <f t="shared" si="3"/>
        <v>837500</v>
      </c>
      <c r="AO16" s="390">
        <f t="shared" si="4"/>
        <v>0</v>
      </c>
      <c r="AP16" s="323">
        <v>13031235925</v>
      </c>
      <c r="AT16" s="398">
        <f t="shared" si="1"/>
        <v>200</v>
      </c>
      <c r="AU16" s="398"/>
      <c r="AV16" s="327"/>
      <c r="AW16" s="327"/>
      <c r="AX16" s="327"/>
      <c r="AY16" s="327">
        <v>200</v>
      </c>
      <c r="AZ16" s="327"/>
      <c r="BA16" s="327"/>
      <c r="BB16" s="327"/>
      <c r="BC16" s="327">
        <f t="shared" si="2"/>
        <v>837500</v>
      </c>
      <c r="BD16" s="479">
        <f t="shared" si="5"/>
        <v>0.0143</v>
      </c>
      <c r="BE16" s="327"/>
      <c r="BF16" s="327"/>
      <c r="BG16" s="327"/>
      <c r="BH16" s="327"/>
      <c r="BI16" s="327"/>
      <c r="BJ16" s="327"/>
      <c r="BK16" s="327"/>
      <c r="BL16" s="327"/>
      <c r="BM16" s="327">
        <v>837500</v>
      </c>
      <c r="BN16" s="327"/>
      <c r="BO16" s="327"/>
      <c r="BP16" s="327"/>
      <c r="BQ16" s="327"/>
      <c r="BR16" s="327"/>
      <c r="BS16" s="327"/>
      <c r="BT16" s="327"/>
      <c r="BU16" s="327"/>
      <c r="BV16" s="327"/>
      <c r="BW16" s="327"/>
      <c r="BX16" s="323"/>
      <c r="BZ16" s="323" t="s">
        <v>496</v>
      </c>
      <c r="CA16" s="323" t="s">
        <v>506</v>
      </c>
    </row>
    <row r="17" s="323" customFormat="1" customHeight="1" spans="1:79">
      <c r="A17" s="172">
        <v>14</v>
      </c>
      <c r="C17" s="323" t="s">
        <v>582</v>
      </c>
      <c r="D17" s="323">
        <v>2024000116</v>
      </c>
      <c r="F17" s="338" t="s">
        <v>583</v>
      </c>
      <c r="G17" s="517" t="s">
        <v>584</v>
      </c>
      <c r="I17" s="338" t="s">
        <v>585</v>
      </c>
      <c r="J17" s="338" t="s">
        <v>500</v>
      </c>
      <c r="K17" s="323">
        <v>85.66</v>
      </c>
      <c r="L17" s="323">
        <v>85.66</v>
      </c>
      <c r="M17" s="323">
        <v>9777</v>
      </c>
      <c r="N17" s="392">
        <v>837500</v>
      </c>
      <c r="O17" s="327">
        <v>9612.99</v>
      </c>
      <c r="T17" s="327"/>
      <c r="V17" s="337"/>
      <c r="W17" s="337" t="s">
        <v>515</v>
      </c>
      <c r="X17" s="327">
        <v>40000</v>
      </c>
      <c r="Y17" s="323" t="s">
        <v>586</v>
      </c>
      <c r="Z17" s="323">
        <v>797500</v>
      </c>
      <c r="AA17" s="365" t="s">
        <v>582</v>
      </c>
      <c r="AC17" s="365"/>
      <c r="AL17" s="327">
        <f t="shared" si="3"/>
        <v>837500</v>
      </c>
      <c r="AO17" s="390">
        <f t="shared" si="4"/>
        <v>0</v>
      </c>
      <c r="AP17" s="323">
        <v>13031235925</v>
      </c>
      <c r="AT17" s="398">
        <f t="shared" si="1"/>
        <v>200</v>
      </c>
      <c r="AU17" s="398"/>
      <c r="AV17" s="327"/>
      <c r="AW17" s="327"/>
      <c r="AX17" s="327"/>
      <c r="AY17" s="327">
        <v>200</v>
      </c>
      <c r="AZ17" s="327"/>
      <c r="BA17" s="327"/>
      <c r="BB17" s="327"/>
      <c r="BC17" s="327">
        <f t="shared" si="2"/>
        <v>837500</v>
      </c>
      <c r="BD17" s="479">
        <f t="shared" si="5"/>
        <v>0.0143</v>
      </c>
      <c r="BE17" s="327"/>
      <c r="BF17" s="327"/>
      <c r="BG17" s="327"/>
      <c r="BH17" s="327"/>
      <c r="BI17" s="327"/>
      <c r="BJ17" s="327"/>
      <c r="BK17" s="327"/>
      <c r="BL17" s="327"/>
      <c r="BM17" s="327">
        <v>837500</v>
      </c>
      <c r="BN17" s="327"/>
      <c r="BO17" s="327"/>
      <c r="BP17" s="327"/>
      <c r="BQ17" s="327"/>
      <c r="BR17" s="327"/>
      <c r="BS17" s="327"/>
      <c r="BT17" s="327"/>
      <c r="BU17" s="327"/>
      <c r="BV17" s="327"/>
      <c r="BW17" s="327"/>
      <c r="BX17" s="323"/>
      <c r="BZ17" s="323" t="s">
        <v>496</v>
      </c>
      <c r="CA17" s="323" t="s">
        <v>506</v>
      </c>
    </row>
    <row r="18" s="323" customFormat="1" customHeight="1" spans="1:56">
      <c r="A18" s="323">
        <v>15</v>
      </c>
      <c r="B18" s="323"/>
      <c r="C18" s="323"/>
      <c r="D18" s="323"/>
      <c r="E18" s="833" t="s">
        <v>587</v>
      </c>
      <c r="F18" s="338" t="s">
        <v>588</v>
      </c>
      <c r="G18" s="323" t="s">
        <v>589</v>
      </c>
      <c r="I18" s="338" t="s">
        <v>585</v>
      </c>
      <c r="J18" s="338" t="s">
        <v>507</v>
      </c>
      <c r="K18" s="323">
        <v>140.95</v>
      </c>
      <c r="L18" s="323">
        <v>140.95</v>
      </c>
      <c r="M18" s="323">
        <v>9252.7</v>
      </c>
      <c r="N18" s="392">
        <v>1304168</v>
      </c>
      <c r="O18" s="327">
        <v>8790.78</v>
      </c>
      <c r="T18" s="327"/>
      <c r="U18" s="323"/>
      <c r="W18" s="323" t="s">
        <v>590</v>
      </c>
      <c r="X18" s="327">
        <v>50000</v>
      </c>
      <c r="Y18" s="323" t="s">
        <v>118</v>
      </c>
      <c r="Z18" s="327"/>
      <c r="AA18" s="365"/>
      <c r="AC18" s="365"/>
      <c r="AL18" s="327">
        <f t="shared" si="3"/>
        <v>50000</v>
      </c>
      <c r="AO18" s="390">
        <f t="shared" si="4"/>
        <v>1254168</v>
      </c>
      <c r="AP18" s="323">
        <v>18083992128</v>
      </c>
      <c r="AT18" s="398">
        <f t="shared" si="1"/>
        <v>0</v>
      </c>
      <c r="AU18" s="337"/>
      <c r="BC18" s="327">
        <f t="shared" si="2"/>
        <v>0</v>
      </c>
      <c r="BD18" s="478">
        <f>1%+0.18%+0.2%</f>
        <v>0.0138</v>
      </c>
    </row>
    <row r="19" s="323" customFormat="1" customHeight="1" spans="1:56">
      <c r="A19" s="323">
        <v>16</v>
      </c>
      <c r="B19" s="323"/>
      <c r="E19" s="833" t="s">
        <v>591</v>
      </c>
      <c r="F19" s="338" t="s">
        <v>588</v>
      </c>
      <c r="G19" s="323" t="s">
        <v>589</v>
      </c>
      <c r="I19" s="338" t="s">
        <v>585</v>
      </c>
      <c r="J19" s="338" t="s">
        <v>514</v>
      </c>
      <c r="K19" s="323">
        <v>85.66</v>
      </c>
      <c r="L19" s="323">
        <v>85.66</v>
      </c>
      <c r="M19" s="323">
        <v>10224.52</v>
      </c>
      <c r="N19" s="392">
        <v>875832</v>
      </c>
      <c r="O19" s="327">
        <v>9762.52</v>
      </c>
      <c r="T19" s="327"/>
      <c r="U19" s="323"/>
      <c r="W19" s="323" t="s">
        <v>590</v>
      </c>
      <c r="X19" s="327">
        <v>50000</v>
      </c>
      <c r="Y19" s="323" t="s">
        <v>118</v>
      </c>
      <c r="Z19" s="327">
        <v>25000</v>
      </c>
      <c r="AA19" s="323" t="s">
        <v>592</v>
      </c>
      <c r="AC19" s="365"/>
      <c r="AL19" s="327">
        <f t="shared" si="3"/>
        <v>75000</v>
      </c>
      <c r="AO19" s="390">
        <f t="shared" si="4"/>
        <v>800832</v>
      </c>
      <c r="AP19" s="323">
        <v>18083992128</v>
      </c>
      <c r="AT19" s="398">
        <f t="shared" si="1"/>
        <v>0</v>
      </c>
      <c r="AU19" s="337"/>
      <c r="BC19" s="327">
        <f t="shared" si="2"/>
        <v>0</v>
      </c>
      <c r="BD19" s="478">
        <f>1%+0.18%+0.2%</f>
        <v>0.0138</v>
      </c>
    </row>
    <row r="20" s="323" customFormat="1" customHeight="1" spans="1:78">
      <c r="A20" s="323">
        <v>17</v>
      </c>
      <c r="B20" s="323"/>
      <c r="C20" s="323" t="s">
        <v>105</v>
      </c>
      <c r="D20" s="323">
        <v>20240006442</v>
      </c>
      <c r="E20" s="833" t="s">
        <v>106</v>
      </c>
      <c r="F20" s="833" t="s">
        <v>107</v>
      </c>
      <c r="G20" s="323" t="s">
        <v>108</v>
      </c>
      <c r="I20" s="338" t="s">
        <v>585</v>
      </c>
      <c r="J20" s="338" t="s">
        <v>523</v>
      </c>
      <c r="K20" s="323">
        <v>85.66</v>
      </c>
      <c r="L20" s="323">
        <v>85.66</v>
      </c>
      <c r="M20" s="323">
        <v>9600</v>
      </c>
      <c r="N20" s="392">
        <v>822336</v>
      </c>
      <c r="O20" s="327">
        <v>9837.28</v>
      </c>
      <c r="P20" s="323" t="s">
        <v>593</v>
      </c>
      <c r="T20" s="327"/>
      <c r="U20" s="323"/>
      <c r="W20" s="323" t="s">
        <v>594</v>
      </c>
      <c r="X20" s="327">
        <v>10000</v>
      </c>
      <c r="Y20" s="323" t="s">
        <v>306</v>
      </c>
      <c r="Z20" s="327">
        <v>402336</v>
      </c>
      <c r="AA20" s="323" t="s">
        <v>105</v>
      </c>
      <c r="AB20" s="323">
        <v>410000</v>
      </c>
      <c r="AC20" s="365" t="s">
        <v>595</v>
      </c>
      <c r="AL20" s="327">
        <f t="shared" si="3"/>
        <v>822336</v>
      </c>
      <c r="AO20" s="390">
        <f t="shared" si="4"/>
        <v>0</v>
      </c>
      <c r="AP20" s="323">
        <v>18799857500</v>
      </c>
      <c r="AT20" s="398">
        <f t="shared" si="1"/>
        <v>0</v>
      </c>
      <c r="AU20" s="337"/>
      <c r="BC20" s="327">
        <f t="shared" si="2"/>
        <v>822336</v>
      </c>
      <c r="BD20" s="478">
        <f>1%+0.15%+0.2%+0.03%</f>
        <v>0.0138</v>
      </c>
      <c r="BU20" s="323">
        <v>822336</v>
      </c>
      <c r="BZ20" s="323" t="s">
        <v>496</v>
      </c>
    </row>
    <row r="21" s="323" customFormat="1" customHeight="1" spans="1:78">
      <c r="A21" s="323">
        <v>18</v>
      </c>
      <c r="B21" s="323"/>
      <c r="C21" s="323" t="s">
        <v>113</v>
      </c>
      <c r="D21" s="323">
        <v>20240006451</v>
      </c>
      <c r="E21" s="833" t="s">
        <v>114</v>
      </c>
      <c r="F21" s="833" t="s">
        <v>107</v>
      </c>
      <c r="G21" s="323" t="s">
        <v>108</v>
      </c>
      <c r="I21" s="338" t="s">
        <v>585</v>
      </c>
      <c r="J21" s="338" t="s">
        <v>531</v>
      </c>
      <c r="K21" s="323">
        <v>85.66</v>
      </c>
      <c r="L21" s="323">
        <v>85.66</v>
      </c>
      <c r="M21" s="323">
        <v>9600</v>
      </c>
      <c r="N21" s="392">
        <v>822336</v>
      </c>
      <c r="O21" s="327">
        <v>9912.04</v>
      </c>
      <c r="P21" s="323" t="s">
        <v>593</v>
      </c>
      <c r="T21" s="327"/>
      <c r="U21" s="323"/>
      <c r="W21" s="323" t="s">
        <v>594</v>
      </c>
      <c r="X21" s="327">
        <v>10000</v>
      </c>
      <c r="Y21" s="323" t="s">
        <v>306</v>
      </c>
      <c r="Z21" s="327">
        <v>402336</v>
      </c>
      <c r="AA21" s="323" t="s">
        <v>113</v>
      </c>
      <c r="AB21" s="323">
        <v>410000</v>
      </c>
      <c r="AC21" s="365" t="s">
        <v>595</v>
      </c>
      <c r="AL21" s="327">
        <f t="shared" si="3"/>
        <v>822336</v>
      </c>
      <c r="AO21" s="390">
        <f t="shared" si="4"/>
        <v>0</v>
      </c>
      <c r="AP21" s="323">
        <v>18799857500</v>
      </c>
      <c r="AT21" s="398">
        <f t="shared" si="1"/>
        <v>0</v>
      </c>
      <c r="AU21" s="337"/>
      <c r="BC21" s="327">
        <f t="shared" si="2"/>
        <v>822336</v>
      </c>
      <c r="BD21" s="478">
        <f>1%+0.15%+0.2%+0.03%</f>
        <v>0.0138</v>
      </c>
      <c r="BU21" s="323">
        <v>822336</v>
      </c>
      <c r="BZ21" s="323" t="s">
        <v>496</v>
      </c>
    </row>
    <row r="22" s="323" customFormat="1" customHeight="1" spans="1:56">
      <c r="A22" s="323">
        <v>19</v>
      </c>
      <c r="B22" s="323"/>
      <c r="E22" s="833" t="s">
        <v>596</v>
      </c>
      <c r="F22" s="338" t="s">
        <v>597</v>
      </c>
      <c r="G22" s="323" t="s">
        <v>598</v>
      </c>
      <c r="I22" s="338" t="s">
        <v>585</v>
      </c>
      <c r="J22" s="338" t="s">
        <v>538</v>
      </c>
      <c r="K22" s="323">
        <v>85.66</v>
      </c>
      <c r="L22" s="323">
        <v>85.66</v>
      </c>
      <c r="M22" s="323">
        <v>10273.17</v>
      </c>
      <c r="N22" s="392">
        <v>880000</v>
      </c>
      <c r="O22" s="327">
        <v>9986.8</v>
      </c>
      <c r="T22" s="327"/>
      <c r="U22" s="323"/>
      <c r="W22" s="323" t="s">
        <v>590</v>
      </c>
      <c r="X22" s="327">
        <v>50000</v>
      </c>
      <c r="Y22" s="323" t="s">
        <v>344</v>
      </c>
      <c r="Z22" s="323">
        <v>700000</v>
      </c>
      <c r="AA22" s="365" t="s">
        <v>206</v>
      </c>
      <c r="AB22" s="323">
        <v>70000</v>
      </c>
      <c r="AC22" s="365" t="s">
        <v>303</v>
      </c>
      <c r="AD22" s="323">
        <v>60000</v>
      </c>
      <c r="AE22" s="323" t="s">
        <v>592</v>
      </c>
      <c r="AL22" s="327">
        <f t="shared" si="3"/>
        <v>880000</v>
      </c>
      <c r="AO22" s="390">
        <f t="shared" si="4"/>
        <v>0</v>
      </c>
      <c r="AP22" s="323">
        <v>13699339119</v>
      </c>
      <c r="AT22" s="398">
        <f t="shared" si="1"/>
        <v>0</v>
      </c>
      <c r="AU22" s="337"/>
      <c r="BC22" s="327">
        <f t="shared" si="2"/>
        <v>0</v>
      </c>
      <c r="BD22" s="478">
        <f>1%+0.13%+0.25%</f>
        <v>0.0138</v>
      </c>
    </row>
    <row r="23" s="323" customFormat="1" customHeight="1" spans="1:78">
      <c r="A23" s="323">
        <v>20</v>
      </c>
      <c r="B23" s="323"/>
      <c r="C23" s="323" t="s">
        <v>118</v>
      </c>
      <c r="D23" s="323">
        <v>20240006011</v>
      </c>
      <c r="E23" s="833" t="s">
        <v>119</v>
      </c>
      <c r="F23" s="338" t="s">
        <v>120</v>
      </c>
      <c r="G23" s="323" t="s">
        <v>121</v>
      </c>
      <c r="I23" s="338" t="s">
        <v>585</v>
      </c>
      <c r="J23" s="338" t="s">
        <v>547</v>
      </c>
      <c r="K23" s="323">
        <v>85.66</v>
      </c>
      <c r="L23" s="323">
        <v>85.66</v>
      </c>
      <c r="M23" s="323">
        <v>9922.95</v>
      </c>
      <c r="N23" s="392">
        <v>850000</v>
      </c>
      <c r="O23" s="327">
        <v>10061.56</v>
      </c>
      <c r="P23" s="323"/>
      <c r="T23" s="327"/>
      <c r="U23" s="323"/>
      <c r="W23" s="323" t="s">
        <v>524</v>
      </c>
      <c r="X23" s="327">
        <f>25000</f>
        <v>25000</v>
      </c>
      <c r="Y23" s="323" t="s">
        <v>599</v>
      </c>
      <c r="Z23" s="327">
        <v>45000</v>
      </c>
      <c r="AA23" s="323" t="s">
        <v>125</v>
      </c>
      <c r="AB23" s="323">
        <v>435000</v>
      </c>
      <c r="AC23" s="365" t="s">
        <v>118</v>
      </c>
      <c r="AD23" s="323">
        <v>345000</v>
      </c>
      <c r="AE23" s="323" t="s">
        <v>600</v>
      </c>
      <c r="AL23" s="327">
        <f t="shared" si="3"/>
        <v>850000</v>
      </c>
      <c r="AO23" s="390">
        <f t="shared" si="4"/>
        <v>0</v>
      </c>
      <c r="AP23" s="323">
        <v>18106415251</v>
      </c>
      <c r="AT23" s="398">
        <f t="shared" si="1"/>
        <v>0</v>
      </c>
      <c r="AU23" s="337"/>
      <c r="BC23" s="327">
        <f t="shared" si="2"/>
        <v>850000</v>
      </c>
      <c r="BD23" s="478">
        <f>1%+0.2%</f>
        <v>0.012</v>
      </c>
      <c r="BU23" s="323">
        <v>850000</v>
      </c>
      <c r="BZ23" s="323" t="s">
        <v>496</v>
      </c>
    </row>
    <row r="24" s="323" customFormat="1" customHeight="1" spans="1:78">
      <c r="A24" s="323">
        <v>21</v>
      </c>
      <c r="B24" s="323"/>
      <c r="C24" s="323" t="s">
        <v>125</v>
      </c>
      <c r="D24" s="323">
        <v>20240005853</v>
      </c>
      <c r="E24" s="833" t="s">
        <v>126</v>
      </c>
      <c r="F24" s="338" t="s">
        <v>120</v>
      </c>
      <c r="G24" s="323" t="s">
        <v>121</v>
      </c>
      <c r="I24" s="338" t="s">
        <v>585</v>
      </c>
      <c r="J24" s="338" t="s">
        <v>601</v>
      </c>
      <c r="K24" s="323">
        <v>85.66</v>
      </c>
      <c r="L24" s="323">
        <v>85.66</v>
      </c>
      <c r="M24" s="323">
        <v>9922.95</v>
      </c>
      <c r="N24" s="392">
        <v>850000</v>
      </c>
      <c r="O24" s="327">
        <v>10086</v>
      </c>
      <c r="P24" s="323"/>
      <c r="Q24" s="323">
        <v>779816.51</v>
      </c>
      <c r="R24" s="833" t="s">
        <v>602</v>
      </c>
      <c r="S24" s="524">
        <v>45582</v>
      </c>
      <c r="T24" s="327"/>
      <c r="U24" s="323"/>
      <c r="W24" s="323" t="s">
        <v>524</v>
      </c>
      <c r="X24" s="327">
        <f>25000+50000</f>
        <v>75000</v>
      </c>
      <c r="Y24" s="323" t="s">
        <v>599</v>
      </c>
      <c r="Z24" s="327">
        <v>225000</v>
      </c>
      <c r="AA24" s="323" t="s">
        <v>88</v>
      </c>
      <c r="AB24" s="323">
        <v>125000</v>
      </c>
      <c r="AC24" s="365" t="s">
        <v>125</v>
      </c>
      <c r="AD24" s="323">
        <v>425000</v>
      </c>
      <c r="AE24" s="323" t="s">
        <v>600</v>
      </c>
      <c r="AL24" s="327">
        <f t="shared" si="3"/>
        <v>850000</v>
      </c>
      <c r="AO24" s="390">
        <f t="shared" si="4"/>
        <v>0</v>
      </c>
      <c r="AP24" s="323">
        <v>18106415251</v>
      </c>
      <c r="AT24" s="398">
        <f t="shared" si="1"/>
        <v>0</v>
      </c>
      <c r="AU24" s="337"/>
      <c r="BC24" s="327">
        <f t="shared" si="2"/>
        <v>850000</v>
      </c>
      <c r="BD24" s="478">
        <f>1%+0.2%</f>
        <v>0.012</v>
      </c>
      <c r="BU24" s="323">
        <v>850000</v>
      </c>
      <c r="BZ24" s="323" t="s">
        <v>496</v>
      </c>
    </row>
    <row r="25" s="323" customFormat="1" customHeight="1" spans="1:56">
      <c r="A25" s="323">
        <v>22</v>
      </c>
      <c r="B25" s="323">
        <v>1</v>
      </c>
      <c r="F25" s="338" t="s">
        <v>603</v>
      </c>
      <c r="G25" s="337" t="s">
        <v>604</v>
      </c>
      <c r="I25" s="338" t="s">
        <v>585</v>
      </c>
      <c r="J25" s="338">
        <v>10</v>
      </c>
      <c r="K25" s="323">
        <v>85.66</v>
      </c>
      <c r="L25" s="323">
        <v>85.66</v>
      </c>
      <c r="M25" s="323">
        <v>9800</v>
      </c>
      <c r="N25" s="392">
        <v>839468</v>
      </c>
      <c r="O25" s="327">
        <v>10116</v>
      </c>
      <c r="P25" s="323"/>
      <c r="T25" s="327">
        <f>10000+10000</f>
        <v>20000</v>
      </c>
      <c r="U25" s="323" t="s">
        <v>605</v>
      </c>
      <c r="W25" s="337" t="s">
        <v>606</v>
      </c>
      <c r="X25" s="327">
        <v>10000</v>
      </c>
      <c r="Y25" s="323" t="s">
        <v>605</v>
      </c>
      <c r="Z25" s="327">
        <v>10000</v>
      </c>
      <c r="AA25" s="365" t="s">
        <v>404</v>
      </c>
      <c r="AC25" s="365"/>
      <c r="AL25" s="327">
        <f t="shared" si="3"/>
        <v>20000</v>
      </c>
      <c r="AO25" s="390">
        <f t="shared" si="4"/>
        <v>819468</v>
      </c>
      <c r="AP25" s="323">
        <v>18699663603</v>
      </c>
      <c r="AQ25" s="323" t="s">
        <v>607</v>
      </c>
      <c r="AT25" s="398">
        <f t="shared" si="1"/>
        <v>0</v>
      </c>
      <c r="AU25" s="337"/>
      <c r="BC25" s="327">
        <f t="shared" si="2"/>
        <v>0</v>
      </c>
      <c r="BD25" s="478">
        <f>0.8%+0.18%+0.25%+0.03%</f>
        <v>0.0126</v>
      </c>
    </row>
    <row r="26" s="172" customFormat="1" customHeight="1" spans="1:55">
      <c r="A26" s="172">
        <v>23</v>
      </c>
      <c r="F26" s="415"/>
      <c r="I26" s="415" t="s">
        <v>585</v>
      </c>
      <c r="J26" s="415">
        <v>11</v>
      </c>
      <c r="K26" s="172">
        <v>306.78</v>
      </c>
      <c r="N26" s="455"/>
      <c r="O26" s="358">
        <v>9957</v>
      </c>
      <c r="T26" s="358"/>
      <c r="X26" s="358"/>
      <c r="Z26" s="358"/>
      <c r="AA26" s="388"/>
      <c r="AC26" s="388"/>
      <c r="AL26" s="358">
        <f t="shared" si="3"/>
        <v>0</v>
      </c>
      <c r="AO26" s="513"/>
      <c r="AT26" s="397">
        <f t="shared" si="1"/>
        <v>0</v>
      </c>
      <c r="AU26" s="336"/>
      <c r="BC26" s="358">
        <f t="shared" si="2"/>
        <v>0</v>
      </c>
    </row>
    <row r="27" s="172" customFormat="1" customHeight="1" spans="1:55">
      <c r="A27" s="172">
        <v>24</v>
      </c>
      <c r="F27" s="415"/>
      <c r="H27" s="135" t="s">
        <v>608</v>
      </c>
      <c r="I27" s="415" t="s">
        <v>609</v>
      </c>
      <c r="J27" s="415" t="s">
        <v>610</v>
      </c>
      <c r="K27" s="172">
        <v>976.47</v>
      </c>
      <c r="N27" s="455"/>
      <c r="O27" s="358">
        <v>4550</v>
      </c>
      <c r="T27" s="358"/>
      <c r="X27" s="358"/>
      <c r="Z27" s="358"/>
      <c r="AA27" s="388"/>
      <c r="AC27" s="388"/>
      <c r="AL27" s="358"/>
      <c r="AO27" s="513"/>
      <c r="AT27" s="397"/>
      <c r="AU27" s="336"/>
      <c r="BC27" s="358"/>
    </row>
    <row r="28" s="172" customFormat="1" customHeight="1" spans="6:55">
      <c r="F28" s="415"/>
      <c r="G28" s="172" t="s">
        <v>611</v>
      </c>
      <c r="H28" s="135"/>
      <c r="I28" s="415" t="s">
        <v>609</v>
      </c>
      <c r="J28" s="415" t="s">
        <v>612</v>
      </c>
      <c r="K28" s="172">
        <v>524.4</v>
      </c>
      <c r="M28" s="219" t="s">
        <v>613</v>
      </c>
      <c r="N28" s="455"/>
      <c r="O28" s="358"/>
      <c r="T28" s="358"/>
      <c r="X28" s="358"/>
      <c r="Z28" s="358"/>
      <c r="AA28" s="388"/>
      <c r="AC28" s="388"/>
      <c r="AL28" s="358"/>
      <c r="AO28" s="513"/>
      <c r="AT28" s="397"/>
      <c r="AU28" s="336"/>
      <c r="BC28" s="358"/>
    </row>
    <row r="29" s="172" customFormat="1" customHeight="1" spans="6:55">
      <c r="F29" s="415"/>
      <c r="G29" s="172" t="s">
        <v>614</v>
      </c>
      <c r="H29" s="135"/>
      <c r="I29" s="415" t="s">
        <v>609</v>
      </c>
      <c r="J29" s="415" t="s">
        <v>615</v>
      </c>
      <c r="K29" s="172">
        <v>152.79</v>
      </c>
      <c r="M29" s="219"/>
      <c r="N29" s="455"/>
      <c r="O29" s="358"/>
      <c r="T29" s="358"/>
      <c r="X29" s="358"/>
      <c r="Z29" s="358"/>
      <c r="AA29" s="388"/>
      <c r="AC29" s="388"/>
      <c r="AL29" s="358"/>
      <c r="AO29" s="513"/>
      <c r="AT29" s="397"/>
      <c r="AU29" s="336"/>
      <c r="BC29" s="358"/>
    </row>
    <row r="30" s="172" customFormat="1" customHeight="1" spans="6:55">
      <c r="F30" s="415"/>
      <c r="G30" s="172" t="s">
        <v>616</v>
      </c>
      <c r="H30" s="135"/>
      <c r="I30" s="415" t="s">
        <v>609</v>
      </c>
      <c r="J30" s="415" t="s">
        <v>617</v>
      </c>
      <c r="K30" s="172">
        <v>15.25</v>
      </c>
      <c r="M30" s="219"/>
      <c r="N30" s="455"/>
      <c r="O30" s="358"/>
      <c r="T30" s="358"/>
      <c r="X30" s="358"/>
      <c r="Z30" s="358"/>
      <c r="AA30" s="388"/>
      <c r="AC30" s="388"/>
      <c r="AL30" s="358"/>
      <c r="AO30" s="513"/>
      <c r="AT30" s="397"/>
      <c r="AU30" s="336"/>
      <c r="BC30" s="358"/>
    </row>
    <row r="31" s="172" customFormat="1" customHeight="1" spans="6:55">
      <c r="F31" s="415"/>
      <c r="G31" s="172" t="s">
        <v>618</v>
      </c>
      <c r="H31" s="135"/>
      <c r="I31" s="415" t="s">
        <v>609</v>
      </c>
      <c r="J31" s="415" t="s">
        <v>619</v>
      </c>
      <c r="K31" s="172">
        <v>16.01</v>
      </c>
      <c r="M31" s="219"/>
      <c r="N31" s="455"/>
      <c r="O31" s="358"/>
      <c r="T31" s="358"/>
      <c r="X31" s="358"/>
      <c r="Z31" s="358"/>
      <c r="AA31" s="388"/>
      <c r="AC31" s="388"/>
      <c r="AL31" s="358"/>
      <c r="AO31" s="513"/>
      <c r="AT31" s="397"/>
      <c r="AU31" s="336"/>
      <c r="BC31" s="358"/>
    </row>
    <row r="32" s="323" customFormat="1" ht="42" customHeight="1" spans="1:78">
      <c r="A32" s="172">
        <v>25</v>
      </c>
      <c r="C32" s="380">
        <v>45524</v>
      </c>
      <c r="D32" s="323">
        <v>20240004769</v>
      </c>
      <c r="E32" s="833" t="s">
        <v>620</v>
      </c>
      <c r="F32" s="417" t="s">
        <v>621</v>
      </c>
      <c r="G32" s="337" t="s">
        <v>622</v>
      </c>
      <c r="H32" s="135"/>
      <c r="I32" s="323" t="s">
        <v>492</v>
      </c>
      <c r="J32" s="323">
        <v>1</v>
      </c>
      <c r="K32" s="323">
        <v>106.72</v>
      </c>
      <c r="L32" s="323">
        <v>106.72</v>
      </c>
      <c r="M32" s="323">
        <f>N32/L32</f>
        <v>26567.6536731634</v>
      </c>
      <c r="N32" s="392">
        <v>2835300</v>
      </c>
      <c r="O32" s="327">
        <v>26000</v>
      </c>
      <c r="T32" s="327">
        <v>100000</v>
      </c>
      <c r="U32" s="379" t="s">
        <v>623</v>
      </c>
      <c r="V32" s="379"/>
      <c r="W32" s="379" t="s">
        <v>508</v>
      </c>
      <c r="X32" s="327">
        <v>50000</v>
      </c>
      <c r="Y32" s="379" t="s">
        <v>624</v>
      </c>
      <c r="Z32" s="327">
        <v>1785300</v>
      </c>
      <c r="AA32" s="379" t="s">
        <v>625</v>
      </c>
      <c r="AB32" s="327">
        <v>100000</v>
      </c>
      <c r="AC32" s="379" t="s">
        <v>623</v>
      </c>
      <c r="AL32" s="327">
        <f t="shared" ref="AL32:AL53" si="7">X32+Z32+AB32+AD32+AF32+AH32+AJ32</f>
        <v>1935300</v>
      </c>
      <c r="AO32" s="390">
        <f t="shared" ref="AO32:AO37" si="8">N32-AL32</f>
        <v>900000</v>
      </c>
      <c r="AP32" s="337">
        <v>15099260585</v>
      </c>
      <c r="AT32" s="398">
        <f t="shared" ref="AT32:AT41" si="9">AU32+AV32+AW32+AX32+AY32+AZ32+BA32+BB32</f>
        <v>800</v>
      </c>
      <c r="AU32" s="398">
        <f>200+200+200</f>
        <v>600</v>
      </c>
      <c r="AV32" s="327">
        <v>200</v>
      </c>
      <c r="AW32" s="327"/>
      <c r="AX32" s="327"/>
      <c r="AY32" s="327"/>
      <c r="AZ32" s="327"/>
      <c r="BA32" s="327"/>
      <c r="BB32" s="327"/>
      <c r="BC32" s="327">
        <f t="shared" ref="BC32:BC41" si="10">SUM(BE32:BW32)</f>
        <v>0</v>
      </c>
      <c r="BD32" s="479">
        <f>1%+0.18%+0.25%</f>
        <v>0.0143</v>
      </c>
      <c r="BE32" s="327"/>
      <c r="BF32" s="327"/>
      <c r="BG32" s="327"/>
      <c r="BH32" s="327"/>
      <c r="BI32" s="327"/>
      <c r="BJ32" s="327"/>
      <c r="BK32" s="327"/>
      <c r="BL32" s="327"/>
      <c r="BM32" s="327"/>
      <c r="BN32" s="327"/>
      <c r="BO32" s="327"/>
      <c r="BP32" s="327"/>
      <c r="BQ32" s="327"/>
      <c r="BR32" s="327"/>
      <c r="BS32" s="327"/>
      <c r="BT32" s="327"/>
      <c r="BU32" s="327"/>
      <c r="BV32" s="327"/>
      <c r="BW32" s="327"/>
      <c r="BZ32" s="323" t="s">
        <v>496</v>
      </c>
    </row>
    <row r="33" s="323" customFormat="1" ht="44" customHeight="1" spans="1:79">
      <c r="A33" s="172">
        <v>26</v>
      </c>
      <c r="C33" s="380">
        <v>45398</v>
      </c>
      <c r="D33" s="323">
        <v>20240002095</v>
      </c>
      <c r="E33" s="833" t="s">
        <v>626</v>
      </c>
      <c r="F33" s="338" t="s">
        <v>627</v>
      </c>
      <c r="G33" s="337" t="s">
        <v>628</v>
      </c>
      <c r="H33" s="135"/>
      <c r="I33" s="323" t="s">
        <v>492</v>
      </c>
      <c r="J33" s="323">
        <v>2</v>
      </c>
      <c r="K33" s="323">
        <v>103.64</v>
      </c>
      <c r="L33" s="323">
        <v>103.64</v>
      </c>
      <c r="M33" s="323">
        <v>23806.27</v>
      </c>
      <c r="N33" s="392">
        <v>2467282</v>
      </c>
      <c r="O33" s="327">
        <v>23806.26</v>
      </c>
      <c r="P33" s="323"/>
      <c r="T33" s="327"/>
      <c r="U33" s="380"/>
      <c r="V33" s="380"/>
      <c r="W33" s="380" t="s">
        <v>590</v>
      </c>
      <c r="X33" s="327">
        <v>100000</v>
      </c>
      <c r="Y33" s="380" t="s">
        <v>629</v>
      </c>
      <c r="Z33" s="327">
        <v>400000</v>
      </c>
      <c r="AA33" s="380" t="s">
        <v>630</v>
      </c>
      <c r="AB33" s="327">
        <v>743470</v>
      </c>
      <c r="AC33" s="380" t="s">
        <v>631</v>
      </c>
      <c r="AD33" s="327">
        <v>1240000</v>
      </c>
      <c r="AE33" s="380" t="s">
        <v>632</v>
      </c>
      <c r="AL33" s="327">
        <f t="shared" si="7"/>
        <v>2483470</v>
      </c>
      <c r="AO33" s="390">
        <f t="shared" si="8"/>
        <v>-16188</v>
      </c>
      <c r="AP33" s="323">
        <v>18160288656</v>
      </c>
      <c r="AT33" s="398">
        <f t="shared" si="9"/>
        <v>200</v>
      </c>
      <c r="AU33" s="398">
        <f>200</f>
        <v>200</v>
      </c>
      <c r="AV33" s="327"/>
      <c r="AW33" s="327"/>
      <c r="AX33" s="327"/>
      <c r="AY33" s="327"/>
      <c r="AZ33" s="327"/>
      <c r="BA33" s="327"/>
      <c r="BB33" s="327"/>
      <c r="BC33" s="327">
        <f t="shared" si="10"/>
        <v>2483470</v>
      </c>
      <c r="BD33" s="479">
        <f>1%+0.13%+0.14%</f>
        <v>0.0127</v>
      </c>
      <c r="BE33" s="327"/>
      <c r="BF33" s="327"/>
      <c r="BG33" s="327"/>
      <c r="BH33" s="327"/>
      <c r="BI33" s="327"/>
      <c r="BJ33" s="327"/>
      <c r="BK33" s="327"/>
      <c r="BL33" s="327"/>
      <c r="BM33" s="327"/>
      <c r="BN33" s="327">
        <v>1243470</v>
      </c>
      <c r="BO33" s="327">
        <v>1240000</v>
      </c>
      <c r="BP33" s="327"/>
      <c r="BQ33" s="327"/>
      <c r="BR33" s="327"/>
      <c r="BS33" s="327"/>
      <c r="BT33" s="327"/>
      <c r="BU33" s="327"/>
      <c r="BV33" s="327"/>
      <c r="BW33" s="327"/>
      <c r="BZ33" s="323" t="s">
        <v>496</v>
      </c>
      <c r="CA33" s="323" t="s">
        <v>506</v>
      </c>
    </row>
    <row r="34" s="323" customFormat="1" customHeight="1" spans="1:79">
      <c r="A34" s="172">
        <v>27</v>
      </c>
      <c r="C34" s="380">
        <v>45202</v>
      </c>
      <c r="D34" s="833" t="s">
        <v>633</v>
      </c>
      <c r="E34" s="833" t="s">
        <v>634</v>
      </c>
      <c r="F34" s="836" t="s">
        <v>635</v>
      </c>
      <c r="G34" s="337" t="s">
        <v>636</v>
      </c>
      <c r="H34" s="135"/>
      <c r="I34" s="323" t="s">
        <v>492</v>
      </c>
      <c r="J34" s="323">
        <v>3</v>
      </c>
      <c r="K34" s="323">
        <v>68.28</v>
      </c>
      <c r="L34" s="323">
        <v>68.28</v>
      </c>
      <c r="M34" s="323">
        <v>23776.41</v>
      </c>
      <c r="N34" s="392">
        <v>1623454</v>
      </c>
      <c r="O34" s="327">
        <v>23422.22</v>
      </c>
      <c r="P34" s="323"/>
      <c r="T34" s="327"/>
      <c r="U34" s="379"/>
      <c r="V34" s="379"/>
      <c r="W34" s="379" t="s">
        <v>637</v>
      </c>
      <c r="X34" s="327">
        <v>100000</v>
      </c>
      <c r="Y34" s="379" t="s">
        <v>638</v>
      </c>
      <c r="Z34" s="327">
        <f>270000+453915</f>
        <v>723915</v>
      </c>
      <c r="AA34" s="379" t="s">
        <v>639</v>
      </c>
      <c r="AB34" s="327">
        <v>810000</v>
      </c>
      <c r="AC34" s="379" t="s">
        <v>640</v>
      </c>
      <c r="AD34" s="327"/>
      <c r="AE34" s="379"/>
      <c r="AL34" s="327">
        <f t="shared" si="7"/>
        <v>1633915</v>
      </c>
      <c r="AO34" s="390">
        <f t="shared" si="8"/>
        <v>-10461</v>
      </c>
      <c r="AP34" s="323">
        <v>13565767398</v>
      </c>
      <c r="AT34" s="398">
        <f t="shared" si="9"/>
        <v>800</v>
      </c>
      <c r="AU34" s="398">
        <v>200</v>
      </c>
      <c r="AV34" s="327"/>
      <c r="AW34" s="327">
        <v>200</v>
      </c>
      <c r="AX34" s="327"/>
      <c r="AY34" s="327">
        <f>200+200</f>
        <v>400</v>
      </c>
      <c r="AZ34" s="327"/>
      <c r="BA34" s="327"/>
      <c r="BB34" s="327"/>
      <c r="BC34" s="327">
        <f t="shared" si="10"/>
        <v>1633915</v>
      </c>
      <c r="BD34" s="479">
        <f>1%+0.18%+0.25%</f>
        <v>0.0143</v>
      </c>
      <c r="BE34" s="327"/>
      <c r="BF34" s="327"/>
      <c r="BG34" s="327"/>
      <c r="BH34" s="327"/>
      <c r="BI34" s="327"/>
      <c r="BJ34" s="327"/>
      <c r="BK34" s="327">
        <v>1633915</v>
      </c>
      <c r="BL34" s="327"/>
      <c r="BM34" s="327"/>
      <c r="BN34" s="327"/>
      <c r="BO34" s="327"/>
      <c r="BP34" s="327"/>
      <c r="BQ34" s="327"/>
      <c r="BR34" s="327"/>
      <c r="BS34" s="327"/>
      <c r="BT34" s="327"/>
      <c r="BU34" s="327"/>
      <c r="BV34" s="327"/>
      <c r="BW34" s="327"/>
      <c r="BX34" s="172"/>
      <c r="BZ34" s="323" t="s">
        <v>496</v>
      </c>
      <c r="CA34" s="323" t="s">
        <v>506</v>
      </c>
    </row>
    <row r="35" s="323" customFormat="1" ht="43" customHeight="1" spans="1:79">
      <c r="A35" s="172">
        <v>28</v>
      </c>
      <c r="C35" s="380">
        <v>45198</v>
      </c>
      <c r="D35" s="323">
        <v>20230008210</v>
      </c>
      <c r="E35" s="833" t="s">
        <v>641</v>
      </c>
      <c r="F35" s="338" t="s">
        <v>642</v>
      </c>
      <c r="G35" s="337" t="s">
        <v>643</v>
      </c>
      <c r="H35" s="135"/>
      <c r="I35" s="323" t="s">
        <v>492</v>
      </c>
      <c r="J35" s="323">
        <v>4</v>
      </c>
      <c r="K35" s="323">
        <v>68.28</v>
      </c>
      <c r="L35" s="323">
        <v>68.28</v>
      </c>
      <c r="M35" s="323">
        <v>23428.405</v>
      </c>
      <c r="N35" s="392">
        <v>1610000</v>
      </c>
      <c r="O35" s="327">
        <v>23229.92</v>
      </c>
      <c r="T35" s="327"/>
      <c r="U35" s="380"/>
      <c r="V35" s="837" t="s">
        <v>644</v>
      </c>
      <c r="W35" s="379" t="s">
        <v>524</v>
      </c>
      <c r="X35" s="327">
        <v>300000</v>
      </c>
      <c r="Y35" s="365" t="s">
        <v>645</v>
      </c>
      <c r="Z35" s="327">
        <f>115000+75000</f>
        <v>190000</v>
      </c>
      <c r="AA35" s="380" t="s">
        <v>646</v>
      </c>
      <c r="AB35" s="327">
        <v>210000</v>
      </c>
      <c r="AC35" s="380" t="s">
        <v>647</v>
      </c>
      <c r="AD35" s="327">
        <v>630000</v>
      </c>
      <c r="AE35" s="380" t="s">
        <v>648</v>
      </c>
      <c r="AF35" s="327">
        <v>280000</v>
      </c>
      <c r="AG35" s="380" t="s">
        <v>649</v>
      </c>
      <c r="AL35" s="327">
        <f t="shared" si="7"/>
        <v>1610000</v>
      </c>
      <c r="AO35" s="390">
        <f t="shared" si="8"/>
        <v>0</v>
      </c>
      <c r="AP35" s="323">
        <v>18999626053</v>
      </c>
      <c r="AT35" s="398">
        <f t="shared" si="9"/>
        <v>400</v>
      </c>
      <c r="AU35" s="398"/>
      <c r="AV35" s="327">
        <v>200</v>
      </c>
      <c r="AW35" s="327"/>
      <c r="AX35" s="327"/>
      <c r="AY35" s="327"/>
      <c r="AZ35" s="327">
        <v>200</v>
      </c>
      <c r="BA35" s="327"/>
      <c r="BB35" s="327"/>
      <c r="BC35" s="327">
        <f t="shared" si="10"/>
        <v>1610000</v>
      </c>
      <c r="BD35" s="478">
        <f t="shared" ref="BD35:BD39" si="11">1%+0.18%+0.25%</f>
        <v>0.0143</v>
      </c>
      <c r="BE35" s="327"/>
      <c r="BF35" s="327"/>
      <c r="BG35" s="327"/>
      <c r="BH35" s="327"/>
      <c r="BI35" s="327"/>
      <c r="BJ35" s="327"/>
      <c r="BK35" s="327"/>
      <c r="BL35" s="327"/>
      <c r="BM35" s="327"/>
      <c r="BN35" s="327"/>
      <c r="BO35" s="327"/>
      <c r="BP35" s="327">
        <v>1610000</v>
      </c>
      <c r="BQ35" s="327"/>
      <c r="BR35" s="327"/>
      <c r="BS35" s="327"/>
      <c r="BT35" s="327"/>
      <c r="BU35" s="327"/>
      <c r="BV35" s="327"/>
      <c r="BW35" s="327"/>
      <c r="BZ35" s="323" t="s">
        <v>496</v>
      </c>
      <c r="CA35" s="323" t="s">
        <v>506</v>
      </c>
    </row>
    <row r="36" s="323" customFormat="1" ht="44" customHeight="1" spans="1:79">
      <c r="A36" s="172">
        <v>29</v>
      </c>
      <c r="C36" s="380">
        <v>45204</v>
      </c>
      <c r="D36" s="323">
        <v>20230008684</v>
      </c>
      <c r="E36" s="833" t="s">
        <v>650</v>
      </c>
      <c r="F36" s="338" t="s">
        <v>651</v>
      </c>
      <c r="G36" s="517" t="s">
        <v>652</v>
      </c>
      <c r="H36" s="135"/>
      <c r="I36" s="323" t="s">
        <v>492</v>
      </c>
      <c r="J36" s="323">
        <v>5</v>
      </c>
      <c r="K36" s="323">
        <v>68.28</v>
      </c>
      <c r="L36" s="323">
        <v>68.28</v>
      </c>
      <c r="M36" s="323">
        <v>23333.77</v>
      </c>
      <c r="N36" s="392">
        <v>1603497</v>
      </c>
      <c r="O36" s="327">
        <v>23133.77</v>
      </c>
      <c r="T36" s="327"/>
      <c r="V36" s="323" t="s">
        <v>653</v>
      </c>
      <c r="W36" s="323" t="s">
        <v>654</v>
      </c>
      <c r="X36" s="327">
        <v>10000</v>
      </c>
      <c r="Y36" s="379" t="s">
        <v>655</v>
      </c>
      <c r="Z36" s="327">
        <v>90000</v>
      </c>
      <c r="AA36" s="365" t="s">
        <v>567</v>
      </c>
      <c r="AB36" s="327">
        <v>1503497</v>
      </c>
      <c r="AC36" s="323" t="s">
        <v>639</v>
      </c>
      <c r="AL36" s="327">
        <f t="shared" si="7"/>
        <v>1603497</v>
      </c>
      <c r="AO36" s="390">
        <f t="shared" si="8"/>
        <v>0</v>
      </c>
      <c r="AP36" s="323">
        <v>19990631707</v>
      </c>
      <c r="AT36" s="398">
        <f t="shared" si="9"/>
        <v>500</v>
      </c>
      <c r="AU36" s="337"/>
      <c r="AW36" s="323">
        <v>200</v>
      </c>
      <c r="BB36" s="323">
        <v>300</v>
      </c>
      <c r="BC36" s="327">
        <f t="shared" si="10"/>
        <v>1603497</v>
      </c>
      <c r="BD36" s="479">
        <f t="shared" si="11"/>
        <v>0.0143</v>
      </c>
      <c r="BH36" s="323">
        <v>1603497</v>
      </c>
      <c r="BX36" s="172"/>
      <c r="BZ36" s="323" t="s">
        <v>496</v>
      </c>
      <c r="CA36" s="323" t="s">
        <v>506</v>
      </c>
    </row>
    <row r="37" s="323" customFormat="1" ht="34" customHeight="1" spans="1:79">
      <c r="A37" s="172">
        <v>30</v>
      </c>
      <c r="C37" s="323" t="s">
        <v>656</v>
      </c>
      <c r="D37" s="323">
        <v>20230008648</v>
      </c>
      <c r="E37" s="833" t="s">
        <v>657</v>
      </c>
      <c r="F37" s="338" t="s">
        <v>658</v>
      </c>
      <c r="G37" s="337" t="s">
        <v>659</v>
      </c>
      <c r="H37" s="135"/>
      <c r="I37" s="323" t="s">
        <v>492</v>
      </c>
      <c r="J37" s="323">
        <v>6</v>
      </c>
      <c r="K37" s="323">
        <v>60.15</v>
      </c>
      <c r="L37" s="323">
        <v>60.15</v>
      </c>
      <c r="M37" s="323">
        <v>23000</v>
      </c>
      <c r="N37" s="392">
        <v>1383450</v>
      </c>
      <c r="O37" s="327">
        <v>22747.48</v>
      </c>
      <c r="T37" s="327"/>
      <c r="U37" s="380"/>
      <c r="V37" s="337"/>
      <c r="W37" s="337" t="s">
        <v>660</v>
      </c>
      <c r="X37" s="327">
        <v>100000</v>
      </c>
      <c r="Y37" s="380" t="s">
        <v>656</v>
      </c>
      <c r="Z37" s="323">
        <v>612420</v>
      </c>
      <c r="AA37" s="323" t="s">
        <v>656</v>
      </c>
      <c r="AB37" s="323">
        <v>500000</v>
      </c>
      <c r="AC37" s="323" t="s">
        <v>661</v>
      </c>
      <c r="AD37" s="327">
        <v>180000</v>
      </c>
      <c r="AE37" s="380" t="s">
        <v>662</v>
      </c>
      <c r="AH37" s="327"/>
      <c r="AI37" s="380"/>
      <c r="AL37" s="327">
        <f t="shared" si="7"/>
        <v>1392420</v>
      </c>
      <c r="AO37" s="390">
        <f t="shared" si="8"/>
        <v>-8970</v>
      </c>
      <c r="AP37" s="323">
        <v>18799850653</v>
      </c>
      <c r="AT37" s="398">
        <f t="shared" si="9"/>
        <v>400</v>
      </c>
      <c r="AU37" s="398"/>
      <c r="AV37" s="327">
        <v>200</v>
      </c>
      <c r="AW37" s="327"/>
      <c r="AX37" s="327">
        <v>200</v>
      </c>
      <c r="AY37" s="327"/>
      <c r="AZ37" s="327"/>
      <c r="BA37" s="327"/>
      <c r="BB37" s="327"/>
      <c r="BC37" s="327">
        <f t="shared" si="10"/>
        <v>1392420</v>
      </c>
      <c r="BD37" s="479">
        <f>1%+0.18%+0.2%</f>
        <v>0.0138</v>
      </c>
      <c r="BE37" s="327"/>
      <c r="BF37" s="327"/>
      <c r="BG37" s="327"/>
      <c r="BH37" s="327"/>
      <c r="BI37" s="327">
        <v>1392420</v>
      </c>
      <c r="BJ37" s="327"/>
      <c r="BK37" s="327"/>
      <c r="BL37" s="327"/>
      <c r="BM37" s="327"/>
      <c r="BN37" s="327"/>
      <c r="BO37" s="327"/>
      <c r="BP37" s="327"/>
      <c r="BQ37" s="327"/>
      <c r="BR37" s="327"/>
      <c r="BS37" s="327"/>
      <c r="BT37" s="327"/>
      <c r="BU37" s="327"/>
      <c r="BV37" s="327"/>
      <c r="BW37" s="327"/>
      <c r="BX37" s="172"/>
      <c r="BZ37" s="323" t="s">
        <v>496</v>
      </c>
      <c r="CA37" s="323" t="s">
        <v>506</v>
      </c>
    </row>
    <row r="38" s="323" customFormat="1" customHeight="1" spans="1:79">
      <c r="A38" s="172">
        <v>31</v>
      </c>
      <c r="C38" s="380">
        <v>45370</v>
      </c>
      <c r="D38" s="323">
        <v>20240001485</v>
      </c>
      <c r="E38" s="833" t="s">
        <v>663</v>
      </c>
      <c r="F38" s="338" t="s">
        <v>664</v>
      </c>
      <c r="G38" s="337" t="s">
        <v>665</v>
      </c>
      <c r="H38" s="135"/>
      <c r="I38" s="323" t="s">
        <v>492</v>
      </c>
      <c r="J38" s="323">
        <v>7</v>
      </c>
      <c r="K38" s="323">
        <v>71.53</v>
      </c>
      <c r="L38" s="323">
        <v>71.53</v>
      </c>
      <c r="M38" s="323">
        <v>23600.01</v>
      </c>
      <c r="N38" s="392">
        <v>1688109</v>
      </c>
      <c r="O38" s="327">
        <v>23516.91</v>
      </c>
      <c r="T38" s="327"/>
      <c r="V38" s="833" t="s">
        <v>666</v>
      </c>
      <c r="W38" s="323" t="s">
        <v>508</v>
      </c>
      <c r="X38" s="327">
        <v>60000</v>
      </c>
      <c r="Y38" s="323" t="s">
        <v>667</v>
      </c>
      <c r="Z38" s="327">
        <v>40000</v>
      </c>
      <c r="AA38" s="323" t="s">
        <v>646</v>
      </c>
      <c r="AB38" s="327">
        <v>1000000</v>
      </c>
      <c r="AC38" s="323" t="s">
        <v>668</v>
      </c>
      <c r="AD38" s="327">
        <v>500000</v>
      </c>
      <c r="AE38" s="323" t="s">
        <v>669</v>
      </c>
      <c r="AF38" s="327">
        <v>20000</v>
      </c>
      <c r="AG38" s="323" t="s">
        <v>670</v>
      </c>
      <c r="AH38" s="327">
        <v>78965</v>
      </c>
      <c r="AI38" s="323" t="s">
        <v>671</v>
      </c>
      <c r="AL38" s="327">
        <f t="shared" si="7"/>
        <v>1698965</v>
      </c>
      <c r="AO38" s="390">
        <f t="shared" ref="AO38:AO43" si="12">N38-AL38</f>
        <v>-10856</v>
      </c>
      <c r="AP38" s="323">
        <v>18109967333</v>
      </c>
      <c r="AT38" s="398">
        <f t="shared" si="9"/>
        <v>500</v>
      </c>
      <c r="AU38" s="398"/>
      <c r="AV38" s="327"/>
      <c r="AW38" s="327">
        <v>200</v>
      </c>
      <c r="AX38" s="327"/>
      <c r="AY38" s="327"/>
      <c r="AZ38" s="327"/>
      <c r="BA38" s="327">
        <v>300</v>
      </c>
      <c r="BB38" s="327"/>
      <c r="BC38" s="327">
        <f t="shared" si="10"/>
        <v>1698965</v>
      </c>
      <c r="BD38" s="478">
        <f t="shared" si="11"/>
        <v>0.0143</v>
      </c>
      <c r="BE38" s="327"/>
      <c r="BF38" s="327"/>
      <c r="BG38" s="327"/>
      <c r="BH38" s="327"/>
      <c r="BI38" s="327"/>
      <c r="BJ38" s="327"/>
      <c r="BK38" s="327"/>
      <c r="BL38" s="327"/>
      <c r="BM38" s="327"/>
      <c r="BN38" s="327"/>
      <c r="BO38" s="327"/>
      <c r="BP38" s="327"/>
      <c r="BQ38" s="327">
        <v>1698965</v>
      </c>
      <c r="BR38" s="327"/>
      <c r="BS38" s="327"/>
      <c r="BT38" s="327"/>
      <c r="BU38" s="327"/>
      <c r="BV38" s="327"/>
      <c r="BW38" s="327"/>
      <c r="BZ38" s="323" t="s">
        <v>496</v>
      </c>
      <c r="CA38" s="323" t="s">
        <v>506</v>
      </c>
    </row>
    <row r="39" s="323" customFormat="1" customHeight="1" spans="1:79">
      <c r="A39" s="172">
        <v>32</v>
      </c>
      <c r="C39" s="380">
        <v>45204</v>
      </c>
      <c r="D39" s="323">
        <v>20230008670</v>
      </c>
      <c r="E39" s="833" t="s">
        <v>672</v>
      </c>
      <c r="F39" s="338" t="s">
        <v>673</v>
      </c>
      <c r="G39" s="518" t="s">
        <v>674</v>
      </c>
      <c r="H39" s="135"/>
      <c r="I39" s="323" t="s">
        <v>492</v>
      </c>
      <c r="J39" s="323">
        <v>8</v>
      </c>
      <c r="K39" s="323">
        <v>68.28</v>
      </c>
      <c r="L39" s="323">
        <v>68.28</v>
      </c>
      <c r="M39" s="323">
        <v>24000</v>
      </c>
      <c r="N39" s="392">
        <v>1638720</v>
      </c>
      <c r="O39" s="327">
        <v>23710.67</v>
      </c>
      <c r="T39" s="327"/>
      <c r="U39" s="380"/>
      <c r="V39" s="379" t="s">
        <v>675</v>
      </c>
      <c r="W39" s="379" t="s">
        <v>676</v>
      </c>
      <c r="X39" s="327">
        <f>10000+10000</f>
        <v>20000</v>
      </c>
      <c r="Y39" s="379" t="s">
        <v>677</v>
      </c>
      <c r="Z39" s="327">
        <v>80000</v>
      </c>
      <c r="AA39" s="365" t="s">
        <v>678</v>
      </c>
      <c r="AB39" s="327">
        <f>947000+2280</f>
        <v>949280</v>
      </c>
      <c r="AC39" s="380" t="s">
        <v>656</v>
      </c>
      <c r="AD39" s="327">
        <v>600000</v>
      </c>
      <c r="AE39" s="380" t="s">
        <v>679</v>
      </c>
      <c r="AL39" s="327">
        <f t="shared" si="7"/>
        <v>1649280</v>
      </c>
      <c r="AO39" s="390">
        <f t="shared" si="12"/>
        <v>-10560</v>
      </c>
      <c r="AP39" s="323">
        <v>15899027167</v>
      </c>
      <c r="AT39" s="398">
        <f t="shared" si="9"/>
        <v>500</v>
      </c>
      <c r="AU39" s="398"/>
      <c r="AV39" s="327">
        <v>200</v>
      </c>
      <c r="AW39" s="327"/>
      <c r="AX39" s="327"/>
      <c r="AY39" s="327"/>
      <c r="AZ39" s="327"/>
      <c r="BA39" s="327"/>
      <c r="BB39" s="327">
        <v>300</v>
      </c>
      <c r="BC39" s="327">
        <f t="shared" si="10"/>
        <v>1649280</v>
      </c>
      <c r="BD39" s="478">
        <f t="shared" si="11"/>
        <v>0.0143</v>
      </c>
      <c r="BE39" s="327"/>
      <c r="BF39" s="327"/>
      <c r="BG39" s="327"/>
      <c r="BH39" s="327"/>
      <c r="BI39" s="327"/>
      <c r="BJ39" s="327">
        <v>1649280</v>
      </c>
      <c r="BK39" s="327"/>
      <c r="BL39" s="327"/>
      <c r="BM39" s="327"/>
      <c r="BN39" s="327"/>
      <c r="BO39" s="327"/>
      <c r="BP39" s="327"/>
      <c r="BQ39" s="327"/>
      <c r="BR39" s="327"/>
      <c r="BS39" s="327"/>
      <c r="BT39" s="327"/>
      <c r="BU39" s="327"/>
      <c r="BV39" s="327"/>
      <c r="BW39" s="327"/>
      <c r="BX39" s="172"/>
      <c r="BZ39" s="323" t="s">
        <v>496</v>
      </c>
      <c r="CA39" s="323" t="s">
        <v>506</v>
      </c>
    </row>
    <row r="40" s="323" customFormat="1" customHeight="1" spans="1:78">
      <c r="A40" s="172">
        <v>33</v>
      </c>
      <c r="B40" s="323"/>
      <c r="C40" s="323" t="s">
        <v>88</v>
      </c>
      <c r="D40" s="323">
        <v>20240005488</v>
      </c>
      <c r="E40" s="323" t="s">
        <v>130</v>
      </c>
      <c r="F40" s="338" t="s">
        <v>131</v>
      </c>
      <c r="G40" s="323" t="s">
        <v>132</v>
      </c>
      <c r="H40" s="135"/>
      <c r="I40" s="323" t="s">
        <v>492</v>
      </c>
      <c r="J40" s="323">
        <v>9</v>
      </c>
      <c r="K40" s="323">
        <v>121.98</v>
      </c>
      <c r="L40" s="323">
        <v>121.98</v>
      </c>
      <c r="M40" s="323">
        <v>24300</v>
      </c>
      <c r="N40" s="392">
        <v>2964114</v>
      </c>
      <c r="O40" s="327">
        <v>22881</v>
      </c>
      <c r="Q40" s="323">
        <v>2719370.64</v>
      </c>
      <c r="R40" s="833" t="s">
        <v>680</v>
      </c>
      <c r="S40" s="524">
        <v>45576</v>
      </c>
      <c r="T40" s="327"/>
      <c r="U40" s="380"/>
      <c r="V40" s="380"/>
      <c r="W40" s="380"/>
      <c r="X40" s="327">
        <f>1500000</f>
        <v>1500000</v>
      </c>
      <c r="Y40" s="380" t="s">
        <v>88</v>
      </c>
      <c r="Z40" s="327">
        <v>1488900</v>
      </c>
      <c r="AA40" s="365" t="s">
        <v>252</v>
      </c>
      <c r="AC40" s="365"/>
      <c r="AL40" s="327">
        <f t="shared" si="7"/>
        <v>2988900</v>
      </c>
      <c r="AO40" s="390">
        <f t="shared" si="12"/>
        <v>-24786</v>
      </c>
      <c r="AP40" s="323">
        <v>18999606611</v>
      </c>
      <c r="AT40" s="398">
        <f t="shared" si="9"/>
        <v>200</v>
      </c>
      <c r="AU40" s="398"/>
      <c r="AV40" s="327">
        <v>200</v>
      </c>
      <c r="AW40" s="327"/>
      <c r="AX40" s="327"/>
      <c r="AY40" s="327"/>
      <c r="AZ40" s="327"/>
      <c r="BA40" s="327"/>
      <c r="BB40" s="327"/>
      <c r="BC40" s="327">
        <f t="shared" si="10"/>
        <v>0</v>
      </c>
      <c r="BD40" s="479"/>
      <c r="BE40" s="327"/>
      <c r="BF40" s="327"/>
      <c r="BG40" s="327"/>
      <c r="BH40" s="327"/>
      <c r="BI40" s="327"/>
      <c r="BJ40" s="327"/>
      <c r="BK40" s="327"/>
      <c r="BL40" s="327"/>
      <c r="BM40" s="327"/>
      <c r="BN40" s="327"/>
      <c r="BO40" s="327"/>
      <c r="BP40" s="327"/>
      <c r="BQ40" s="327"/>
      <c r="BR40" s="327"/>
      <c r="BS40" s="327"/>
      <c r="BT40" s="327"/>
      <c r="BU40" s="327"/>
      <c r="BV40" s="327"/>
      <c r="BW40" s="327"/>
      <c r="BZ40" s="323" t="s">
        <v>496</v>
      </c>
    </row>
    <row r="41" s="323" customFormat="1" ht="60" customHeight="1" spans="1:78">
      <c r="A41" s="172">
        <v>34</v>
      </c>
      <c r="C41" s="323" t="s">
        <v>375</v>
      </c>
      <c r="D41" s="323">
        <v>20240007440</v>
      </c>
      <c r="E41" s="833" t="s">
        <v>376</v>
      </c>
      <c r="F41" s="338" t="s">
        <v>377</v>
      </c>
      <c r="G41" s="519" t="s">
        <v>378</v>
      </c>
      <c r="H41" s="135"/>
      <c r="I41" s="323" t="s">
        <v>492</v>
      </c>
      <c r="J41" s="323">
        <v>10</v>
      </c>
      <c r="K41" s="323">
        <v>206.2</v>
      </c>
      <c r="L41" s="323">
        <v>206.2</v>
      </c>
      <c r="M41" s="323">
        <v>25537.24</v>
      </c>
      <c r="N41" s="392">
        <v>5265780</v>
      </c>
      <c r="O41" s="327">
        <v>26000</v>
      </c>
      <c r="P41" s="323" t="s">
        <v>593</v>
      </c>
      <c r="T41" s="327">
        <v>650000</v>
      </c>
      <c r="U41" s="380" t="s">
        <v>420</v>
      </c>
      <c r="V41" s="379"/>
      <c r="W41" s="380" t="s">
        <v>524</v>
      </c>
      <c r="X41" s="327">
        <v>50000</v>
      </c>
      <c r="Y41" s="380" t="s">
        <v>681</v>
      </c>
      <c r="Z41" s="327">
        <v>300000</v>
      </c>
      <c r="AA41" s="380" t="s">
        <v>682</v>
      </c>
      <c r="AB41" s="327">
        <v>650000</v>
      </c>
      <c r="AC41" s="380" t="s">
        <v>420</v>
      </c>
      <c r="AL41" s="327">
        <f t="shared" si="7"/>
        <v>1000000</v>
      </c>
      <c r="AO41" s="390">
        <f t="shared" si="12"/>
        <v>4265780</v>
      </c>
      <c r="AP41" s="323">
        <v>18196458777</v>
      </c>
      <c r="AT41" s="398">
        <f t="shared" si="9"/>
        <v>500</v>
      </c>
      <c r="AU41" s="398"/>
      <c r="AV41" s="327">
        <v>200</v>
      </c>
      <c r="AW41" s="327"/>
      <c r="AX41" s="327"/>
      <c r="AY41" s="327"/>
      <c r="AZ41" s="327"/>
      <c r="BA41" s="327">
        <v>300</v>
      </c>
      <c r="BB41" s="327"/>
      <c r="BC41" s="327">
        <f t="shared" si="10"/>
        <v>0</v>
      </c>
      <c r="BD41" s="479">
        <f>1%+0.25%</f>
        <v>0.0125</v>
      </c>
      <c r="BE41" s="327"/>
      <c r="BF41" s="327"/>
      <c r="BG41" s="327"/>
      <c r="BH41" s="327"/>
      <c r="BI41" s="327"/>
      <c r="BJ41" s="327"/>
      <c r="BK41" s="327"/>
      <c r="BL41" s="327"/>
      <c r="BM41" s="327"/>
      <c r="BN41" s="327"/>
      <c r="BO41" s="327"/>
      <c r="BP41" s="327"/>
      <c r="BQ41" s="327"/>
      <c r="BR41" s="327"/>
      <c r="BS41" s="327"/>
      <c r="BT41" s="327"/>
      <c r="BU41" s="327"/>
      <c r="BV41" s="327"/>
      <c r="BW41" s="327"/>
      <c r="BZ41" s="323" t="s">
        <v>496</v>
      </c>
    </row>
    <row r="42" s="323" customFormat="1" customHeight="1" spans="1:78">
      <c r="A42" s="172">
        <v>35</v>
      </c>
      <c r="C42" s="380">
        <v>45527</v>
      </c>
      <c r="D42" s="323">
        <v>20240004826</v>
      </c>
      <c r="F42" s="338" t="s">
        <v>683</v>
      </c>
      <c r="G42" s="323" t="s">
        <v>684</v>
      </c>
      <c r="H42" s="135"/>
      <c r="I42" s="323" t="s">
        <v>492</v>
      </c>
      <c r="J42" s="323">
        <v>11</v>
      </c>
      <c r="K42" s="323">
        <v>178.05</v>
      </c>
      <c r="L42" s="323">
        <v>178.05</v>
      </c>
      <c r="M42" s="323">
        <v>25669.65</v>
      </c>
      <c r="N42" s="392">
        <v>4570480</v>
      </c>
      <c r="O42" s="326">
        <v>25669.645</v>
      </c>
      <c r="T42" s="327"/>
      <c r="U42" s="380"/>
      <c r="V42" s="337"/>
      <c r="W42" s="380" t="s">
        <v>594</v>
      </c>
      <c r="X42" s="327">
        <f>100000+100000</f>
        <v>200000</v>
      </c>
      <c r="Y42" s="380" t="s">
        <v>685</v>
      </c>
      <c r="Z42" s="327">
        <v>500000</v>
      </c>
      <c r="AA42" s="380" t="s">
        <v>686</v>
      </c>
      <c r="AB42" s="327">
        <v>300000</v>
      </c>
      <c r="AC42" s="380" t="s">
        <v>661</v>
      </c>
      <c r="AD42" s="327">
        <v>200000</v>
      </c>
      <c r="AE42" s="380" t="s">
        <v>662</v>
      </c>
      <c r="AF42" s="327">
        <v>300000</v>
      </c>
      <c r="AG42" s="380" t="s">
        <v>687</v>
      </c>
      <c r="AH42" s="327">
        <v>100000</v>
      </c>
      <c r="AI42" s="380" t="s">
        <v>688</v>
      </c>
      <c r="AJ42" s="327">
        <f>300000+400000+300000+2000000</f>
        <v>3000000</v>
      </c>
      <c r="AK42" s="337" t="s">
        <v>689</v>
      </c>
      <c r="AL42" s="327">
        <f t="shared" si="7"/>
        <v>4600000</v>
      </c>
      <c r="AO42" s="390">
        <f t="shared" si="12"/>
        <v>-29520</v>
      </c>
      <c r="AP42" s="323">
        <v>18099969889</v>
      </c>
      <c r="AT42" s="398">
        <f t="shared" ref="AT42:AT73" si="13">AU42+AV42+AW42+AX42+AY42+AZ42+BA42+BB42</f>
        <v>0</v>
      </c>
      <c r="AU42" s="398"/>
      <c r="AV42" s="327"/>
      <c r="AW42" s="327"/>
      <c r="AX42" s="327"/>
      <c r="AY42" s="327"/>
      <c r="AZ42" s="327"/>
      <c r="BA42" s="327"/>
      <c r="BB42" s="327"/>
      <c r="BC42" s="327">
        <f t="shared" ref="BC42:BC73" si="14">SUM(BE42:BW42)</f>
        <v>4600000</v>
      </c>
      <c r="BD42" s="479">
        <v>0.0138</v>
      </c>
      <c r="BE42" s="327"/>
      <c r="BF42" s="327"/>
      <c r="BG42" s="327"/>
      <c r="BH42" s="327"/>
      <c r="BI42" s="327"/>
      <c r="BJ42" s="327"/>
      <c r="BK42" s="327"/>
      <c r="BL42" s="327"/>
      <c r="BM42" s="327"/>
      <c r="BN42" s="327"/>
      <c r="BO42" s="327"/>
      <c r="BP42" s="327"/>
      <c r="BQ42" s="327"/>
      <c r="BR42" s="327">
        <v>2300000</v>
      </c>
      <c r="BS42" s="327">
        <v>2300000</v>
      </c>
      <c r="BT42" s="327"/>
      <c r="BU42" s="327"/>
      <c r="BV42" s="327"/>
      <c r="BW42" s="327"/>
      <c r="BX42" s="323"/>
      <c r="BZ42" s="323" t="s">
        <v>496</v>
      </c>
    </row>
    <row r="43" s="323" customFormat="1" ht="53" customHeight="1" spans="1:83">
      <c r="A43" s="172">
        <v>36</v>
      </c>
      <c r="C43" s="323" t="s">
        <v>690</v>
      </c>
      <c r="D43" s="323">
        <v>20230008587</v>
      </c>
      <c r="E43" s="833" t="s">
        <v>691</v>
      </c>
      <c r="F43" s="338" t="s">
        <v>692</v>
      </c>
      <c r="G43" s="519" t="s">
        <v>693</v>
      </c>
      <c r="H43" s="135"/>
      <c r="I43" s="323" t="s">
        <v>492</v>
      </c>
      <c r="J43" s="323">
        <v>12</v>
      </c>
      <c r="K43" s="323">
        <v>63.93</v>
      </c>
      <c r="L43" s="323">
        <v>63.93</v>
      </c>
      <c r="M43" s="323">
        <v>20000</v>
      </c>
      <c r="N43" s="392">
        <v>1278600</v>
      </c>
      <c r="O43" s="327">
        <v>19919.88</v>
      </c>
      <c r="T43" s="327"/>
      <c r="V43" s="337" t="s">
        <v>694</v>
      </c>
      <c r="W43" s="337" t="s">
        <v>695</v>
      </c>
      <c r="X43" s="327">
        <f>10000</f>
        <v>10000</v>
      </c>
      <c r="Y43" s="337" t="s">
        <v>696</v>
      </c>
      <c r="Z43" s="327">
        <v>90000</v>
      </c>
      <c r="AA43" s="365" t="s">
        <v>567</v>
      </c>
      <c r="AB43" s="327">
        <v>550000</v>
      </c>
      <c r="AC43" s="323" t="s">
        <v>697</v>
      </c>
      <c r="AD43" s="327">
        <v>200000</v>
      </c>
      <c r="AE43" s="323" t="s">
        <v>698</v>
      </c>
      <c r="AF43" s="327">
        <v>390000</v>
      </c>
      <c r="AG43" s="323" t="s">
        <v>699</v>
      </c>
      <c r="AH43" s="323">
        <v>46800</v>
      </c>
      <c r="AI43" s="323" t="s">
        <v>700</v>
      </c>
      <c r="AL43" s="327">
        <f t="shared" si="7"/>
        <v>1286800</v>
      </c>
      <c r="AO43" s="390">
        <f t="shared" si="12"/>
        <v>-8200</v>
      </c>
      <c r="AP43" s="323">
        <v>18999613918</v>
      </c>
      <c r="AT43" s="398">
        <f t="shared" si="13"/>
        <v>900</v>
      </c>
      <c r="AU43" s="398"/>
      <c r="AV43" s="327"/>
      <c r="AW43" s="327">
        <v>200</v>
      </c>
      <c r="AX43" s="327"/>
      <c r="AY43" s="327">
        <v>200</v>
      </c>
      <c r="AZ43" s="327">
        <v>200</v>
      </c>
      <c r="BA43" s="327"/>
      <c r="BB43" s="327">
        <v>300</v>
      </c>
      <c r="BC43" s="327">
        <f t="shared" si="14"/>
        <v>1286800</v>
      </c>
      <c r="BD43" s="479">
        <v>0.012</v>
      </c>
      <c r="BE43" s="327"/>
      <c r="BF43" s="327"/>
      <c r="BG43" s="327"/>
      <c r="BH43" s="327"/>
      <c r="BI43" s="327"/>
      <c r="BJ43" s="327"/>
      <c r="BK43" s="327"/>
      <c r="BL43" s="327"/>
      <c r="BM43" s="327">
        <v>1286800</v>
      </c>
      <c r="BN43" s="327"/>
      <c r="BO43" s="327"/>
      <c r="BP43" s="327"/>
      <c r="BQ43" s="327"/>
      <c r="BR43" s="327"/>
      <c r="BS43" s="327"/>
      <c r="BT43" s="327"/>
      <c r="BU43" s="327"/>
      <c r="BV43" s="327"/>
      <c r="BW43" s="327"/>
      <c r="BX43" s="172"/>
      <c r="BZ43" s="323" t="s">
        <v>496</v>
      </c>
      <c r="CA43" s="323" t="s">
        <v>506</v>
      </c>
      <c r="CE43" s="323">
        <v>4800</v>
      </c>
    </row>
    <row r="44" s="323" customFormat="1" ht="57" customHeight="1" spans="1:83">
      <c r="A44" s="172">
        <v>37</v>
      </c>
      <c r="C44" s="380">
        <v>45201</v>
      </c>
      <c r="D44" s="323">
        <v>20230008471</v>
      </c>
      <c r="E44" s="833" t="s">
        <v>701</v>
      </c>
      <c r="F44" s="338" t="s">
        <v>702</v>
      </c>
      <c r="G44" s="517" t="s">
        <v>703</v>
      </c>
      <c r="H44" s="135"/>
      <c r="I44" s="323" t="s">
        <v>492</v>
      </c>
      <c r="J44" s="323">
        <v>13</v>
      </c>
      <c r="K44" s="323">
        <v>63.93</v>
      </c>
      <c r="L44" s="323">
        <v>63.93</v>
      </c>
      <c r="M44" s="323">
        <v>20027.58</v>
      </c>
      <c r="N44" s="392">
        <v>1288575</v>
      </c>
      <c r="O44" s="327">
        <v>19827.58</v>
      </c>
      <c r="T44" s="327"/>
      <c r="V44" s="337" t="s">
        <v>704</v>
      </c>
      <c r="W44" s="337" t="s">
        <v>705</v>
      </c>
      <c r="X44" s="327">
        <v>5000</v>
      </c>
      <c r="Y44" s="379">
        <v>44780</v>
      </c>
      <c r="Z44" s="327">
        <v>95000</v>
      </c>
      <c r="AA44" s="365" t="s">
        <v>567</v>
      </c>
      <c r="AB44" s="327">
        <v>548575</v>
      </c>
      <c r="AC44" s="323" t="s">
        <v>541</v>
      </c>
      <c r="AD44" s="327">
        <v>640000</v>
      </c>
      <c r="AE44" s="323" t="s">
        <v>706</v>
      </c>
      <c r="AL44" s="327">
        <f t="shared" si="7"/>
        <v>1288575</v>
      </c>
      <c r="AO44" s="390">
        <f t="shared" ref="AO44:AO49" si="15">N44-AL44</f>
        <v>0</v>
      </c>
      <c r="AP44" s="323">
        <v>15299373632</v>
      </c>
      <c r="AT44" s="398">
        <f t="shared" si="13"/>
        <v>500</v>
      </c>
      <c r="AU44" s="398"/>
      <c r="AV44" s="327"/>
      <c r="AW44" s="327">
        <v>200</v>
      </c>
      <c r="AX44" s="327"/>
      <c r="AY44" s="327"/>
      <c r="AZ44" s="327"/>
      <c r="BA44" s="327"/>
      <c r="BB44" s="327">
        <v>300</v>
      </c>
      <c r="BC44" s="327">
        <f t="shared" si="14"/>
        <v>1288575</v>
      </c>
      <c r="BD44" s="479">
        <v>0.0143</v>
      </c>
      <c r="BE44" s="327"/>
      <c r="BF44" s="327"/>
      <c r="BG44" s="327"/>
      <c r="BH44" s="327"/>
      <c r="BI44" s="327"/>
      <c r="BJ44" s="327">
        <v>1288575</v>
      </c>
      <c r="BK44" s="327"/>
      <c r="BL44" s="327"/>
      <c r="BM44" s="327"/>
      <c r="BN44" s="327"/>
      <c r="BO44" s="327"/>
      <c r="BP44" s="327"/>
      <c r="BQ44" s="327"/>
      <c r="BR44" s="327"/>
      <c r="BS44" s="327"/>
      <c r="BT44" s="327"/>
      <c r="BU44" s="327"/>
      <c r="BV44" s="327"/>
      <c r="BW44" s="327"/>
      <c r="BX44" s="172"/>
      <c r="BZ44" s="323" t="s">
        <v>496</v>
      </c>
      <c r="CA44" s="323" t="s">
        <v>506</v>
      </c>
      <c r="CE44" s="323">
        <v>17063.3331</v>
      </c>
    </row>
    <row r="45" s="323" customFormat="1" customHeight="1" spans="1:78">
      <c r="A45" s="172">
        <v>38</v>
      </c>
      <c r="B45" s="323"/>
      <c r="C45" s="323" t="s">
        <v>379</v>
      </c>
      <c r="D45" s="323">
        <v>20240007405</v>
      </c>
      <c r="E45" s="833" t="s">
        <v>380</v>
      </c>
      <c r="F45" s="338" t="s">
        <v>381</v>
      </c>
      <c r="G45" s="337" t="s">
        <v>382</v>
      </c>
      <c r="H45" s="135"/>
      <c r="I45" s="323" t="s">
        <v>492</v>
      </c>
      <c r="J45" s="323">
        <v>14</v>
      </c>
      <c r="K45" s="323">
        <v>112.41</v>
      </c>
      <c r="L45" s="323">
        <v>112.41</v>
      </c>
      <c r="M45" s="323">
        <v>17347.21</v>
      </c>
      <c r="N45" s="392">
        <v>1950000</v>
      </c>
      <c r="O45" s="327">
        <v>16848</v>
      </c>
      <c r="T45" s="327">
        <v>1090000</v>
      </c>
      <c r="U45" s="380" t="s">
        <v>420</v>
      </c>
      <c r="W45" s="337" t="s">
        <v>707</v>
      </c>
      <c r="X45" s="327">
        <f>30000-30000</f>
        <v>0</v>
      </c>
      <c r="Y45" s="380">
        <v>45561</v>
      </c>
      <c r="Z45" s="327">
        <v>20000</v>
      </c>
      <c r="AA45" s="380" t="s">
        <v>379</v>
      </c>
      <c r="AB45" s="327">
        <v>1090000</v>
      </c>
      <c r="AC45" s="380" t="s">
        <v>420</v>
      </c>
      <c r="AL45" s="327">
        <f t="shared" si="7"/>
        <v>1110000</v>
      </c>
      <c r="AO45" s="390">
        <f t="shared" si="15"/>
        <v>840000</v>
      </c>
      <c r="AP45" s="323">
        <v>13920917173</v>
      </c>
      <c r="AT45" s="398">
        <f t="shared" si="13"/>
        <v>0</v>
      </c>
      <c r="AU45" s="337"/>
      <c r="BC45" s="327">
        <f t="shared" si="14"/>
        <v>1110000</v>
      </c>
      <c r="BD45" s="478">
        <f>1%+0.18%+0.25%+0.03%</f>
        <v>0.0146</v>
      </c>
      <c r="BV45" s="323">
        <v>1110000</v>
      </c>
      <c r="BX45" s="323">
        <f>BV45*BD45</f>
        <v>16206</v>
      </c>
      <c r="BZ45" s="323" t="s">
        <v>496</v>
      </c>
    </row>
    <row r="46" s="323" customFormat="1" ht="38" customHeight="1" spans="1:83">
      <c r="A46" s="172">
        <v>39</v>
      </c>
      <c r="C46" s="323" t="s">
        <v>88</v>
      </c>
      <c r="D46" s="323">
        <v>20240005606</v>
      </c>
      <c r="E46" s="833" t="s">
        <v>136</v>
      </c>
      <c r="F46" s="338" t="s">
        <v>137</v>
      </c>
      <c r="G46" s="337" t="s">
        <v>138</v>
      </c>
      <c r="H46" s="135"/>
      <c r="I46" s="323" t="s">
        <v>492</v>
      </c>
      <c r="J46" s="323">
        <v>15</v>
      </c>
      <c r="K46" s="323">
        <v>67.42</v>
      </c>
      <c r="L46" s="323">
        <v>67.42</v>
      </c>
      <c r="M46" s="323">
        <v>17479.73</v>
      </c>
      <c r="N46" s="392">
        <v>1178483</v>
      </c>
      <c r="O46" s="327">
        <v>17470.41</v>
      </c>
      <c r="Q46" s="323">
        <v>1081177.06</v>
      </c>
      <c r="R46" s="833" t="s">
        <v>708</v>
      </c>
      <c r="S46" s="524">
        <v>45590</v>
      </c>
      <c r="T46" s="327"/>
      <c r="U46" s="380"/>
      <c r="V46" s="323"/>
      <c r="W46" s="337" t="s">
        <v>709</v>
      </c>
      <c r="X46" s="323">
        <v>20000</v>
      </c>
      <c r="Y46" s="365" t="s">
        <v>710</v>
      </c>
      <c r="Z46" s="327">
        <v>376000</v>
      </c>
      <c r="AA46" s="380">
        <v>45553</v>
      </c>
      <c r="AB46" s="327">
        <v>590000</v>
      </c>
      <c r="AC46" s="380" t="s">
        <v>711</v>
      </c>
      <c r="AD46" s="327"/>
      <c r="AE46" s="380"/>
      <c r="AF46" s="327"/>
      <c r="AG46" s="380"/>
      <c r="AL46" s="327">
        <f t="shared" si="7"/>
        <v>986000</v>
      </c>
      <c r="AO46" s="390">
        <f t="shared" ref="AO46:AO53" si="16">N46-AL46</f>
        <v>192483</v>
      </c>
      <c r="AP46" s="323">
        <v>15739818996</v>
      </c>
      <c r="AT46" s="398">
        <f t="shared" si="13"/>
        <v>200</v>
      </c>
      <c r="AU46" s="398"/>
      <c r="AV46" s="327">
        <v>200</v>
      </c>
      <c r="AW46" s="327"/>
      <c r="AX46" s="327"/>
      <c r="AY46" s="327"/>
      <c r="AZ46" s="327"/>
      <c r="BA46" s="327"/>
      <c r="BB46" s="327"/>
      <c r="BC46" s="327">
        <f t="shared" si="14"/>
        <v>0</v>
      </c>
      <c r="BD46" s="479">
        <v>0.0125</v>
      </c>
      <c r="BE46" s="327"/>
      <c r="BF46" s="327"/>
      <c r="BG46" s="327"/>
      <c r="BH46" s="327"/>
      <c r="BI46" s="327"/>
      <c r="BJ46" s="327"/>
      <c r="BK46" s="327"/>
      <c r="BL46" s="327"/>
      <c r="BM46" s="327"/>
      <c r="BN46" s="327"/>
      <c r="BO46" s="327"/>
      <c r="BP46" s="327"/>
      <c r="BQ46" s="327"/>
      <c r="BR46" s="327"/>
      <c r="BS46" s="327"/>
      <c r="BT46" s="327"/>
      <c r="BU46" s="327"/>
      <c r="BV46" s="327"/>
      <c r="BW46" s="327"/>
      <c r="BZ46" s="323" t="s">
        <v>496</v>
      </c>
      <c r="CE46" s="323">
        <v>5148</v>
      </c>
    </row>
    <row r="47" s="323" customFormat="1" customHeight="1" spans="1:83">
      <c r="A47" s="172">
        <v>40</v>
      </c>
      <c r="C47" s="323" t="s">
        <v>712</v>
      </c>
      <c r="D47" s="323">
        <v>20240001898</v>
      </c>
      <c r="E47" s="833" t="s">
        <v>713</v>
      </c>
      <c r="F47" s="338" t="s">
        <v>714</v>
      </c>
      <c r="G47" s="323" t="s">
        <v>715</v>
      </c>
      <c r="H47" s="135"/>
      <c r="I47" s="323" t="s">
        <v>492</v>
      </c>
      <c r="J47" s="323">
        <v>16</v>
      </c>
      <c r="K47" s="323">
        <v>110.21</v>
      </c>
      <c r="L47" s="323">
        <v>110.21</v>
      </c>
      <c r="M47" s="323">
        <v>17100</v>
      </c>
      <c r="N47" s="392">
        <v>1896732</v>
      </c>
      <c r="O47" s="327">
        <v>17100</v>
      </c>
      <c r="T47" s="327"/>
      <c r="W47" s="323" t="s">
        <v>709</v>
      </c>
      <c r="X47" s="327">
        <v>100000</v>
      </c>
      <c r="Y47" s="323" t="s">
        <v>699</v>
      </c>
      <c r="Z47" s="327">
        <v>290000</v>
      </c>
      <c r="AA47" s="323" t="s">
        <v>716</v>
      </c>
      <c r="AB47" s="323">
        <v>810000</v>
      </c>
      <c r="AC47" s="365" t="s">
        <v>716</v>
      </c>
      <c r="AD47" s="323">
        <v>6732</v>
      </c>
      <c r="AE47" s="323" t="s">
        <v>712</v>
      </c>
      <c r="AF47" s="327">
        <v>690000</v>
      </c>
      <c r="AG47" s="323" t="s">
        <v>717</v>
      </c>
      <c r="AL47" s="327">
        <f t="shared" si="7"/>
        <v>1896732</v>
      </c>
      <c r="AO47" s="390">
        <f t="shared" si="16"/>
        <v>0</v>
      </c>
      <c r="AP47" s="323">
        <v>15199929062</v>
      </c>
      <c r="AT47" s="398">
        <f t="shared" si="13"/>
        <v>0</v>
      </c>
      <c r="AU47" s="337"/>
      <c r="BC47" s="327">
        <f t="shared" si="14"/>
        <v>1896732</v>
      </c>
      <c r="BD47" s="478">
        <f>1%+0.2%</f>
        <v>0.012</v>
      </c>
      <c r="BO47" s="323">
        <v>1896732</v>
      </c>
      <c r="BZ47" s="323" t="s">
        <v>496</v>
      </c>
      <c r="CA47" s="323" t="s">
        <v>506</v>
      </c>
      <c r="CE47" s="323">
        <v>5720</v>
      </c>
    </row>
    <row r="48" s="323" customFormat="1" customHeight="1" spans="1:83">
      <c r="A48" s="172">
        <v>41</v>
      </c>
      <c r="C48" s="380">
        <v>45203</v>
      </c>
      <c r="D48" s="323">
        <v>20230008599</v>
      </c>
      <c r="E48" s="833" t="s">
        <v>718</v>
      </c>
      <c r="F48" s="338" t="s">
        <v>719</v>
      </c>
      <c r="G48" s="323" t="s">
        <v>720</v>
      </c>
      <c r="H48" s="135"/>
      <c r="I48" s="323" t="s">
        <v>492</v>
      </c>
      <c r="J48" s="323">
        <v>17</v>
      </c>
      <c r="K48" s="323">
        <v>50.88</v>
      </c>
      <c r="L48" s="323">
        <v>50.88</v>
      </c>
      <c r="M48" s="323">
        <v>17965.24</v>
      </c>
      <c r="N48" s="392">
        <v>914072</v>
      </c>
      <c r="O48" s="327">
        <v>17813.85</v>
      </c>
      <c r="T48" s="327"/>
      <c r="W48" s="323" t="s">
        <v>721</v>
      </c>
      <c r="X48" s="327">
        <v>50000</v>
      </c>
      <c r="Y48" s="323" t="s">
        <v>686</v>
      </c>
      <c r="Z48" s="327">
        <f>860000+10000</f>
        <v>870000</v>
      </c>
      <c r="AA48" s="323" t="s">
        <v>639</v>
      </c>
      <c r="AC48" s="365"/>
      <c r="AL48" s="327">
        <f t="shared" si="7"/>
        <v>920000</v>
      </c>
      <c r="AO48" s="390">
        <f t="shared" si="15"/>
        <v>-5928</v>
      </c>
      <c r="AP48" s="323">
        <v>18299830920</v>
      </c>
      <c r="AT48" s="398">
        <f t="shared" si="13"/>
        <v>0</v>
      </c>
      <c r="AU48" s="337"/>
      <c r="BC48" s="327">
        <f t="shared" si="14"/>
        <v>920000</v>
      </c>
      <c r="BD48" s="478">
        <f>1%+0.18%+0.25%</f>
        <v>0.0143</v>
      </c>
      <c r="BH48" s="323">
        <v>920000</v>
      </c>
      <c r="BX48" s="172"/>
      <c r="BZ48" s="323" t="s">
        <v>496</v>
      </c>
      <c r="CA48" s="323" t="s">
        <v>506</v>
      </c>
      <c r="CE48" s="323">
        <v>6520.8</v>
      </c>
    </row>
    <row r="49" s="323" customFormat="1" customHeight="1" spans="1:83">
      <c r="A49" s="172">
        <v>42</v>
      </c>
      <c r="C49" s="380">
        <v>45203</v>
      </c>
      <c r="D49" s="323">
        <v>20230008608</v>
      </c>
      <c r="E49" s="833" t="s">
        <v>722</v>
      </c>
      <c r="F49" s="338" t="s">
        <v>723</v>
      </c>
      <c r="G49" s="323" t="s">
        <v>724</v>
      </c>
      <c r="H49" s="135"/>
      <c r="I49" s="323" t="s">
        <v>492</v>
      </c>
      <c r="J49" s="323">
        <v>18</v>
      </c>
      <c r="K49" s="323">
        <v>50.88</v>
      </c>
      <c r="L49" s="323">
        <v>50.88</v>
      </c>
      <c r="M49" s="323">
        <v>18121.46</v>
      </c>
      <c r="N49" s="392">
        <v>922020</v>
      </c>
      <c r="O49" s="327">
        <v>17998.45</v>
      </c>
      <c r="T49" s="327"/>
      <c r="W49" s="323" t="s">
        <v>721</v>
      </c>
      <c r="X49" s="327">
        <v>50000</v>
      </c>
      <c r="Y49" s="323" t="s">
        <v>686</v>
      </c>
      <c r="Z49" s="327">
        <v>418000</v>
      </c>
      <c r="AA49" s="323" t="s">
        <v>639</v>
      </c>
      <c r="AB49" s="327">
        <v>460000</v>
      </c>
      <c r="AC49" s="323" t="s">
        <v>725</v>
      </c>
      <c r="AL49" s="327">
        <f t="shared" si="7"/>
        <v>928000</v>
      </c>
      <c r="AO49" s="390">
        <f t="shared" si="15"/>
        <v>-5980</v>
      </c>
      <c r="AP49" s="323">
        <v>13667531562</v>
      </c>
      <c r="AT49" s="398">
        <f t="shared" si="13"/>
        <v>0</v>
      </c>
      <c r="AU49" s="337"/>
      <c r="BC49" s="327">
        <f t="shared" si="14"/>
        <v>928000</v>
      </c>
      <c r="BD49" s="478">
        <f>1%+0.18%+0.25%</f>
        <v>0.0143</v>
      </c>
      <c r="BH49" s="323">
        <v>468000</v>
      </c>
      <c r="BK49" s="323">
        <v>460000</v>
      </c>
      <c r="BX49" s="172"/>
      <c r="BZ49" s="323" t="s">
        <v>496</v>
      </c>
      <c r="CA49" s="323" t="s">
        <v>506</v>
      </c>
      <c r="CE49" s="323">
        <v>5750</v>
      </c>
    </row>
    <row r="50" s="172" customFormat="1" customHeight="1" spans="1:83">
      <c r="A50" s="172">
        <v>43</v>
      </c>
      <c r="F50" s="415"/>
      <c r="H50" s="135"/>
      <c r="I50" s="172" t="s">
        <v>492</v>
      </c>
      <c r="J50" s="172">
        <v>19</v>
      </c>
      <c r="K50" s="172">
        <v>102.97</v>
      </c>
      <c r="N50" s="455"/>
      <c r="O50" s="358">
        <v>16840.75</v>
      </c>
      <c r="T50" s="358"/>
      <c r="X50" s="358"/>
      <c r="Z50" s="358"/>
      <c r="AA50" s="388"/>
      <c r="AC50" s="388"/>
      <c r="AL50" s="358">
        <f t="shared" si="7"/>
        <v>0</v>
      </c>
      <c r="AO50" s="513"/>
      <c r="AT50" s="397">
        <f t="shared" si="13"/>
        <v>0</v>
      </c>
      <c r="AU50" s="336"/>
      <c r="BC50" s="358">
        <f t="shared" si="14"/>
        <v>0</v>
      </c>
      <c r="CE50" s="172">
        <v>8580</v>
      </c>
    </row>
    <row r="51" s="323" customFormat="1" customHeight="1" spans="1:78">
      <c r="A51" s="172">
        <v>44</v>
      </c>
      <c r="C51" s="380">
        <v>45533</v>
      </c>
      <c r="D51" s="323">
        <v>20240004964</v>
      </c>
      <c r="F51" s="338" t="s">
        <v>726</v>
      </c>
      <c r="G51" s="323" t="s">
        <v>727</v>
      </c>
      <c r="H51" s="135"/>
      <c r="I51" s="323" t="s">
        <v>585</v>
      </c>
      <c r="J51" s="323">
        <v>1</v>
      </c>
      <c r="K51" s="323">
        <v>124.63</v>
      </c>
      <c r="L51" s="323">
        <v>124.63</v>
      </c>
      <c r="M51" s="323">
        <v>9538.95</v>
      </c>
      <c r="N51" s="392">
        <v>1188840</v>
      </c>
      <c r="O51" s="327">
        <v>9538.95</v>
      </c>
      <c r="T51" s="327"/>
      <c r="U51" s="323"/>
      <c r="X51" s="327">
        <v>600000</v>
      </c>
      <c r="Y51" s="323" t="s">
        <v>682</v>
      </c>
      <c r="Z51" s="327">
        <v>200000</v>
      </c>
      <c r="AA51" s="365" t="s">
        <v>728</v>
      </c>
      <c r="AB51" s="327">
        <v>400000</v>
      </c>
      <c r="AC51" s="323" t="s">
        <v>729</v>
      </c>
      <c r="AL51" s="327">
        <f t="shared" si="7"/>
        <v>1200000</v>
      </c>
      <c r="AO51" s="390">
        <f t="shared" si="16"/>
        <v>-11160</v>
      </c>
      <c r="AP51" s="323">
        <v>15276156276</v>
      </c>
      <c r="AQ51" s="323" t="s">
        <v>607</v>
      </c>
      <c r="AT51" s="398">
        <f t="shared" si="13"/>
        <v>0</v>
      </c>
      <c r="AU51" s="337"/>
      <c r="BC51" s="327">
        <f t="shared" si="14"/>
        <v>1200000</v>
      </c>
      <c r="BD51" s="479">
        <v>0.012</v>
      </c>
      <c r="BR51" s="323">
        <v>800000</v>
      </c>
      <c r="BS51" s="323">
        <v>400000</v>
      </c>
      <c r="BZ51" s="323" t="s">
        <v>496</v>
      </c>
    </row>
    <row r="52" s="323" customFormat="1" customHeight="1" spans="1:83">
      <c r="A52" s="172">
        <v>45</v>
      </c>
      <c r="C52" s="380">
        <v>45530</v>
      </c>
      <c r="D52" s="323">
        <v>20240004848</v>
      </c>
      <c r="F52" s="338" t="s">
        <v>730</v>
      </c>
      <c r="G52" s="323" t="s">
        <v>731</v>
      </c>
      <c r="H52" s="135"/>
      <c r="I52" s="323" t="s">
        <v>585</v>
      </c>
      <c r="J52" s="323">
        <v>2</v>
      </c>
      <c r="K52" s="323">
        <v>123.99</v>
      </c>
      <c r="L52" s="323">
        <v>123.99</v>
      </c>
      <c r="M52" s="323">
        <v>8950</v>
      </c>
      <c r="N52" s="392">
        <v>1109711</v>
      </c>
      <c r="O52" s="327">
        <v>8928.62</v>
      </c>
      <c r="T52" s="327"/>
      <c r="U52" s="380"/>
      <c r="W52" s="323" t="s">
        <v>502</v>
      </c>
      <c r="X52" s="327">
        <v>10000</v>
      </c>
      <c r="Y52" s="323" t="s">
        <v>510</v>
      </c>
      <c r="Z52" s="327">
        <v>40000</v>
      </c>
      <c r="AA52" s="323" t="s">
        <v>732</v>
      </c>
      <c r="AB52" s="327">
        <f>1000+50000+147000+22000</f>
        <v>220000</v>
      </c>
      <c r="AC52" s="365"/>
      <c r="AD52" s="327">
        <v>190093</v>
      </c>
      <c r="AE52" s="323" t="s">
        <v>580</v>
      </c>
      <c r="AF52" s="327">
        <v>560000</v>
      </c>
      <c r="AG52" s="380">
        <v>45562</v>
      </c>
      <c r="AH52" s="327">
        <v>100000</v>
      </c>
      <c r="AI52" s="380" t="s">
        <v>733</v>
      </c>
      <c r="AL52" s="327">
        <f t="shared" si="7"/>
        <v>1120093</v>
      </c>
      <c r="AO52" s="390">
        <f t="shared" si="16"/>
        <v>-10382</v>
      </c>
      <c r="AP52" s="323">
        <v>15276287083</v>
      </c>
      <c r="AT52" s="398">
        <f t="shared" si="13"/>
        <v>0</v>
      </c>
      <c r="AU52" s="337"/>
      <c r="BC52" s="327">
        <f t="shared" si="14"/>
        <v>1120093</v>
      </c>
      <c r="BD52" s="478">
        <f>1%+0.14%</f>
        <v>0.0114</v>
      </c>
      <c r="BT52" s="323">
        <v>1120093</v>
      </c>
      <c r="BZ52" s="323" t="s">
        <v>496</v>
      </c>
      <c r="CE52" s="323">
        <v>7736.3</v>
      </c>
    </row>
    <row r="53" s="323" customFormat="1" ht="48" customHeight="1" spans="1:83">
      <c r="A53" s="172">
        <v>46</v>
      </c>
      <c r="B53" s="323"/>
      <c r="C53" s="323" t="s">
        <v>142</v>
      </c>
      <c r="D53" s="323">
        <v>20240006221</v>
      </c>
      <c r="F53" s="338" t="s">
        <v>143</v>
      </c>
      <c r="G53" s="337" t="s">
        <v>144</v>
      </c>
      <c r="H53" s="135"/>
      <c r="I53" s="323" t="s">
        <v>585</v>
      </c>
      <c r="J53" s="323">
        <v>3</v>
      </c>
      <c r="K53" s="323">
        <v>119.5</v>
      </c>
      <c r="L53" s="323">
        <v>119.5</v>
      </c>
      <c r="M53" s="323">
        <v>9119.55</v>
      </c>
      <c r="N53" s="392">
        <v>1089787</v>
      </c>
      <c r="O53" s="327">
        <v>9000</v>
      </c>
      <c r="P53" s="323"/>
      <c r="T53" s="327"/>
      <c r="U53" s="323"/>
      <c r="W53" s="337" t="s">
        <v>734</v>
      </c>
      <c r="X53" s="327">
        <f>20000-20000</f>
        <v>0</v>
      </c>
      <c r="Y53" s="323" t="s">
        <v>682</v>
      </c>
      <c r="Z53" s="327">
        <v>50000</v>
      </c>
      <c r="AA53" s="323" t="s">
        <v>735</v>
      </c>
      <c r="AB53" s="323">
        <v>500000</v>
      </c>
      <c r="AC53" s="365" t="s">
        <v>736</v>
      </c>
      <c r="AD53" s="327">
        <v>550000</v>
      </c>
      <c r="AE53" s="323" t="s">
        <v>113</v>
      </c>
      <c r="AL53" s="327">
        <f t="shared" si="7"/>
        <v>1100000</v>
      </c>
      <c r="AO53" s="390">
        <f t="shared" si="16"/>
        <v>-10213</v>
      </c>
      <c r="AP53" s="323">
        <v>18299789646</v>
      </c>
      <c r="AQ53" s="323" t="s">
        <v>607</v>
      </c>
      <c r="AT53" s="398">
        <f t="shared" si="13"/>
        <v>0</v>
      </c>
      <c r="AU53" s="337"/>
      <c r="BC53" s="327">
        <f t="shared" si="14"/>
        <v>1089787</v>
      </c>
      <c r="BD53" s="478">
        <f>1%+0.2%+0.03%</f>
        <v>0.0123</v>
      </c>
      <c r="BU53" s="323">
        <v>1089787</v>
      </c>
      <c r="BZ53" s="323" t="s">
        <v>496</v>
      </c>
      <c r="CE53" s="323">
        <v>6149</v>
      </c>
    </row>
    <row r="54" s="323" customFormat="1" customHeight="1" spans="1:83">
      <c r="A54" s="172">
        <v>47</v>
      </c>
      <c r="C54" s="323" t="s">
        <v>737</v>
      </c>
      <c r="D54" s="323">
        <v>20230010720</v>
      </c>
      <c r="E54" s="833" t="s">
        <v>738</v>
      </c>
      <c r="F54" s="338" t="s">
        <v>739</v>
      </c>
      <c r="G54" s="323" t="s">
        <v>740</v>
      </c>
      <c r="H54" s="135"/>
      <c r="I54" s="323" t="s">
        <v>585</v>
      </c>
      <c r="J54" s="323">
        <v>4</v>
      </c>
      <c r="K54" s="323">
        <v>78.72</v>
      </c>
      <c r="L54" s="323">
        <v>78.72</v>
      </c>
      <c r="M54" s="323">
        <v>10000</v>
      </c>
      <c r="N54" s="392">
        <v>794600</v>
      </c>
      <c r="O54" s="327">
        <v>9725.34</v>
      </c>
      <c r="T54" s="327"/>
      <c r="W54" s="323" t="s">
        <v>524</v>
      </c>
      <c r="X54" s="327">
        <v>10000</v>
      </c>
      <c r="Y54" s="323" t="s">
        <v>741</v>
      </c>
      <c r="Z54" s="327">
        <v>90000</v>
      </c>
      <c r="AA54" s="365" t="s">
        <v>742</v>
      </c>
      <c r="AB54" s="327">
        <f>9200+295400</f>
        <v>304600</v>
      </c>
      <c r="AC54" s="323" t="s">
        <v>725</v>
      </c>
      <c r="AD54" s="327">
        <v>390000</v>
      </c>
      <c r="AE54" s="323" t="s">
        <v>743</v>
      </c>
      <c r="AL54" s="327">
        <f t="shared" ref="AL54:AL72" si="17">X54+Z54+AB54+AD54+AF54+AH54+AJ54</f>
        <v>794600</v>
      </c>
      <c r="AO54" s="390">
        <f t="shared" ref="AO54:AO61" si="18">N54-AL54</f>
        <v>0</v>
      </c>
      <c r="AP54" s="323">
        <v>18997668556</v>
      </c>
      <c r="AT54" s="398">
        <f t="shared" si="13"/>
        <v>0</v>
      </c>
      <c r="AU54" s="337"/>
      <c r="BC54" s="327">
        <f t="shared" si="14"/>
        <v>794600</v>
      </c>
      <c r="BD54" s="478">
        <f>0.8%+0.13%+0.14%</f>
        <v>0.0107</v>
      </c>
      <c r="BK54" s="323">
        <v>404600</v>
      </c>
      <c r="BL54" s="323">
        <v>390000</v>
      </c>
      <c r="BX54" s="172"/>
      <c r="BZ54" s="323" t="s">
        <v>496</v>
      </c>
      <c r="CA54" s="323" t="s">
        <v>506</v>
      </c>
      <c r="CE54" s="323">
        <v>8222.5</v>
      </c>
    </row>
    <row r="55" s="323" customFormat="1" customHeight="1" spans="1:83">
      <c r="A55" s="172">
        <v>48</v>
      </c>
      <c r="C55" s="323" t="s">
        <v>737</v>
      </c>
      <c r="D55" s="323">
        <v>20230010721</v>
      </c>
      <c r="E55" s="833" t="s">
        <v>738</v>
      </c>
      <c r="F55" s="338" t="s">
        <v>739</v>
      </c>
      <c r="G55" s="323" t="s">
        <v>740</v>
      </c>
      <c r="H55" s="135"/>
      <c r="I55" s="323" t="s">
        <v>585</v>
      </c>
      <c r="J55" s="323">
        <v>5</v>
      </c>
      <c r="K55" s="323">
        <v>78.72</v>
      </c>
      <c r="L55" s="323">
        <v>78.72</v>
      </c>
      <c r="M55" s="323">
        <v>10000</v>
      </c>
      <c r="N55" s="392">
        <v>794600</v>
      </c>
      <c r="O55" s="327">
        <v>9645.63</v>
      </c>
      <c r="T55" s="327"/>
      <c r="W55" s="323" t="s">
        <v>524</v>
      </c>
      <c r="X55" s="327">
        <v>10000</v>
      </c>
      <c r="Y55" s="323" t="s">
        <v>741</v>
      </c>
      <c r="Z55" s="327">
        <v>90000</v>
      </c>
      <c r="AA55" s="365" t="s">
        <v>742</v>
      </c>
      <c r="AB55" s="327">
        <v>304600</v>
      </c>
      <c r="AC55" s="323" t="s">
        <v>725</v>
      </c>
      <c r="AD55" s="327">
        <v>390000</v>
      </c>
      <c r="AE55" s="323" t="s">
        <v>743</v>
      </c>
      <c r="AL55" s="327">
        <f t="shared" si="17"/>
        <v>794600</v>
      </c>
      <c r="AO55" s="390">
        <f t="shared" si="18"/>
        <v>0</v>
      </c>
      <c r="AP55" s="323">
        <v>18997668556</v>
      </c>
      <c r="AT55" s="398">
        <f t="shared" si="13"/>
        <v>0</v>
      </c>
      <c r="AU55" s="337"/>
      <c r="BC55" s="327">
        <f t="shared" si="14"/>
        <v>794600</v>
      </c>
      <c r="BD55" s="478">
        <f>0.8%+0.13%+0.14%</f>
        <v>0.0107</v>
      </c>
      <c r="BK55" s="323">
        <v>404600</v>
      </c>
      <c r="BL55" s="323">
        <v>390000</v>
      </c>
      <c r="BX55" s="172"/>
      <c r="BZ55" s="323" t="s">
        <v>496</v>
      </c>
      <c r="CA55" s="323" t="s">
        <v>506</v>
      </c>
      <c r="CE55" s="323">
        <v>11250</v>
      </c>
    </row>
    <row r="56" s="323" customFormat="1" customHeight="1" spans="1:83">
      <c r="A56" s="172">
        <v>49</v>
      </c>
      <c r="C56" s="380">
        <v>45202</v>
      </c>
      <c r="D56" s="323">
        <v>20230008531</v>
      </c>
      <c r="E56" s="833" t="s">
        <v>744</v>
      </c>
      <c r="F56" s="836" t="s">
        <v>745</v>
      </c>
      <c r="G56" s="323" t="s">
        <v>746</v>
      </c>
      <c r="H56" s="135"/>
      <c r="I56" s="323" t="s">
        <v>585</v>
      </c>
      <c r="J56" s="323">
        <v>6</v>
      </c>
      <c r="K56" s="323">
        <v>78.72</v>
      </c>
      <c r="L56" s="323">
        <v>78.72</v>
      </c>
      <c r="M56" s="323">
        <v>9690.4</v>
      </c>
      <c r="N56" s="392">
        <v>770000</v>
      </c>
      <c r="O56" s="327">
        <v>9565.91</v>
      </c>
      <c r="T56" s="327"/>
      <c r="W56" s="323" t="s">
        <v>709</v>
      </c>
      <c r="X56" s="327">
        <v>100000</v>
      </c>
      <c r="Y56" s="323" t="s">
        <v>639</v>
      </c>
      <c r="Z56" s="327">
        <v>670000</v>
      </c>
      <c r="AA56" s="365" t="s">
        <v>639</v>
      </c>
      <c r="AC56" s="365"/>
      <c r="AL56" s="327">
        <f t="shared" si="17"/>
        <v>770000</v>
      </c>
      <c r="AO56" s="390">
        <f t="shared" si="18"/>
        <v>0</v>
      </c>
      <c r="AP56" s="323">
        <v>13899022962</v>
      </c>
      <c r="AT56" s="398">
        <f t="shared" si="13"/>
        <v>0</v>
      </c>
      <c r="AU56" s="337"/>
      <c r="BC56" s="327">
        <f t="shared" si="14"/>
        <v>770000</v>
      </c>
      <c r="BD56" s="478">
        <f>1%+0.25%</f>
        <v>0.0125</v>
      </c>
      <c r="BH56" s="323">
        <v>770000</v>
      </c>
      <c r="BX56" s="172"/>
      <c r="BZ56" s="323" t="s">
        <v>496</v>
      </c>
      <c r="CA56" s="323" t="s">
        <v>506</v>
      </c>
      <c r="CE56" s="323">
        <v>20735</v>
      </c>
    </row>
    <row r="57" s="323" customFormat="1" customHeight="1" spans="1:83">
      <c r="A57" s="172">
        <v>50</v>
      </c>
      <c r="C57" s="380">
        <v>45319</v>
      </c>
      <c r="D57" s="323">
        <v>20240000633</v>
      </c>
      <c r="E57" s="833" t="s">
        <v>747</v>
      </c>
      <c r="F57" s="338" t="s">
        <v>748</v>
      </c>
      <c r="G57" s="323" t="s">
        <v>749</v>
      </c>
      <c r="H57" s="135"/>
      <c r="I57" s="323" t="s">
        <v>585</v>
      </c>
      <c r="J57" s="323">
        <v>7</v>
      </c>
      <c r="K57" s="323">
        <v>69.35</v>
      </c>
      <c r="L57" s="323">
        <v>69.35</v>
      </c>
      <c r="M57" s="323">
        <v>9740</v>
      </c>
      <c r="N57" s="392">
        <v>675469</v>
      </c>
      <c r="O57" s="327">
        <v>9646.51</v>
      </c>
      <c r="T57" s="327"/>
      <c r="W57" s="323" t="s">
        <v>709</v>
      </c>
      <c r="X57" s="327">
        <v>30000</v>
      </c>
      <c r="Y57" s="323" t="s">
        <v>646</v>
      </c>
      <c r="Z57" s="327">
        <f>10000+130000</f>
        <v>140000</v>
      </c>
      <c r="AA57" s="323" t="s">
        <v>750</v>
      </c>
      <c r="AB57" s="323">
        <v>130000</v>
      </c>
      <c r="AC57" s="365" t="s">
        <v>706</v>
      </c>
      <c r="AD57" s="327">
        <v>230000</v>
      </c>
      <c r="AE57" s="323" t="s">
        <v>751</v>
      </c>
      <c r="AF57" s="327">
        <f>77000+74800</f>
        <v>151800</v>
      </c>
      <c r="AG57" s="380" t="s">
        <v>752</v>
      </c>
      <c r="AL57" s="327">
        <f t="shared" si="17"/>
        <v>681800</v>
      </c>
      <c r="AO57" s="390">
        <f t="shared" si="18"/>
        <v>-6331</v>
      </c>
      <c r="AP57" s="323">
        <v>18095858980</v>
      </c>
      <c r="AT57" s="398">
        <f t="shared" si="13"/>
        <v>0</v>
      </c>
      <c r="AU57" s="337"/>
      <c r="BC57" s="327">
        <f t="shared" si="14"/>
        <v>681800</v>
      </c>
      <c r="BD57" s="478">
        <f>1%+0.25%</f>
        <v>0.0125</v>
      </c>
      <c r="BL57" s="323">
        <v>681800</v>
      </c>
      <c r="BX57" s="172"/>
      <c r="BZ57" s="323" t="s">
        <v>496</v>
      </c>
      <c r="CA57" s="323" t="s">
        <v>506</v>
      </c>
      <c r="CE57" s="323">
        <v>17156.6466</v>
      </c>
    </row>
    <row r="58" s="323" customFormat="1" customHeight="1" spans="1:83">
      <c r="A58" s="172">
        <v>51</v>
      </c>
      <c r="C58" s="380">
        <v>45202</v>
      </c>
      <c r="D58" s="323">
        <v>20230008528</v>
      </c>
      <c r="E58" s="833" t="s">
        <v>753</v>
      </c>
      <c r="F58" s="338"/>
      <c r="G58" s="323" t="s">
        <v>754</v>
      </c>
      <c r="H58" s="135"/>
      <c r="I58" s="323" t="s">
        <v>585</v>
      </c>
      <c r="J58" s="323">
        <v>8</v>
      </c>
      <c r="K58" s="323">
        <v>82.47</v>
      </c>
      <c r="L58" s="323">
        <v>82.47</v>
      </c>
      <c r="M58" s="323">
        <v>9851</v>
      </c>
      <c r="N58" s="392">
        <v>820000</v>
      </c>
      <c r="O58" s="327">
        <v>9725.51</v>
      </c>
      <c r="T58" s="327"/>
      <c r="V58" s="323" t="s">
        <v>755</v>
      </c>
      <c r="W58" s="323" t="s">
        <v>756</v>
      </c>
      <c r="X58" s="327">
        <v>20000</v>
      </c>
      <c r="Y58" s="365" t="s">
        <v>757</v>
      </c>
      <c r="Z58" s="327">
        <v>80000</v>
      </c>
      <c r="AA58" s="323" t="s">
        <v>639</v>
      </c>
      <c r="AB58" s="323">
        <v>720000</v>
      </c>
      <c r="AC58" s="365" t="s">
        <v>639</v>
      </c>
      <c r="AL58" s="327">
        <f t="shared" si="17"/>
        <v>820000</v>
      </c>
      <c r="AO58" s="390">
        <f t="shared" si="18"/>
        <v>0</v>
      </c>
      <c r="AP58" s="323">
        <v>13899022962</v>
      </c>
      <c r="AT58" s="398">
        <f t="shared" si="13"/>
        <v>0</v>
      </c>
      <c r="AU58" s="337"/>
      <c r="BC58" s="327">
        <f t="shared" si="14"/>
        <v>820000</v>
      </c>
      <c r="BD58" s="478">
        <f>1%+0.25%</f>
        <v>0.0125</v>
      </c>
      <c r="BH58" s="323">
        <v>820000</v>
      </c>
      <c r="BX58" s="172"/>
      <c r="BZ58" s="323" t="s">
        <v>496</v>
      </c>
      <c r="CA58" s="323" t="s">
        <v>506</v>
      </c>
      <c r="CE58" s="323">
        <v>13245.546</v>
      </c>
    </row>
    <row r="59" s="323" customFormat="1" customHeight="1" spans="1:79">
      <c r="A59" s="172">
        <v>52</v>
      </c>
      <c r="C59" s="380">
        <v>45202</v>
      </c>
      <c r="D59" s="323">
        <v>20230008534</v>
      </c>
      <c r="E59" s="833" t="s">
        <v>758</v>
      </c>
      <c r="F59" s="338" t="s">
        <v>759</v>
      </c>
      <c r="G59" s="323" t="s">
        <v>760</v>
      </c>
      <c r="H59" s="135"/>
      <c r="I59" s="323" t="s">
        <v>585</v>
      </c>
      <c r="J59" s="323">
        <v>9</v>
      </c>
      <c r="K59" s="323">
        <v>78.72</v>
      </c>
      <c r="L59" s="323">
        <v>78.72</v>
      </c>
      <c r="M59" s="323">
        <v>9942</v>
      </c>
      <c r="N59" s="392">
        <v>790000</v>
      </c>
      <c r="O59" s="327">
        <v>9805.06</v>
      </c>
      <c r="T59" s="327"/>
      <c r="V59" s="833" t="s">
        <v>761</v>
      </c>
      <c r="W59" s="323" t="s">
        <v>709</v>
      </c>
      <c r="X59" s="327">
        <v>20000</v>
      </c>
      <c r="Y59" s="323" t="s">
        <v>757</v>
      </c>
      <c r="Z59" s="327">
        <v>80000</v>
      </c>
      <c r="AA59" s="323" t="s">
        <v>639</v>
      </c>
      <c r="AB59" s="323">
        <v>300000</v>
      </c>
      <c r="AC59" s="365" t="s">
        <v>639</v>
      </c>
      <c r="AD59" s="327">
        <v>230000</v>
      </c>
      <c r="AE59" s="323" t="s">
        <v>762</v>
      </c>
      <c r="AF59" s="327">
        <v>160000</v>
      </c>
      <c r="AG59" s="323" t="s">
        <v>763</v>
      </c>
      <c r="AL59" s="327">
        <f t="shared" si="17"/>
        <v>790000</v>
      </c>
      <c r="AO59" s="390">
        <f t="shared" si="18"/>
        <v>0</v>
      </c>
      <c r="AP59" s="323">
        <v>15199940173</v>
      </c>
      <c r="AT59" s="398">
        <f t="shared" si="13"/>
        <v>0</v>
      </c>
      <c r="AU59" s="337"/>
      <c r="BC59" s="327">
        <f t="shared" si="14"/>
        <v>790000</v>
      </c>
      <c r="BD59" s="478">
        <f>1%+0.25%</f>
        <v>0.0125</v>
      </c>
      <c r="BN59" s="323">
        <v>790000</v>
      </c>
      <c r="BZ59" s="323" t="s">
        <v>496</v>
      </c>
      <c r="CA59" s="323" t="s">
        <v>506</v>
      </c>
    </row>
    <row r="60" s="323" customFormat="1" customHeight="1" spans="1:78">
      <c r="A60" s="172">
        <v>53</v>
      </c>
      <c r="C60" s="380">
        <v>45538</v>
      </c>
      <c r="D60" s="323">
        <v>20240005074</v>
      </c>
      <c r="F60" s="338" t="s">
        <v>764</v>
      </c>
      <c r="G60" s="323" t="s">
        <v>765</v>
      </c>
      <c r="H60" s="135"/>
      <c r="I60" s="323" t="s">
        <v>585</v>
      </c>
      <c r="J60" s="323">
        <v>10</v>
      </c>
      <c r="K60" s="323">
        <v>140.64</v>
      </c>
      <c r="L60" s="323">
        <v>140.64</v>
      </c>
      <c r="M60" s="323">
        <v>9300</v>
      </c>
      <c r="N60" s="392">
        <v>1307952</v>
      </c>
      <c r="O60" s="327">
        <v>9126.58</v>
      </c>
      <c r="P60" s="323"/>
      <c r="T60" s="327"/>
      <c r="U60" s="380"/>
      <c r="W60" s="323" t="s">
        <v>515</v>
      </c>
      <c r="X60" s="327">
        <v>10000</v>
      </c>
      <c r="Y60" s="323" t="s">
        <v>766</v>
      </c>
      <c r="Z60" s="327">
        <v>250000</v>
      </c>
      <c r="AA60" s="323" t="s">
        <v>728</v>
      </c>
      <c r="AB60" s="323">
        <v>70000</v>
      </c>
      <c r="AC60" s="365" t="s">
        <v>710</v>
      </c>
      <c r="AD60" s="327">
        <f>100000+892739</f>
        <v>992739</v>
      </c>
      <c r="AE60" s="380">
        <v>45538</v>
      </c>
      <c r="AL60" s="327">
        <f t="shared" si="17"/>
        <v>1322739</v>
      </c>
      <c r="AO60" s="390">
        <f t="shared" si="18"/>
        <v>-14787</v>
      </c>
      <c r="AT60" s="398">
        <f t="shared" si="13"/>
        <v>0</v>
      </c>
      <c r="AU60" s="337"/>
      <c r="BC60" s="327">
        <f t="shared" si="14"/>
        <v>1322739</v>
      </c>
      <c r="BD60" s="478">
        <f>1%+0.15%+0.14%</f>
        <v>0.0129</v>
      </c>
      <c r="BS60" s="323">
        <v>1322739</v>
      </c>
      <c r="BZ60" s="323" t="s">
        <v>496</v>
      </c>
    </row>
    <row r="61" s="323" customFormat="1" customHeight="1" spans="1:79">
      <c r="A61" s="172">
        <v>54</v>
      </c>
      <c r="C61" s="323" t="s">
        <v>767</v>
      </c>
      <c r="D61" s="323">
        <v>20240000151</v>
      </c>
      <c r="F61" s="338" t="s">
        <v>768</v>
      </c>
      <c r="G61" s="337" t="s">
        <v>769</v>
      </c>
      <c r="H61" s="135"/>
      <c r="I61" s="323" t="s">
        <v>585</v>
      </c>
      <c r="J61" s="323">
        <v>11</v>
      </c>
      <c r="K61" s="323">
        <v>237.74</v>
      </c>
      <c r="L61" s="323">
        <v>237.74</v>
      </c>
      <c r="M61" s="323">
        <v>11860</v>
      </c>
      <c r="N61" s="392">
        <v>2819597</v>
      </c>
      <c r="O61" s="327">
        <v>11520</v>
      </c>
      <c r="T61" s="327"/>
      <c r="V61" s="323" t="s">
        <v>770</v>
      </c>
      <c r="W61" s="323" t="s">
        <v>771</v>
      </c>
      <c r="X61" s="327">
        <v>100000</v>
      </c>
      <c r="Y61" s="323" t="s">
        <v>772</v>
      </c>
      <c r="Z61" s="327">
        <v>1326163</v>
      </c>
      <c r="AA61" s="323" t="s">
        <v>751</v>
      </c>
      <c r="AB61" s="327">
        <v>1420000</v>
      </c>
      <c r="AC61" s="323" t="s">
        <v>773</v>
      </c>
      <c r="AL61" s="327">
        <f t="shared" si="17"/>
        <v>2846163</v>
      </c>
      <c r="AO61" s="390">
        <f t="shared" si="18"/>
        <v>-26566</v>
      </c>
      <c r="AP61" s="323">
        <v>18809965000</v>
      </c>
      <c r="AT61" s="398">
        <f t="shared" si="13"/>
        <v>0</v>
      </c>
      <c r="AU61" s="398"/>
      <c r="AV61" s="327"/>
      <c r="AW61" s="327"/>
      <c r="AX61" s="327"/>
      <c r="AY61" s="327"/>
      <c r="AZ61" s="327"/>
      <c r="BA61" s="327"/>
      <c r="BB61" s="327"/>
      <c r="BC61" s="327">
        <f t="shared" si="14"/>
        <v>2846163</v>
      </c>
      <c r="BD61" s="478">
        <f>1%+0.18%+0.25%</f>
        <v>0.0143</v>
      </c>
      <c r="BE61" s="327"/>
      <c r="BF61" s="327"/>
      <c r="BG61" s="327"/>
      <c r="BH61" s="327"/>
      <c r="BI61" s="327"/>
      <c r="BJ61" s="327"/>
      <c r="BK61" s="327"/>
      <c r="BL61" s="327"/>
      <c r="BM61" s="327"/>
      <c r="BN61" s="327"/>
      <c r="BO61" s="327"/>
      <c r="BP61" s="327"/>
      <c r="BQ61" s="327">
        <v>2846163</v>
      </c>
      <c r="BR61" s="327"/>
      <c r="BS61" s="327"/>
      <c r="BT61" s="327"/>
      <c r="BU61" s="327"/>
      <c r="BV61" s="327"/>
      <c r="BW61" s="327"/>
      <c r="BZ61" s="323" t="s">
        <v>496</v>
      </c>
      <c r="CA61" s="323" t="s">
        <v>506</v>
      </c>
    </row>
    <row r="62" s="323" customFormat="1" ht="57" customHeight="1" spans="1:79">
      <c r="A62" s="172">
        <v>55</v>
      </c>
      <c r="C62" s="380">
        <v>45308</v>
      </c>
      <c r="D62" s="323">
        <v>20240000152</v>
      </c>
      <c r="F62" s="338" t="s">
        <v>774</v>
      </c>
      <c r="G62" s="337" t="s">
        <v>775</v>
      </c>
      <c r="H62" s="135"/>
      <c r="I62" s="323" t="s">
        <v>585</v>
      </c>
      <c r="J62" s="323">
        <v>12</v>
      </c>
      <c r="K62" s="323">
        <v>205.28</v>
      </c>
      <c r="L62" s="323">
        <v>205.28</v>
      </c>
      <c r="M62" s="323">
        <v>11860</v>
      </c>
      <c r="N62" s="392">
        <v>2434621</v>
      </c>
      <c r="O62" s="327">
        <v>11520</v>
      </c>
      <c r="P62" s="323"/>
      <c r="Q62" s="323">
        <v>2233597.25</v>
      </c>
      <c r="R62" s="833" t="s">
        <v>776</v>
      </c>
      <c r="S62" s="323" t="s">
        <v>379</v>
      </c>
      <c r="T62" s="327"/>
      <c r="U62" s="379"/>
      <c r="V62" s="337" t="s">
        <v>770</v>
      </c>
      <c r="W62" s="337" t="s">
        <v>770</v>
      </c>
      <c r="X62" s="327">
        <v>100000</v>
      </c>
      <c r="Y62" s="379" t="s">
        <v>772</v>
      </c>
      <c r="Z62" s="327">
        <v>1137511</v>
      </c>
      <c r="AA62" s="379" t="s">
        <v>751</v>
      </c>
      <c r="AB62" s="327">
        <v>580000</v>
      </c>
      <c r="AC62" s="379" t="s">
        <v>773</v>
      </c>
      <c r="AD62" s="327">
        <v>640000</v>
      </c>
      <c r="AE62" s="379" t="s">
        <v>777</v>
      </c>
      <c r="AL62" s="327">
        <f t="shared" si="17"/>
        <v>2457511</v>
      </c>
      <c r="AO62" s="390">
        <f t="shared" ref="AO62:AO67" si="19">N62-AL62</f>
        <v>-22890</v>
      </c>
      <c r="AT62" s="398">
        <f t="shared" si="13"/>
        <v>400</v>
      </c>
      <c r="AU62" s="398"/>
      <c r="AV62" s="327">
        <f>200+200</f>
        <v>400</v>
      </c>
      <c r="AW62" s="327"/>
      <c r="AX62" s="327"/>
      <c r="AY62" s="327"/>
      <c r="AZ62" s="327"/>
      <c r="BA62" s="327"/>
      <c r="BB62" s="327"/>
      <c r="BC62" s="327">
        <f t="shared" si="14"/>
        <v>2457511</v>
      </c>
      <c r="BD62" s="478">
        <f>1%+0.18%+0.25%</f>
        <v>0.0143</v>
      </c>
      <c r="BE62" s="327"/>
      <c r="BF62" s="327"/>
      <c r="BG62" s="327"/>
      <c r="BH62" s="327"/>
      <c r="BI62" s="327"/>
      <c r="BJ62" s="327"/>
      <c r="BK62" s="327"/>
      <c r="BL62" s="327"/>
      <c r="BM62" s="327"/>
      <c r="BN62" s="327"/>
      <c r="BO62" s="327"/>
      <c r="BP62" s="327"/>
      <c r="BQ62" s="327"/>
      <c r="BR62" s="327">
        <v>2457511</v>
      </c>
      <c r="BS62" s="327"/>
      <c r="BT62" s="327"/>
      <c r="BU62" s="327"/>
      <c r="BV62" s="327"/>
      <c r="BW62" s="327"/>
      <c r="BZ62" s="323" t="s">
        <v>496</v>
      </c>
      <c r="CA62" s="323" t="s">
        <v>506</v>
      </c>
    </row>
    <row r="63" s="323" customFormat="1" customHeight="1" spans="1:79">
      <c r="A63" s="172">
        <v>56</v>
      </c>
      <c r="C63" s="380">
        <v>45204</v>
      </c>
      <c r="D63" s="323">
        <v>20230008633</v>
      </c>
      <c r="E63" s="833" t="s">
        <v>778</v>
      </c>
      <c r="F63" s="338" t="s">
        <v>779</v>
      </c>
      <c r="G63" s="323" t="s">
        <v>780</v>
      </c>
      <c r="H63" s="135"/>
      <c r="I63" s="323" t="s">
        <v>585</v>
      </c>
      <c r="J63" s="323">
        <v>13</v>
      </c>
      <c r="K63" s="323">
        <v>73.7</v>
      </c>
      <c r="L63" s="323">
        <v>73.7</v>
      </c>
      <c r="M63" s="323">
        <v>8510.97</v>
      </c>
      <c r="N63" s="392">
        <v>633216</v>
      </c>
      <c r="O63" s="327">
        <v>8210.97</v>
      </c>
      <c r="T63" s="327"/>
      <c r="U63" s="380"/>
      <c r="V63" s="323" t="s">
        <v>781</v>
      </c>
      <c r="W63" s="323" t="s">
        <v>782</v>
      </c>
      <c r="X63" s="327">
        <v>5000</v>
      </c>
      <c r="Y63" s="323" t="s">
        <v>783</v>
      </c>
      <c r="Z63" s="327">
        <v>95000</v>
      </c>
      <c r="AA63" s="365" t="s">
        <v>558</v>
      </c>
      <c r="AB63" s="327">
        <v>50000</v>
      </c>
      <c r="AC63" s="323" t="s">
        <v>686</v>
      </c>
      <c r="AD63" s="327">
        <v>173216</v>
      </c>
      <c r="AE63" s="323" t="s">
        <v>784</v>
      </c>
      <c r="AF63" s="327">
        <v>310000</v>
      </c>
      <c r="AG63" s="380">
        <v>45544</v>
      </c>
      <c r="AL63" s="327">
        <f t="shared" si="17"/>
        <v>633216</v>
      </c>
      <c r="AO63" s="390">
        <f t="shared" si="19"/>
        <v>0</v>
      </c>
      <c r="AP63" s="323">
        <v>18509960985</v>
      </c>
      <c r="AT63" s="398">
        <f t="shared" si="13"/>
        <v>0</v>
      </c>
      <c r="AU63" s="398"/>
      <c r="AV63" s="327"/>
      <c r="AW63" s="327"/>
      <c r="AX63" s="327"/>
      <c r="AY63" s="327"/>
      <c r="AZ63" s="327"/>
      <c r="BA63" s="327"/>
      <c r="BB63" s="327"/>
      <c r="BC63" s="327">
        <f t="shared" si="14"/>
        <v>633216</v>
      </c>
      <c r="BD63" s="479">
        <f>1%+0.18%+0.25%</f>
        <v>0.0143</v>
      </c>
      <c r="BE63" s="327"/>
      <c r="BF63" s="327"/>
      <c r="BG63" s="327"/>
      <c r="BH63" s="327">
        <v>323216</v>
      </c>
      <c r="BI63" s="327"/>
      <c r="BJ63" s="327"/>
      <c r="BK63" s="327"/>
      <c r="BL63" s="327"/>
      <c r="BM63" s="327"/>
      <c r="BN63" s="327"/>
      <c r="BO63" s="327"/>
      <c r="BP63" s="327"/>
      <c r="BQ63" s="327"/>
      <c r="BR63" s="327"/>
      <c r="BS63" s="327">
        <v>310000</v>
      </c>
      <c r="BT63" s="327"/>
      <c r="BU63" s="327"/>
      <c r="BV63" s="327"/>
      <c r="BW63" s="327"/>
      <c r="BX63" s="323"/>
      <c r="BZ63" s="323" t="s">
        <v>496</v>
      </c>
      <c r="CA63" s="323" t="s">
        <v>506</v>
      </c>
    </row>
    <row r="64" s="323" customFormat="1" customHeight="1" spans="1:79">
      <c r="A64" s="172">
        <v>57</v>
      </c>
      <c r="C64" s="323" t="s">
        <v>686</v>
      </c>
      <c r="D64" s="323">
        <v>20230008344</v>
      </c>
      <c r="E64" s="833" t="s">
        <v>785</v>
      </c>
      <c r="F64" s="338" t="s">
        <v>786</v>
      </c>
      <c r="G64" s="323" t="s">
        <v>787</v>
      </c>
      <c r="H64" s="135"/>
      <c r="I64" s="323" t="s">
        <v>585</v>
      </c>
      <c r="J64" s="323">
        <v>14</v>
      </c>
      <c r="K64" s="323">
        <v>73.7</v>
      </c>
      <c r="L64" s="323">
        <v>73.7</v>
      </c>
      <c r="M64" s="323">
        <v>8431.25</v>
      </c>
      <c r="N64" s="392">
        <v>627285</v>
      </c>
      <c r="O64" s="327">
        <v>8131.25</v>
      </c>
      <c r="T64" s="327"/>
      <c r="U64" s="380"/>
      <c r="W64" s="323" t="s">
        <v>782</v>
      </c>
      <c r="X64" s="327">
        <v>100000</v>
      </c>
      <c r="Y64" s="323" t="s">
        <v>558</v>
      </c>
      <c r="Z64" s="327">
        <v>217285</v>
      </c>
      <c r="AA64" s="323" t="s">
        <v>646</v>
      </c>
      <c r="AB64" s="327">
        <v>310000</v>
      </c>
      <c r="AC64" s="380">
        <v>45561</v>
      </c>
      <c r="AL64" s="327">
        <f t="shared" si="17"/>
        <v>627285</v>
      </c>
      <c r="AO64" s="390">
        <f t="shared" si="19"/>
        <v>0</v>
      </c>
      <c r="AP64" s="323">
        <v>18999012716</v>
      </c>
      <c r="AT64" s="398">
        <f t="shared" si="13"/>
        <v>300</v>
      </c>
      <c r="AU64" s="398"/>
      <c r="AV64" s="327"/>
      <c r="AW64" s="327"/>
      <c r="AX64" s="327"/>
      <c r="AY64" s="327"/>
      <c r="AZ64" s="327"/>
      <c r="BA64" s="327"/>
      <c r="BB64" s="327">
        <v>300</v>
      </c>
      <c r="BC64" s="327">
        <f t="shared" si="14"/>
        <v>634570</v>
      </c>
      <c r="BD64" s="479">
        <f>1%+0.18%+0.25%</f>
        <v>0.0143</v>
      </c>
      <c r="BE64" s="327"/>
      <c r="BF64" s="327"/>
      <c r="BG64" s="327">
        <v>317285</v>
      </c>
      <c r="BH64" s="327">
        <v>317285</v>
      </c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172"/>
      <c r="BZ64" s="323" t="s">
        <v>496</v>
      </c>
      <c r="CA64" s="323" t="s">
        <v>506</v>
      </c>
    </row>
    <row r="65" s="172" customFormat="1" customHeight="1" spans="1:55">
      <c r="A65" s="172">
        <v>58</v>
      </c>
      <c r="F65" s="415"/>
      <c r="H65" s="135"/>
      <c r="I65" s="172" t="s">
        <v>585</v>
      </c>
      <c r="J65" s="172">
        <v>15</v>
      </c>
      <c r="K65" s="172">
        <v>130.9</v>
      </c>
      <c r="L65" s="172"/>
      <c r="N65" s="455"/>
      <c r="O65" s="358">
        <v>7552.21</v>
      </c>
      <c r="T65" s="358"/>
      <c r="X65" s="358"/>
      <c r="Z65" s="358"/>
      <c r="AA65" s="388"/>
      <c r="AC65" s="388"/>
      <c r="AL65" s="358">
        <f t="shared" si="17"/>
        <v>0</v>
      </c>
      <c r="AO65" s="513"/>
      <c r="AT65" s="397">
        <f t="shared" si="13"/>
        <v>0</v>
      </c>
      <c r="AU65" s="336"/>
      <c r="BC65" s="358">
        <f t="shared" si="14"/>
        <v>0</v>
      </c>
    </row>
    <row r="66" s="323" customFormat="1" customHeight="1" spans="1:78">
      <c r="A66" s="172">
        <v>59</v>
      </c>
      <c r="B66" s="323"/>
      <c r="C66" s="323" t="s">
        <v>88</v>
      </c>
      <c r="D66" s="323">
        <v>20240005533</v>
      </c>
      <c r="F66" s="338" t="s">
        <v>147</v>
      </c>
      <c r="G66" s="323" t="s">
        <v>148</v>
      </c>
      <c r="H66" s="135"/>
      <c r="I66" s="323" t="s">
        <v>585</v>
      </c>
      <c r="J66" s="323">
        <v>16</v>
      </c>
      <c r="K66" s="323">
        <v>85.99</v>
      </c>
      <c r="L66" s="323">
        <v>85.99</v>
      </c>
      <c r="M66" s="323">
        <v>7936.497</v>
      </c>
      <c r="N66" s="392">
        <v>682460</v>
      </c>
      <c r="O66" s="327">
        <v>8189.96</v>
      </c>
      <c r="P66" s="323" t="s">
        <v>593</v>
      </c>
      <c r="Q66" s="323">
        <v>626110.09</v>
      </c>
      <c r="R66" s="833" t="s">
        <v>788</v>
      </c>
      <c r="S66" s="323" t="s">
        <v>240</v>
      </c>
      <c r="T66" s="327"/>
      <c r="U66" s="380"/>
      <c r="W66" s="323" t="s">
        <v>594</v>
      </c>
      <c r="X66" s="327">
        <v>10000</v>
      </c>
      <c r="Y66" s="380">
        <v>45547</v>
      </c>
      <c r="Z66" s="327">
        <v>188888</v>
      </c>
      <c r="AA66" s="342" t="s">
        <v>789</v>
      </c>
      <c r="AB66" s="323">
        <v>150000</v>
      </c>
      <c r="AC66" s="365" t="s">
        <v>790</v>
      </c>
      <c r="AD66" s="327">
        <v>340000</v>
      </c>
      <c r="AE66" s="380" t="s">
        <v>711</v>
      </c>
      <c r="AL66" s="327">
        <f t="shared" si="17"/>
        <v>688888</v>
      </c>
      <c r="AO66" s="390">
        <f>N66-AL66</f>
        <v>-6428</v>
      </c>
      <c r="AP66" s="323">
        <v>13551810694</v>
      </c>
      <c r="AT66" s="398">
        <f t="shared" si="13"/>
        <v>0</v>
      </c>
      <c r="AU66" s="337"/>
      <c r="BC66" s="327">
        <f t="shared" si="14"/>
        <v>682460</v>
      </c>
      <c r="BD66" s="478">
        <f>0.8%+0.15%+0.2%</f>
        <v>0.0115</v>
      </c>
      <c r="BR66" s="172"/>
      <c r="BS66" s="172"/>
      <c r="BT66" s="172"/>
      <c r="BU66" s="323">
        <v>682460</v>
      </c>
      <c r="BZ66" s="323" t="s">
        <v>496</v>
      </c>
    </row>
    <row r="67" s="323" customFormat="1" customHeight="1" spans="1:78">
      <c r="A67" s="172">
        <v>60</v>
      </c>
      <c r="C67" s="380">
        <v>45499</v>
      </c>
      <c r="D67" s="323">
        <v>20240004261</v>
      </c>
      <c r="E67" s="833" t="s">
        <v>791</v>
      </c>
      <c r="F67" s="338" t="s">
        <v>792</v>
      </c>
      <c r="G67" s="337" t="s">
        <v>793</v>
      </c>
      <c r="H67" s="135"/>
      <c r="I67" s="323" t="s">
        <v>585</v>
      </c>
      <c r="J67" s="323">
        <v>17</v>
      </c>
      <c r="K67" s="323">
        <v>78.97</v>
      </c>
      <c r="L67" s="323">
        <v>78.97</v>
      </c>
      <c r="M67" s="323">
        <v>8200</v>
      </c>
      <c r="N67" s="392">
        <v>647554</v>
      </c>
      <c r="O67" s="327">
        <v>8110.16</v>
      </c>
      <c r="P67" s="323"/>
      <c r="T67" s="327">
        <v>320000</v>
      </c>
      <c r="U67" s="380" t="s">
        <v>794</v>
      </c>
      <c r="V67" s="380"/>
      <c r="W67" s="380" t="s">
        <v>502</v>
      </c>
      <c r="X67" s="327">
        <v>100000</v>
      </c>
      <c r="Y67" s="380" t="s">
        <v>795</v>
      </c>
      <c r="Z67" s="323">
        <v>100000</v>
      </c>
      <c r="AA67" s="365" t="s">
        <v>796</v>
      </c>
      <c r="AB67" s="327">
        <v>133622</v>
      </c>
      <c r="AC67" s="380" t="s">
        <v>797</v>
      </c>
      <c r="AD67" s="327">
        <v>320000</v>
      </c>
      <c r="AE67" s="380" t="s">
        <v>794</v>
      </c>
      <c r="AL67" s="327">
        <f t="shared" si="17"/>
        <v>653622</v>
      </c>
      <c r="AO67" s="390">
        <f t="shared" si="19"/>
        <v>-6068</v>
      </c>
      <c r="AP67" s="323">
        <v>15226213785</v>
      </c>
      <c r="AT67" s="398">
        <f t="shared" si="13"/>
        <v>0</v>
      </c>
      <c r="AU67" s="337"/>
      <c r="BC67" s="327">
        <f t="shared" si="14"/>
        <v>647554</v>
      </c>
      <c r="BD67" s="479">
        <f>1%+0.14%</f>
        <v>0.0114</v>
      </c>
      <c r="BQ67" s="323">
        <v>333622</v>
      </c>
      <c r="BV67" s="323">
        <v>313932</v>
      </c>
      <c r="BX67" s="323">
        <f>BV67*BD67</f>
        <v>3578.8248</v>
      </c>
      <c r="BZ67" s="323" t="s">
        <v>496</v>
      </c>
    </row>
    <row r="68" s="172" customFormat="1" customHeight="1" spans="1:55">
      <c r="A68" s="172">
        <v>61</v>
      </c>
      <c r="F68" s="415"/>
      <c r="H68" s="135"/>
      <c r="I68" s="172" t="s">
        <v>585</v>
      </c>
      <c r="J68" s="172">
        <v>18</v>
      </c>
      <c r="K68" s="172">
        <v>127.07</v>
      </c>
      <c r="M68" s="172">
        <f>653622/79.71</f>
        <v>8200</v>
      </c>
      <c r="N68" s="455"/>
      <c r="O68" s="358">
        <v>7791.2</v>
      </c>
      <c r="P68" s="172"/>
      <c r="T68" s="358"/>
      <c r="U68" s="423"/>
      <c r="V68" s="423"/>
      <c r="W68" s="423"/>
      <c r="X68" s="358"/>
      <c r="Y68" s="423"/>
      <c r="Z68" s="358"/>
      <c r="AA68" s="388"/>
      <c r="AC68" s="388"/>
      <c r="AL68" s="358">
        <f t="shared" si="17"/>
        <v>0</v>
      </c>
      <c r="AO68" s="513"/>
      <c r="AT68" s="397">
        <f t="shared" si="13"/>
        <v>0</v>
      </c>
      <c r="AU68" s="336"/>
      <c r="BC68" s="358">
        <f t="shared" si="14"/>
        <v>0</v>
      </c>
    </row>
    <row r="69" s="323" customFormat="1" customHeight="1" spans="1:79">
      <c r="A69" s="172">
        <v>62</v>
      </c>
      <c r="C69" s="323" t="s">
        <v>798</v>
      </c>
      <c r="D69" s="323">
        <v>20230008933</v>
      </c>
      <c r="F69" s="338" t="s">
        <v>799</v>
      </c>
      <c r="G69" s="323" t="s">
        <v>800</v>
      </c>
      <c r="H69" s="135"/>
      <c r="I69" s="323" t="s">
        <v>585</v>
      </c>
      <c r="J69" s="323">
        <v>19</v>
      </c>
      <c r="K69" s="323">
        <v>58.66</v>
      </c>
      <c r="L69" s="323">
        <v>58.66</v>
      </c>
      <c r="M69" s="323">
        <v>8144.33</v>
      </c>
      <c r="N69" s="392">
        <v>477746</v>
      </c>
      <c r="O69" s="327">
        <v>7813.24</v>
      </c>
      <c r="P69" s="323"/>
      <c r="Q69" s="323">
        <v>438299.08</v>
      </c>
      <c r="R69" s="833" t="s">
        <v>801</v>
      </c>
      <c r="S69" s="323" t="s">
        <v>379</v>
      </c>
      <c r="T69" s="327"/>
      <c r="U69" s="380"/>
      <c r="V69" s="380"/>
      <c r="W69" s="380" t="s">
        <v>502</v>
      </c>
      <c r="X69" s="327">
        <v>400000</v>
      </c>
      <c r="Y69" s="380" t="s">
        <v>798</v>
      </c>
      <c r="Z69" s="327">
        <v>82226</v>
      </c>
      <c r="AA69" s="365" t="s">
        <v>802</v>
      </c>
      <c r="AC69" s="365"/>
      <c r="AL69" s="327">
        <f t="shared" si="17"/>
        <v>482226</v>
      </c>
      <c r="AO69" s="390">
        <f>N69-AL69</f>
        <v>-4480</v>
      </c>
      <c r="AT69" s="398">
        <f t="shared" si="13"/>
        <v>0</v>
      </c>
      <c r="AU69" s="337"/>
      <c r="BC69" s="327">
        <f t="shared" si="14"/>
        <v>482226</v>
      </c>
      <c r="BD69" s="536">
        <f>0.9%+0.2%</f>
        <v>0.011</v>
      </c>
      <c r="BH69" s="323">
        <v>482226</v>
      </c>
      <c r="BX69" s="172"/>
      <c r="BZ69" s="323" t="s">
        <v>496</v>
      </c>
      <c r="CA69" s="323" t="s">
        <v>506</v>
      </c>
    </row>
    <row r="70" s="323" customFormat="1" customHeight="1" spans="1:79">
      <c r="A70" s="172">
        <v>63</v>
      </c>
      <c r="C70" s="380">
        <v>45329</v>
      </c>
      <c r="D70" s="323">
        <v>20240000814</v>
      </c>
      <c r="E70" s="833" t="s">
        <v>803</v>
      </c>
      <c r="F70" s="338" t="s">
        <v>804</v>
      </c>
      <c r="G70" s="323" t="s">
        <v>805</v>
      </c>
      <c r="H70" s="135"/>
      <c r="I70" s="323" t="s">
        <v>585</v>
      </c>
      <c r="J70" s="323">
        <v>20</v>
      </c>
      <c r="K70" s="323">
        <v>58.66</v>
      </c>
      <c r="L70" s="323">
        <v>58.66</v>
      </c>
      <c r="M70" s="323">
        <v>7768.95</v>
      </c>
      <c r="N70" s="392">
        <v>455727</v>
      </c>
      <c r="O70" s="327">
        <v>7768.95</v>
      </c>
      <c r="T70" s="327"/>
      <c r="U70" s="380"/>
      <c r="V70" s="380"/>
      <c r="W70" s="380" t="s">
        <v>709</v>
      </c>
      <c r="X70" s="327">
        <v>60000</v>
      </c>
      <c r="Y70" s="380" t="s">
        <v>798</v>
      </c>
      <c r="Z70" s="327">
        <v>110000</v>
      </c>
      <c r="AA70" s="380" t="s">
        <v>806</v>
      </c>
      <c r="AB70" s="327">
        <v>140000</v>
      </c>
      <c r="AC70" s="380" t="s">
        <v>807</v>
      </c>
      <c r="AD70" s="327">
        <v>150000</v>
      </c>
      <c r="AE70" s="380" t="s">
        <v>520</v>
      </c>
      <c r="AL70" s="327">
        <f t="shared" si="17"/>
        <v>460000</v>
      </c>
      <c r="AO70" s="390">
        <f>N70-AL70</f>
        <v>-4273</v>
      </c>
      <c r="AP70" s="323">
        <v>18196240028</v>
      </c>
      <c r="AT70" s="398">
        <f t="shared" si="13"/>
        <v>0</v>
      </c>
      <c r="AU70" s="337"/>
      <c r="BC70" s="327">
        <f t="shared" si="14"/>
        <v>460000</v>
      </c>
      <c r="BD70" s="479">
        <f>1%+0.2%</f>
        <v>0.012</v>
      </c>
      <c r="BL70" s="323">
        <v>310000</v>
      </c>
      <c r="BN70" s="323">
        <v>150000</v>
      </c>
      <c r="BZ70" s="323" t="s">
        <v>496</v>
      </c>
      <c r="CA70" s="323" t="s">
        <v>506</v>
      </c>
    </row>
    <row r="71" s="172" customFormat="1" customHeight="1" spans="1:55">
      <c r="A71" s="172">
        <v>64</v>
      </c>
      <c r="F71" s="415"/>
      <c r="H71" s="135"/>
      <c r="I71" s="172" t="s">
        <v>585</v>
      </c>
      <c r="J71" s="172">
        <v>21</v>
      </c>
      <c r="K71" s="172">
        <v>118.54</v>
      </c>
      <c r="N71" s="455"/>
      <c r="O71" s="358">
        <v>7572.4</v>
      </c>
      <c r="T71" s="358"/>
      <c r="U71" s="423"/>
      <c r="V71" s="423"/>
      <c r="W71" s="423"/>
      <c r="X71" s="358"/>
      <c r="Y71" s="423"/>
      <c r="Z71" s="358"/>
      <c r="AA71" s="388"/>
      <c r="AC71" s="388"/>
      <c r="AL71" s="358">
        <f t="shared" si="17"/>
        <v>0</v>
      </c>
      <c r="AO71" s="513"/>
      <c r="AT71" s="397">
        <f t="shared" si="13"/>
        <v>0</v>
      </c>
      <c r="AU71" s="336"/>
      <c r="BC71" s="358">
        <f t="shared" si="14"/>
        <v>0</v>
      </c>
    </row>
    <row r="72" s="172" customFormat="1" customHeight="1" spans="1:55">
      <c r="A72" s="172">
        <v>65</v>
      </c>
      <c r="F72" s="415"/>
      <c r="H72" s="135"/>
      <c r="I72" s="172" t="s">
        <v>808</v>
      </c>
      <c r="J72" s="172">
        <v>1</v>
      </c>
      <c r="K72" s="172">
        <v>898.79</v>
      </c>
      <c r="N72" s="455"/>
      <c r="O72" s="358">
        <v>7898.53</v>
      </c>
      <c r="T72" s="358"/>
      <c r="U72" s="423"/>
      <c r="V72" s="416"/>
      <c r="W72" s="423"/>
      <c r="X72" s="358"/>
      <c r="Y72" s="423"/>
      <c r="Z72" s="358"/>
      <c r="AA72" s="388"/>
      <c r="AC72" s="388"/>
      <c r="AL72" s="358">
        <f t="shared" si="17"/>
        <v>0</v>
      </c>
      <c r="AO72" s="513"/>
      <c r="AT72" s="397">
        <f t="shared" si="13"/>
        <v>200</v>
      </c>
      <c r="AU72" s="336"/>
      <c r="AV72" s="172">
        <v>200</v>
      </c>
      <c r="BC72" s="358">
        <f t="shared" si="14"/>
        <v>0</v>
      </c>
    </row>
    <row r="73" s="323" customFormat="1" customHeight="1" spans="1:79">
      <c r="A73" s="172">
        <v>66</v>
      </c>
      <c r="C73" s="380">
        <v>45465</v>
      </c>
      <c r="D73" s="323">
        <v>20240003579</v>
      </c>
      <c r="E73" s="833" t="s">
        <v>809</v>
      </c>
      <c r="F73" s="338" t="s">
        <v>810</v>
      </c>
      <c r="G73" s="323" t="s">
        <v>811</v>
      </c>
      <c r="H73" s="323" t="s">
        <v>812</v>
      </c>
      <c r="I73" s="323" t="s">
        <v>492</v>
      </c>
      <c r="J73" s="323">
        <v>1</v>
      </c>
      <c r="K73" s="323">
        <v>43.43</v>
      </c>
      <c r="L73" s="323">
        <v>43.43</v>
      </c>
      <c r="M73" s="323">
        <v>17000</v>
      </c>
      <c r="N73" s="392">
        <v>738310</v>
      </c>
      <c r="O73" s="327">
        <v>17000</v>
      </c>
      <c r="T73" s="327"/>
      <c r="U73" s="380"/>
      <c r="V73" s="838" t="s">
        <v>813</v>
      </c>
      <c r="W73" s="380" t="s">
        <v>721</v>
      </c>
      <c r="X73" s="327">
        <v>2000</v>
      </c>
      <c r="Y73" s="380" t="s">
        <v>669</v>
      </c>
      <c r="Z73" s="327">
        <v>48000</v>
      </c>
      <c r="AA73" s="380" t="s">
        <v>717</v>
      </c>
      <c r="AB73" s="327">
        <v>328310</v>
      </c>
      <c r="AC73" s="380" t="s">
        <v>814</v>
      </c>
      <c r="AD73" s="327">
        <v>360000</v>
      </c>
      <c r="AE73" s="380">
        <v>45554</v>
      </c>
      <c r="AL73" s="327">
        <f t="shared" ref="AL73:AL92" si="20">X73+Z73+AB73+AD73+AF73+AH73+AJ73</f>
        <v>738310</v>
      </c>
      <c r="AO73" s="390">
        <f>N73-AL73</f>
        <v>0</v>
      </c>
      <c r="AP73" s="323">
        <v>15276299122</v>
      </c>
      <c r="AT73" s="398">
        <f t="shared" ref="AT73:AT104" si="21">AU73+AV73+AW73+AX73+AY73+AZ73+BA73+BB73</f>
        <v>0</v>
      </c>
      <c r="AU73" s="337"/>
      <c r="BC73" s="327">
        <f t="shared" ref="BC73:BC104" si="22">SUM(BE73:BW73)</f>
        <v>738310</v>
      </c>
      <c r="BD73" s="332">
        <f t="shared" ref="BD73:BD75" si="23">1%+0.18%+0.25%</f>
        <v>0.0143</v>
      </c>
      <c r="BP73" s="323">
        <v>378310</v>
      </c>
      <c r="BS73" s="323">
        <v>360000</v>
      </c>
      <c r="BZ73" s="323" t="s">
        <v>496</v>
      </c>
      <c r="CA73" s="323" t="s">
        <v>506</v>
      </c>
    </row>
    <row r="74" s="323" customFormat="1" customHeight="1" spans="1:79">
      <c r="A74" s="172">
        <v>67</v>
      </c>
      <c r="C74" s="380">
        <v>45465</v>
      </c>
      <c r="D74" s="323">
        <v>20240003028</v>
      </c>
      <c r="E74" s="833" t="s">
        <v>815</v>
      </c>
      <c r="F74" s="338" t="s">
        <v>810</v>
      </c>
      <c r="G74" s="323" t="s">
        <v>811</v>
      </c>
      <c r="I74" s="323" t="s">
        <v>492</v>
      </c>
      <c r="J74" s="323">
        <v>2</v>
      </c>
      <c r="K74" s="323">
        <v>50.67</v>
      </c>
      <c r="L74" s="323">
        <v>50.67</v>
      </c>
      <c r="M74" s="323">
        <v>17000</v>
      </c>
      <c r="N74" s="392">
        <v>861390</v>
      </c>
      <c r="O74" s="327">
        <v>17000</v>
      </c>
      <c r="T74" s="327"/>
      <c r="U74" s="380"/>
      <c r="V74" s="838" t="s">
        <v>816</v>
      </c>
      <c r="W74" s="380" t="s">
        <v>721</v>
      </c>
      <c r="X74" s="327">
        <v>2000</v>
      </c>
      <c r="Y74" s="380" t="s">
        <v>406</v>
      </c>
      <c r="Z74" s="327">
        <v>48000</v>
      </c>
      <c r="AA74" s="380" t="s">
        <v>717</v>
      </c>
      <c r="AB74" s="323">
        <v>411390</v>
      </c>
      <c r="AC74" s="365" t="s">
        <v>817</v>
      </c>
      <c r="AD74" s="327">
        <v>400000</v>
      </c>
      <c r="AE74" s="380">
        <v>45554</v>
      </c>
      <c r="AL74" s="327">
        <f t="shared" si="20"/>
        <v>861390</v>
      </c>
      <c r="AO74" s="390">
        <f t="shared" ref="AO74:AO88" si="24">N74-AL74</f>
        <v>0</v>
      </c>
      <c r="AP74" s="323">
        <v>15276299122</v>
      </c>
      <c r="AT74" s="398">
        <f t="shared" si="21"/>
        <v>0</v>
      </c>
      <c r="AU74" s="337"/>
      <c r="BC74" s="327">
        <f t="shared" si="22"/>
        <v>861390</v>
      </c>
      <c r="BD74" s="332">
        <f t="shared" si="23"/>
        <v>0.0143</v>
      </c>
      <c r="BP74" s="323">
        <v>461390</v>
      </c>
      <c r="BS74" s="323">
        <v>400000</v>
      </c>
      <c r="BZ74" s="323" t="s">
        <v>496</v>
      </c>
      <c r="CA74" s="323" t="s">
        <v>506</v>
      </c>
    </row>
    <row r="75" s="323" customFormat="1" customHeight="1" spans="1:79">
      <c r="A75" s="172">
        <v>68</v>
      </c>
      <c r="C75" s="380">
        <v>45464</v>
      </c>
      <c r="D75" s="323">
        <v>20240003564</v>
      </c>
      <c r="E75" s="833" t="s">
        <v>818</v>
      </c>
      <c r="F75" s="338" t="s">
        <v>819</v>
      </c>
      <c r="G75" s="323" t="s">
        <v>820</v>
      </c>
      <c r="I75" s="323" t="s">
        <v>492</v>
      </c>
      <c r="J75" s="323">
        <v>3</v>
      </c>
      <c r="K75" s="323">
        <v>50.67</v>
      </c>
      <c r="L75" s="323">
        <v>50.67</v>
      </c>
      <c r="M75" s="342">
        <v>17959.34</v>
      </c>
      <c r="N75" s="392">
        <v>910000</v>
      </c>
      <c r="O75" s="327">
        <v>17650</v>
      </c>
      <c r="T75" s="327"/>
      <c r="U75" s="380"/>
      <c r="V75" s="342"/>
      <c r="W75" s="380" t="s">
        <v>502</v>
      </c>
      <c r="X75" s="327">
        <v>50000</v>
      </c>
      <c r="Y75" s="380" t="s">
        <v>821</v>
      </c>
      <c r="Z75" s="327">
        <v>50000</v>
      </c>
      <c r="AA75" s="365" t="s">
        <v>822</v>
      </c>
      <c r="AB75" s="327">
        <v>200000</v>
      </c>
      <c r="AC75" s="380" t="s">
        <v>823</v>
      </c>
      <c r="AD75" s="323">
        <f>90000+60000</f>
        <v>150000</v>
      </c>
      <c r="AE75" s="323" t="s">
        <v>814</v>
      </c>
      <c r="AF75" s="327">
        <v>460000</v>
      </c>
      <c r="AG75" s="380" t="s">
        <v>824</v>
      </c>
      <c r="AL75" s="327">
        <f t="shared" si="20"/>
        <v>910000</v>
      </c>
      <c r="AO75" s="390">
        <f t="shared" si="24"/>
        <v>0</v>
      </c>
      <c r="AP75" s="323">
        <v>17767669870</v>
      </c>
      <c r="AT75" s="398">
        <f t="shared" si="21"/>
        <v>0</v>
      </c>
      <c r="AU75" s="337"/>
      <c r="BC75" s="327">
        <f t="shared" si="22"/>
        <v>910000</v>
      </c>
      <c r="BD75" s="332">
        <f>1%+0.25%</f>
        <v>0.0125</v>
      </c>
      <c r="BR75" s="323">
        <v>910000</v>
      </c>
      <c r="BZ75" s="323" t="s">
        <v>496</v>
      </c>
      <c r="CA75" s="323" t="s">
        <v>506</v>
      </c>
    </row>
    <row r="76" s="323" customFormat="1" customHeight="1" spans="1:78">
      <c r="A76" s="172">
        <v>69</v>
      </c>
      <c r="B76" s="323"/>
      <c r="C76" s="323" t="s">
        <v>151</v>
      </c>
      <c r="D76" s="323">
        <v>20240005663</v>
      </c>
      <c r="E76" s="833" t="s">
        <v>152</v>
      </c>
      <c r="F76" s="338" t="s">
        <v>153</v>
      </c>
      <c r="G76" s="323" t="s">
        <v>154</v>
      </c>
      <c r="I76" s="323" t="s">
        <v>492</v>
      </c>
      <c r="J76" s="323">
        <v>4</v>
      </c>
      <c r="K76" s="323">
        <v>50.67</v>
      </c>
      <c r="L76" s="323">
        <v>50.67</v>
      </c>
      <c r="M76" s="323">
        <v>17959.34</v>
      </c>
      <c r="N76" s="392">
        <v>910000</v>
      </c>
      <c r="O76" s="327">
        <v>17844</v>
      </c>
      <c r="T76" s="327"/>
      <c r="U76" s="380"/>
      <c r="V76" s="342"/>
      <c r="W76" s="380" t="s">
        <v>825</v>
      </c>
      <c r="X76" s="327">
        <v>20000</v>
      </c>
      <c r="Y76" s="380">
        <v>45548</v>
      </c>
      <c r="Z76" s="327">
        <v>440000</v>
      </c>
      <c r="AA76" s="380" t="s">
        <v>151</v>
      </c>
      <c r="AB76" s="323">
        <v>450000</v>
      </c>
      <c r="AC76" s="365" t="s">
        <v>600</v>
      </c>
      <c r="AL76" s="327">
        <f t="shared" si="20"/>
        <v>910000</v>
      </c>
      <c r="AO76" s="390">
        <f t="shared" si="24"/>
        <v>0</v>
      </c>
      <c r="AP76" s="323">
        <v>13150268333</v>
      </c>
      <c r="AT76" s="398">
        <f t="shared" si="21"/>
        <v>0</v>
      </c>
      <c r="AU76" s="337"/>
      <c r="BC76" s="327">
        <f t="shared" si="22"/>
        <v>910000</v>
      </c>
      <c r="BD76" s="478">
        <f>0.9%+0.2%</f>
        <v>0.011</v>
      </c>
      <c r="BT76" s="323">
        <v>910000</v>
      </c>
      <c r="BZ76" s="323" t="s">
        <v>496</v>
      </c>
    </row>
    <row r="77" s="323" customFormat="1" ht="40" customHeight="1" spans="1:78">
      <c r="A77" s="172">
        <v>70</v>
      </c>
      <c r="C77" s="380">
        <v>45504</v>
      </c>
      <c r="D77" s="323">
        <v>20240004390</v>
      </c>
      <c r="E77" s="833" t="s">
        <v>826</v>
      </c>
      <c r="F77" s="338" t="s">
        <v>827</v>
      </c>
      <c r="G77" s="337" t="s">
        <v>828</v>
      </c>
      <c r="I77" s="323" t="s">
        <v>492</v>
      </c>
      <c r="J77" s="323">
        <v>5</v>
      </c>
      <c r="K77" s="323">
        <v>50.67</v>
      </c>
      <c r="L77" s="323">
        <v>50.67</v>
      </c>
      <c r="M77" s="323">
        <v>18000</v>
      </c>
      <c r="N77" s="392">
        <f>M77*L77</f>
        <v>912060</v>
      </c>
      <c r="O77" s="327">
        <v>17747</v>
      </c>
      <c r="T77" s="327"/>
      <c r="U77" s="380"/>
      <c r="V77" s="340"/>
      <c r="W77" s="379" t="s">
        <v>508</v>
      </c>
      <c r="X77" s="327">
        <v>20000</v>
      </c>
      <c r="Y77" s="365" t="s">
        <v>821</v>
      </c>
      <c r="Z77" s="327">
        <v>300000</v>
      </c>
      <c r="AA77" s="380" t="s">
        <v>579</v>
      </c>
      <c r="AB77" s="327">
        <v>136060</v>
      </c>
      <c r="AC77" s="380" t="s">
        <v>829</v>
      </c>
      <c r="AD77" s="327">
        <v>456000</v>
      </c>
      <c r="AE77" s="380" t="s">
        <v>729</v>
      </c>
      <c r="AL77" s="327">
        <f t="shared" si="20"/>
        <v>912060</v>
      </c>
      <c r="AO77" s="390">
        <f t="shared" si="24"/>
        <v>0</v>
      </c>
      <c r="AP77" s="323">
        <v>17699945989</v>
      </c>
      <c r="AT77" s="398">
        <f t="shared" si="21"/>
        <v>0</v>
      </c>
      <c r="AU77" s="337"/>
      <c r="BC77" s="327">
        <f t="shared" si="22"/>
        <v>912060</v>
      </c>
      <c r="BD77" s="332">
        <f t="shared" ref="BD77:BD81" si="25">1%+0.18%+0.25%</f>
        <v>0.0143</v>
      </c>
      <c r="BQ77" s="323">
        <v>456060</v>
      </c>
      <c r="BS77" s="323">
        <v>456000</v>
      </c>
      <c r="BZ77" s="323" t="s">
        <v>496</v>
      </c>
    </row>
    <row r="78" s="323" customFormat="1" ht="45" customHeight="1" spans="1:78">
      <c r="A78" s="172">
        <v>71</v>
      </c>
      <c r="C78" s="380">
        <v>45474</v>
      </c>
      <c r="D78" s="323">
        <v>20240003765</v>
      </c>
      <c r="E78" s="833" t="s">
        <v>830</v>
      </c>
      <c r="F78" s="338" t="s">
        <v>831</v>
      </c>
      <c r="G78" s="337" t="s">
        <v>832</v>
      </c>
      <c r="I78" s="323" t="s">
        <v>492</v>
      </c>
      <c r="J78" s="323">
        <v>6</v>
      </c>
      <c r="K78" s="323">
        <v>50.67</v>
      </c>
      <c r="L78" s="323">
        <v>50.67</v>
      </c>
      <c r="M78" s="323">
        <v>18324.45</v>
      </c>
      <c r="N78" s="392">
        <v>918000</v>
      </c>
      <c r="O78" s="327">
        <v>17941</v>
      </c>
      <c r="T78" s="327"/>
      <c r="U78" s="380"/>
      <c r="V78" s="838" t="s">
        <v>833</v>
      </c>
      <c r="W78" s="380" t="s">
        <v>502</v>
      </c>
      <c r="X78" s="327">
        <v>20000</v>
      </c>
      <c r="Y78" s="365" t="s">
        <v>834</v>
      </c>
      <c r="Z78" s="323">
        <v>30000</v>
      </c>
      <c r="AA78" s="365" t="s">
        <v>632</v>
      </c>
      <c r="AB78" s="327">
        <v>200000</v>
      </c>
      <c r="AC78" s="380" t="s">
        <v>624</v>
      </c>
      <c r="AD78" s="327">
        <v>312000</v>
      </c>
      <c r="AE78" s="380" t="s">
        <v>579</v>
      </c>
      <c r="AF78" s="323">
        <v>356000</v>
      </c>
      <c r="AG78" s="323" t="s">
        <v>835</v>
      </c>
      <c r="AL78" s="327">
        <f t="shared" si="20"/>
        <v>918000</v>
      </c>
      <c r="AO78" s="390">
        <f t="shared" si="24"/>
        <v>0</v>
      </c>
      <c r="AP78" s="323">
        <v>18095859769</v>
      </c>
      <c r="AT78" s="398">
        <f t="shared" si="21"/>
        <v>0</v>
      </c>
      <c r="AU78" s="337"/>
      <c r="BC78" s="327">
        <f t="shared" si="22"/>
        <v>918000</v>
      </c>
      <c r="BD78" s="332">
        <f t="shared" ref="BD78:BD81" si="26">1%+0.25%</f>
        <v>0.0125</v>
      </c>
      <c r="BQ78" s="323">
        <v>918000</v>
      </c>
      <c r="BZ78" s="323" t="s">
        <v>496</v>
      </c>
    </row>
    <row r="79" s="323" customFormat="1" ht="44" customHeight="1" spans="1:78">
      <c r="A79" s="172">
        <v>72</v>
      </c>
      <c r="C79" s="380">
        <v>45474</v>
      </c>
      <c r="D79" s="323">
        <v>20240003764</v>
      </c>
      <c r="E79" s="833" t="s">
        <v>836</v>
      </c>
      <c r="F79" s="338" t="s">
        <v>831</v>
      </c>
      <c r="G79" s="337" t="s">
        <v>837</v>
      </c>
      <c r="I79" s="323" t="s">
        <v>492</v>
      </c>
      <c r="J79" s="323">
        <v>7</v>
      </c>
      <c r="K79" s="323">
        <v>50.67</v>
      </c>
      <c r="L79" s="323">
        <v>50.67</v>
      </c>
      <c r="M79" s="323">
        <v>18324.45</v>
      </c>
      <c r="N79" s="392">
        <v>918000</v>
      </c>
      <c r="O79" s="327">
        <v>18038</v>
      </c>
      <c r="T79" s="327"/>
      <c r="U79" s="380"/>
      <c r="V79" s="838" t="s">
        <v>838</v>
      </c>
      <c r="W79" s="380" t="s">
        <v>502</v>
      </c>
      <c r="X79" s="327">
        <v>25000</v>
      </c>
      <c r="Y79" s="380" t="s">
        <v>717</v>
      </c>
      <c r="Z79" s="323">
        <v>25000</v>
      </c>
      <c r="AA79" s="365" t="s">
        <v>821</v>
      </c>
      <c r="AB79" s="327">
        <f>688000+180000</f>
        <v>868000</v>
      </c>
      <c r="AC79" s="380" t="s">
        <v>579</v>
      </c>
      <c r="AL79" s="327">
        <f t="shared" si="20"/>
        <v>918000</v>
      </c>
      <c r="AO79" s="390">
        <f t="shared" si="24"/>
        <v>0</v>
      </c>
      <c r="AP79" s="323">
        <v>18095859769</v>
      </c>
      <c r="AT79" s="398">
        <f t="shared" si="21"/>
        <v>0</v>
      </c>
      <c r="AU79" s="337"/>
      <c r="BC79" s="327">
        <f t="shared" si="22"/>
        <v>918000</v>
      </c>
      <c r="BD79" s="332">
        <f t="shared" si="26"/>
        <v>0.0125</v>
      </c>
      <c r="BQ79" s="323">
        <v>918000</v>
      </c>
      <c r="BZ79" s="323" t="s">
        <v>496</v>
      </c>
    </row>
    <row r="80" s="323" customFormat="1" customHeight="1" spans="1:78">
      <c r="A80" s="172">
        <v>73</v>
      </c>
      <c r="C80" s="380">
        <v>45440</v>
      </c>
      <c r="D80" s="323">
        <v>20240003156</v>
      </c>
      <c r="E80" s="833" t="s">
        <v>839</v>
      </c>
      <c r="F80" s="338"/>
      <c r="G80" s="323" t="s">
        <v>840</v>
      </c>
      <c r="I80" s="323" t="s">
        <v>492</v>
      </c>
      <c r="J80" s="323">
        <v>8</v>
      </c>
      <c r="K80" s="323">
        <v>50.67</v>
      </c>
      <c r="L80" s="323">
        <v>50.67</v>
      </c>
      <c r="M80" s="534">
        <v>18324.45</v>
      </c>
      <c r="N80" s="392">
        <v>915750</v>
      </c>
      <c r="O80" s="327">
        <v>18038</v>
      </c>
      <c r="T80" s="327"/>
      <c r="U80" s="380"/>
      <c r="V80" s="837" t="s">
        <v>841</v>
      </c>
      <c r="W80" s="380" t="s">
        <v>842</v>
      </c>
      <c r="X80" s="327">
        <f>2000+2000</f>
        <v>4000</v>
      </c>
      <c r="Y80" s="380" t="s">
        <v>763</v>
      </c>
      <c r="Z80" s="327">
        <v>16000</v>
      </c>
      <c r="AA80" s="380" t="s">
        <v>843</v>
      </c>
      <c r="AB80" s="323">
        <v>230000</v>
      </c>
      <c r="AC80" s="365" t="s">
        <v>822</v>
      </c>
      <c r="AD80" s="327">
        <v>100000</v>
      </c>
      <c r="AE80" s="380" t="s">
        <v>710</v>
      </c>
      <c r="AF80" s="327">
        <v>200000</v>
      </c>
      <c r="AG80" s="380" t="s">
        <v>181</v>
      </c>
      <c r="AL80" s="327">
        <f t="shared" si="20"/>
        <v>550000</v>
      </c>
      <c r="AO80" s="390">
        <f t="shared" si="24"/>
        <v>365750</v>
      </c>
      <c r="AP80" s="323">
        <v>13029623486</v>
      </c>
      <c r="AT80" s="398">
        <f t="shared" si="21"/>
        <v>0</v>
      </c>
      <c r="AU80" s="337"/>
      <c r="BC80" s="327">
        <f t="shared" si="22"/>
        <v>0</v>
      </c>
      <c r="BD80" s="332">
        <f t="shared" si="25"/>
        <v>0.0143</v>
      </c>
      <c r="BZ80" s="323" t="s">
        <v>496</v>
      </c>
    </row>
    <row r="81" s="323" customFormat="1" customHeight="1" spans="1:78">
      <c r="A81" s="172">
        <v>74</v>
      </c>
      <c r="C81" s="380">
        <v>45520</v>
      </c>
      <c r="D81" s="323">
        <v>20240004709</v>
      </c>
      <c r="E81" s="833" t="s">
        <v>844</v>
      </c>
      <c r="F81" s="338" t="s">
        <v>845</v>
      </c>
      <c r="G81" s="323" t="s">
        <v>846</v>
      </c>
      <c r="I81" s="323" t="s">
        <v>492</v>
      </c>
      <c r="J81" s="323">
        <v>9</v>
      </c>
      <c r="K81" s="323">
        <v>50.67</v>
      </c>
      <c r="L81" s="323">
        <v>50.67</v>
      </c>
      <c r="M81" s="534">
        <v>18324.45</v>
      </c>
      <c r="N81" s="392">
        <v>933000</v>
      </c>
      <c r="O81" s="327">
        <v>18135</v>
      </c>
      <c r="T81" s="327"/>
      <c r="U81" s="380"/>
      <c r="V81" s="342"/>
      <c r="W81" s="380" t="s">
        <v>847</v>
      </c>
      <c r="X81" s="327">
        <v>2000</v>
      </c>
      <c r="Y81" s="380" t="s">
        <v>848</v>
      </c>
      <c r="Z81" s="327">
        <v>18000</v>
      </c>
      <c r="AA81" s="380" t="s">
        <v>505</v>
      </c>
      <c r="AB81" s="327">
        <v>453000</v>
      </c>
      <c r="AC81" s="380" t="s">
        <v>849</v>
      </c>
      <c r="AD81" s="327">
        <v>460000</v>
      </c>
      <c r="AE81" s="380" t="s">
        <v>729</v>
      </c>
      <c r="AL81" s="327">
        <f t="shared" si="20"/>
        <v>933000</v>
      </c>
      <c r="AO81" s="390">
        <f t="shared" si="24"/>
        <v>0</v>
      </c>
      <c r="AP81" s="323">
        <v>13565065448</v>
      </c>
      <c r="AT81" s="398">
        <f t="shared" si="21"/>
        <v>0</v>
      </c>
      <c r="AU81" s="337"/>
      <c r="BC81" s="327">
        <f t="shared" si="22"/>
        <v>933000</v>
      </c>
      <c r="BD81" s="332">
        <f t="shared" si="26"/>
        <v>0.0125</v>
      </c>
      <c r="BR81" s="323">
        <v>473000</v>
      </c>
      <c r="BS81" s="323">
        <v>460000</v>
      </c>
      <c r="BZ81" s="323" t="s">
        <v>496</v>
      </c>
    </row>
    <row r="82" s="323" customFormat="1" ht="45" customHeight="1" spans="1:78">
      <c r="A82" s="172">
        <v>75</v>
      </c>
      <c r="B82" s="323"/>
      <c r="C82" s="323" t="s">
        <v>151</v>
      </c>
      <c r="D82" s="323">
        <v>20240005641</v>
      </c>
      <c r="E82" s="833" t="s">
        <v>157</v>
      </c>
      <c r="F82" s="338" t="s">
        <v>158</v>
      </c>
      <c r="G82" s="337" t="s">
        <v>159</v>
      </c>
      <c r="I82" s="323" t="s">
        <v>492</v>
      </c>
      <c r="J82" s="323">
        <v>10</v>
      </c>
      <c r="K82" s="323">
        <v>77.44</v>
      </c>
      <c r="L82" s="323">
        <v>77.44</v>
      </c>
      <c r="M82" s="323">
        <v>20000</v>
      </c>
      <c r="N82" s="392">
        <v>1548800</v>
      </c>
      <c r="O82" s="327">
        <v>22000</v>
      </c>
      <c r="P82" s="323"/>
      <c r="Q82" s="323">
        <v>1420917.43</v>
      </c>
      <c r="R82" s="833" t="s">
        <v>850</v>
      </c>
      <c r="S82" s="524">
        <v>45590</v>
      </c>
      <c r="T82" s="327"/>
      <c r="U82" s="380"/>
      <c r="V82" s="340"/>
      <c r="W82" s="379" t="s">
        <v>524</v>
      </c>
      <c r="X82" s="327">
        <v>200000</v>
      </c>
      <c r="Y82" s="380">
        <v>45563</v>
      </c>
      <c r="Z82" s="327">
        <v>1327000</v>
      </c>
      <c r="AA82" s="380">
        <v>45565</v>
      </c>
      <c r="AB82" s="327">
        <v>21800</v>
      </c>
      <c r="AC82" s="380" t="s">
        <v>88</v>
      </c>
      <c r="AL82" s="327">
        <f t="shared" si="20"/>
        <v>1548800</v>
      </c>
      <c r="AO82" s="390">
        <f t="shared" si="24"/>
        <v>0</v>
      </c>
      <c r="AP82" s="323">
        <v>15999019972</v>
      </c>
      <c r="AT82" s="398">
        <f t="shared" si="21"/>
        <v>400</v>
      </c>
      <c r="AU82" s="398">
        <f>200</f>
        <v>200</v>
      </c>
      <c r="AV82" s="327"/>
      <c r="AW82" s="327">
        <v>200</v>
      </c>
      <c r="AX82" s="327"/>
      <c r="AY82" s="327"/>
      <c r="AZ82" s="327"/>
      <c r="BA82" s="327"/>
      <c r="BB82" s="327"/>
      <c r="BC82" s="327">
        <f t="shared" si="22"/>
        <v>1548800</v>
      </c>
      <c r="BD82" s="478">
        <f>1%+0.2%</f>
        <v>0.012</v>
      </c>
      <c r="BE82" s="327"/>
      <c r="BF82" s="327"/>
      <c r="BG82" s="327"/>
      <c r="BH82" s="327"/>
      <c r="BI82" s="327"/>
      <c r="BJ82" s="327"/>
      <c r="BK82" s="327"/>
      <c r="BL82" s="327"/>
      <c r="BM82" s="327"/>
      <c r="BN82" s="327"/>
      <c r="BO82" s="327"/>
      <c r="BP82" s="327"/>
      <c r="BQ82" s="327"/>
      <c r="BR82" s="327"/>
      <c r="BS82" s="327"/>
      <c r="BT82" s="327"/>
      <c r="BU82" s="327">
        <v>1548800</v>
      </c>
      <c r="BV82" s="327"/>
      <c r="BW82" s="327"/>
      <c r="BX82" s="323"/>
      <c r="BZ82" s="323" t="s">
        <v>496</v>
      </c>
    </row>
    <row r="83" s="323" customFormat="1" customHeight="1" spans="1:78">
      <c r="A83" s="172">
        <v>76</v>
      </c>
      <c r="C83" s="380">
        <v>45485</v>
      </c>
      <c r="D83" s="323">
        <v>20240003988</v>
      </c>
      <c r="E83" s="833" t="s">
        <v>851</v>
      </c>
      <c r="F83" s="338" t="s">
        <v>852</v>
      </c>
      <c r="G83" s="323" t="s">
        <v>853</v>
      </c>
      <c r="I83" s="323" t="s">
        <v>585</v>
      </c>
      <c r="J83" s="323">
        <v>1</v>
      </c>
      <c r="K83" s="323">
        <v>49.47</v>
      </c>
      <c r="L83" s="323">
        <v>49.47</v>
      </c>
      <c r="M83" s="323">
        <v>7883</v>
      </c>
      <c r="N83" s="392">
        <v>390000</v>
      </c>
      <c r="O83" s="327">
        <v>7752</v>
      </c>
      <c r="T83" s="327"/>
      <c r="U83" s="380"/>
      <c r="V83" s="838" t="s">
        <v>854</v>
      </c>
      <c r="W83" s="380" t="s">
        <v>508</v>
      </c>
      <c r="X83" s="327">
        <v>2000</v>
      </c>
      <c r="Y83" s="380" t="s">
        <v>700</v>
      </c>
      <c r="Z83" s="327">
        <v>13000</v>
      </c>
      <c r="AA83" s="380" t="s">
        <v>843</v>
      </c>
      <c r="AB83" s="327">
        <v>100000</v>
      </c>
      <c r="AC83" s="380" t="s">
        <v>855</v>
      </c>
      <c r="AD83" s="327">
        <v>80000</v>
      </c>
      <c r="AE83" s="380" t="s">
        <v>856</v>
      </c>
      <c r="AF83" s="327">
        <v>85000</v>
      </c>
      <c r="AG83" s="380" t="s">
        <v>580</v>
      </c>
      <c r="AH83" s="327">
        <v>110000</v>
      </c>
      <c r="AI83" s="380" t="s">
        <v>88</v>
      </c>
      <c r="AL83" s="327">
        <f t="shared" si="20"/>
        <v>390000</v>
      </c>
      <c r="AO83" s="390">
        <f t="shared" si="24"/>
        <v>0</v>
      </c>
      <c r="AP83" s="323">
        <v>18799829152</v>
      </c>
      <c r="AT83" s="398">
        <f t="shared" si="21"/>
        <v>0</v>
      </c>
      <c r="AU83" s="337"/>
      <c r="BC83" s="327">
        <f t="shared" si="22"/>
        <v>390000</v>
      </c>
      <c r="BD83" s="332">
        <f t="shared" ref="BD83:BD87" si="27">1%+0.18%+0.25%</f>
        <v>0.0143</v>
      </c>
      <c r="BT83" s="323">
        <v>390000</v>
      </c>
      <c r="BZ83" s="323" t="s">
        <v>496</v>
      </c>
    </row>
    <row r="84" s="323" customFormat="1" customHeight="1" spans="1:78">
      <c r="A84" s="172">
        <v>77</v>
      </c>
      <c r="B84" s="323"/>
      <c r="C84" s="323" t="s">
        <v>163</v>
      </c>
      <c r="D84" s="323">
        <v>20240005749</v>
      </c>
      <c r="E84" s="833" t="s">
        <v>164</v>
      </c>
      <c r="F84" s="338" t="s">
        <v>165</v>
      </c>
      <c r="G84" s="323" t="s">
        <v>166</v>
      </c>
      <c r="I84" s="323" t="s">
        <v>585</v>
      </c>
      <c r="J84" s="323">
        <v>2</v>
      </c>
      <c r="K84" s="323">
        <v>57.71</v>
      </c>
      <c r="L84" s="323">
        <v>57.71</v>
      </c>
      <c r="M84" s="323">
        <v>7000</v>
      </c>
      <c r="N84" s="392">
        <v>403970</v>
      </c>
      <c r="O84" s="327">
        <v>7668</v>
      </c>
      <c r="P84" s="323"/>
      <c r="Q84" s="323">
        <v>370614.68</v>
      </c>
      <c r="R84" s="833" t="s">
        <v>857</v>
      </c>
      <c r="S84" s="524">
        <v>45590</v>
      </c>
      <c r="T84" s="327"/>
      <c r="U84" s="380"/>
      <c r="V84" s="380"/>
      <c r="W84" s="380" t="s">
        <v>495</v>
      </c>
      <c r="X84" s="327">
        <v>20000</v>
      </c>
      <c r="Y84" s="380" t="s">
        <v>88</v>
      </c>
      <c r="Z84" s="327">
        <v>183970</v>
      </c>
      <c r="AA84" s="365" t="s">
        <v>163</v>
      </c>
      <c r="AB84" s="323">
        <v>200000</v>
      </c>
      <c r="AC84" s="365" t="s">
        <v>290</v>
      </c>
      <c r="AL84" s="327">
        <f t="shared" si="20"/>
        <v>403970</v>
      </c>
      <c r="AO84" s="390">
        <f t="shared" si="24"/>
        <v>0</v>
      </c>
      <c r="AP84" s="323">
        <v>15352620619</v>
      </c>
      <c r="AT84" s="398">
        <f t="shared" si="21"/>
        <v>0</v>
      </c>
      <c r="AU84" s="337"/>
      <c r="BC84" s="327">
        <f t="shared" si="22"/>
        <v>403970</v>
      </c>
      <c r="BD84" s="478">
        <f>1%+0.18%+0.2%</f>
        <v>0.0138</v>
      </c>
      <c r="BU84" s="323">
        <v>403970</v>
      </c>
      <c r="BZ84" s="323" t="s">
        <v>496</v>
      </c>
    </row>
    <row r="85" s="323" customFormat="1" customHeight="1" spans="1:78">
      <c r="A85" s="172">
        <v>78</v>
      </c>
      <c r="B85" s="323"/>
      <c r="C85" s="323" t="s">
        <v>125</v>
      </c>
      <c r="D85" s="323">
        <v>20240005929</v>
      </c>
      <c r="F85" s="338" t="s">
        <v>169</v>
      </c>
      <c r="G85" s="323" t="s">
        <v>170</v>
      </c>
      <c r="I85" s="323" t="s">
        <v>585</v>
      </c>
      <c r="J85" s="323">
        <v>3</v>
      </c>
      <c r="K85" s="323">
        <v>57.71</v>
      </c>
      <c r="L85" s="323">
        <v>57.71</v>
      </c>
      <c r="M85" s="323">
        <v>7451.05</v>
      </c>
      <c r="N85" s="392">
        <v>430000</v>
      </c>
      <c r="O85" s="327">
        <v>7753</v>
      </c>
      <c r="P85" s="323"/>
      <c r="Q85" s="323">
        <v>394495.41</v>
      </c>
      <c r="R85" s="833" t="s">
        <v>858</v>
      </c>
      <c r="S85" s="524">
        <v>45582</v>
      </c>
      <c r="T85" s="327"/>
      <c r="U85" s="380"/>
      <c r="V85" s="380"/>
      <c r="W85" s="380" t="s">
        <v>721</v>
      </c>
      <c r="X85" s="327">
        <v>80000</v>
      </c>
      <c r="Y85" s="380" t="s">
        <v>125</v>
      </c>
      <c r="Z85" s="327">
        <v>350000</v>
      </c>
      <c r="AA85" s="365" t="s">
        <v>349</v>
      </c>
      <c r="AC85" s="365"/>
      <c r="AL85" s="327">
        <f t="shared" si="20"/>
        <v>430000</v>
      </c>
      <c r="AO85" s="390">
        <f t="shared" si="24"/>
        <v>0</v>
      </c>
      <c r="AP85" s="323">
        <v>13565038253</v>
      </c>
      <c r="AT85" s="398">
        <f t="shared" si="21"/>
        <v>0</v>
      </c>
      <c r="AU85" s="337"/>
      <c r="BC85" s="327">
        <f t="shared" si="22"/>
        <v>430000</v>
      </c>
      <c r="BD85" s="479">
        <f>0.8%+0.15%+0.2%+0.03%</f>
        <v>0.0118</v>
      </c>
      <c r="BU85" s="323">
        <v>430000</v>
      </c>
      <c r="BZ85" s="323" t="s">
        <v>496</v>
      </c>
    </row>
    <row r="86" s="323" customFormat="1" customHeight="1" spans="1:78">
      <c r="A86" s="172">
        <v>79</v>
      </c>
      <c r="B86" s="323"/>
      <c r="C86" s="323" t="s">
        <v>173</v>
      </c>
      <c r="D86" s="323">
        <v>20240006684</v>
      </c>
      <c r="F86" s="338" t="s">
        <v>174</v>
      </c>
      <c r="G86" s="323" t="s">
        <v>175</v>
      </c>
      <c r="I86" s="323" t="s">
        <v>585</v>
      </c>
      <c r="J86" s="323">
        <v>4</v>
      </c>
      <c r="K86" s="323">
        <v>57.71</v>
      </c>
      <c r="L86" s="323">
        <v>57.71</v>
      </c>
      <c r="M86" s="323">
        <v>7700</v>
      </c>
      <c r="N86" s="392">
        <v>444367</v>
      </c>
      <c r="O86" s="327">
        <v>7923</v>
      </c>
      <c r="P86" s="323"/>
      <c r="Q86" s="323">
        <v>407676.15</v>
      </c>
      <c r="R86" s="833" t="s">
        <v>859</v>
      </c>
      <c r="S86" s="380">
        <v>45644</v>
      </c>
      <c r="T86" s="327"/>
      <c r="U86" s="380"/>
      <c r="V86" s="380"/>
      <c r="W86" s="380" t="s">
        <v>594</v>
      </c>
      <c r="X86" s="327">
        <v>20000</v>
      </c>
      <c r="Y86" s="380" t="s">
        <v>275</v>
      </c>
      <c r="Z86" s="327">
        <v>204367</v>
      </c>
      <c r="AA86" s="365"/>
      <c r="AC86" s="365"/>
      <c r="AL86" s="327">
        <f t="shared" si="20"/>
        <v>224367</v>
      </c>
      <c r="AO86" s="390">
        <f t="shared" si="24"/>
        <v>220000</v>
      </c>
      <c r="AP86" s="323">
        <v>18799988676</v>
      </c>
      <c r="AT86" s="398">
        <f t="shared" si="21"/>
        <v>0</v>
      </c>
      <c r="AU86" s="337"/>
      <c r="BC86" s="327">
        <f t="shared" si="22"/>
        <v>224367</v>
      </c>
      <c r="BD86" s="478">
        <f>1%+0.18%+0.25%+0.03%</f>
        <v>0.0146</v>
      </c>
      <c r="BU86" s="323">
        <v>224367</v>
      </c>
      <c r="BZ86" s="323" t="s">
        <v>496</v>
      </c>
    </row>
    <row r="87" s="323" customFormat="1" customHeight="1" spans="1:56">
      <c r="A87" s="172">
        <v>80</v>
      </c>
      <c r="B87" s="323"/>
      <c r="E87" s="833" t="s">
        <v>860</v>
      </c>
      <c r="F87" s="338" t="s">
        <v>861</v>
      </c>
      <c r="G87" s="323" t="s">
        <v>862</v>
      </c>
      <c r="I87" s="323" t="s">
        <v>585</v>
      </c>
      <c r="J87" s="323">
        <v>5</v>
      </c>
      <c r="K87" s="323">
        <v>57.71</v>
      </c>
      <c r="L87" s="323">
        <v>57.71</v>
      </c>
      <c r="M87" s="323">
        <v>7700</v>
      </c>
      <c r="N87" s="392">
        <v>444367</v>
      </c>
      <c r="O87" s="327">
        <v>8008</v>
      </c>
      <c r="P87" s="323"/>
      <c r="T87" s="327"/>
      <c r="U87" s="380"/>
      <c r="V87" s="380"/>
      <c r="W87" s="380" t="s">
        <v>594</v>
      </c>
      <c r="X87" s="327">
        <v>20000</v>
      </c>
      <c r="Y87" s="380" t="s">
        <v>509</v>
      </c>
      <c r="Z87" s="327"/>
      <c r="AA87" s="365"/>
      <c r="AC87" s="365"/>
      <c r="AL87" s="327">
        <f t="shared" si="20"/>
        <v>20000</v>
      </c>
      <c r="AO87" s="390">
        <f t="shared" si="24"/>
        <v>424367</v>
      </c>
      <c r="AP87" s="323">
        <v>13309969267</v>
      </c>
      <c r="AT87" s="398">
        <f t="shared" si="21"/>
        <v>0</v>
      </c>
      <c r="AU87" s="337"/>
      <c r="BC87" s="327">
        <f t="shared" si="22"/>
        <v>0</v>
      </c>
      <c r="BD87" s="478">
        <f t="shared" si="27"/>
        <v>0.0143</v>
      </c>
    </row>
    <row r="88" s="323" customFormat="1" customHeight="1" spans="1:56">
      <c r="A88" s="323">
        <v>81</v>
      </c>
      <c r="B88" s="323">
        <v>1</v>
      </c>
      <c r="F88" s="338" t="s">
        <v>863</v>
      </c>
      <c r="G88" s="323" t="s">
        <v>864</v>
      </c>
      <c r="I88" s="323" t="s">
        <v>585</v>
      </c>
      <c r="J88" s="323">
        <v>6</v>
      </c>
      <c r="K88" s="323">
        <v>57.71</v>
      </c>
      <c r="L88" s="323">
        <v>57.71</v>
      </c>
      <c r="M88" s="323">
        <v>8124.9</v>
      </c>
      <c r="N88" s="392">
        <v>468888</v>
      </c>
      <c r="O88" s="327">
        <v>8094</v>
      </c>
      <c r="T88" s="327">
        <v>20000</v>
      </c>
      <c r="U88" s="380" t="s">
        <v>865</v>
      </c>
      <c r="V88" s="380"/>
      <c r="W88" s="380" t="s">
        <v>590</v>
      </c>
      <c r="X88" s="327">
        <v>20000</v>
      </c>
      <c r="Y88" s="380" t="s">
        <v>865</v>
      </c>
      <c r="Z88" s="327"/>
      <c r="AA88" s="365"/>
      <c r="AC88" s="365"/>
      <c r="AL88" s="327">
        <f t="shared" si="20"/>
        <v>20000</v>
      </c>
      <c r="AO88" s="390">
        <f t="shared" si="24"/>
        <v>448888</v>
      </c>
      <c r="AP88" s="323">
        <v>15299379609</v>
      </c>
      <c r="AQ88" s="323" t="s">
        <v>607</v>
      </c>
      <c r="AT88" s="398">
        <f t="shared" si="21"/>
        <v>0</v>
      </c>
      <c r="AU88" s="337"/>
      <c r="BC88" s="327">
        <f t="shared" si="22"/>
        <v>0</v>
      </c>
      <c r="BD88" s="478">
        <f>0.9%+0.18%+0.25%+0.03%</f>
        <v>0.0136</v>
      </c>
    </row>
    <row r="89" s="172" customFormat="1" customHeight="1" spans="1:55">
      <c r="A89" s="172">
        <v>82</v>
      </c>
      <c r="F89" s="415"/>
      <c r="I89" s="172" t="s">
        <v>585</v>
      </c>
      <c r="J89" s="172">
        <v>7</v>
      </c>
      <c r="K89" s="172">
        <v>57.71</v>
      </c>
      <c r="N89" s="455"/>
      <c r="O89" s="358">
        <v>8179</v>
      </c>
      <c r="T89" s="358"/>
      <c r="U89" s="423"/>
      <c r="V89" s="423"/>
      <c r="W89" s="423"/>
      <c r="X89" s="358"/>
      <c r="Y89" s="423"/>
      <c r="Z89" s="358"/>
      <c r="AA89" s="388"/>
      <c r="AC89" s="388"/>
      <c r="AL89" s="358">
        <f t="shared" si="20"/>
        <v>0</v>
      </c>
      <c r="AO89" s="513"/>
      <c r="AT89" s="397">
        <f t="shared" si="21"/>
        <v>0</v>
      </c>
      <c r="AU89" s="336"/>
      <c r="BC89" s="358">
        <f t="shared" si="22"/>
        <v>0</v>
      </c>
    </row>
    <row r="90" s="172" customFormat="1" customHeight="1" spans="1:55">
      <c r="A90" s="172">
        <v>83</v>
      </c>
      <c r="F90" s="415"/>
      <c r="I90" s="172" t="s">
        <v>585</v>
      </c>
      <c r="J90" s="172">
        <v>8</v>
      </c>
      <c r="K90" s="172">
        <v>57.71</v>
      </c>
      <c r="N90" s="455"/>
      <c r="O90" s="358">
        <v>8179</v>
      </c>
      <c r="T90" s="358"/>
      <c r="U90" s="423"/>
      <c r="V90" s="423"/>
      <c r="W90" s="423"/>
      <c r="X90" s="358"/>
      <c r="Y90" s="423"/>
      <c r="Z90" s="358"/>
      <c r="AA90" s="388"/>
      <c r="AC90" s="388"/>
      <c r="AL90" s="358">
        <f t="shared" si="20"/>
        <v>0</v>
      </c>
      <c r="AO90" s="513"/>
      <c r="AT90" s="397">
        <f t="shared" si="21"/>
        <v>0</v>
      </c>
      <c r="AU90" s="336"/>
      <c r="BC90" s="358">
        <f t="shared" si="22"/>
        <v>0</v>
      </c>
    </row>
    <row r="91" s="172" customFormat="1" customHeight="1" spans="1:55">
      <c r="A91" s="172">
        <v>84</v>
      </c>
      <c r="F91" s="415"/>
      <c r="I91" s="172" t="s">
        <v>585</v>
      </c>
      <c r="J91" s="172">
        <v>9</v>
      </c>
      <c r="K91" s="172">
        <v>57.71</v>
      </c>
      <c r="N91" s="455"/>
      <c r="O91" s="358">
        <v>8264</v>
      </c>
      <c r="T91" s="358"/>
      <c r="U91" s="423"/>
      <c r="V91" s="423"/>
      <c r="W91" s="423"/>
      <c r="X91" s="358"/>
      <c r="Y91" s="423"/>
      <c r="Z91" s="358"/>
      <c r="AA91" s="388"/>
      <c r="AC91" s="388"/>
      <c r="AL91" s="358">
        <f t="shared" si="20"/>
        <v>0</v>
      </c>
      <c r="AO91" s="513"/>
      <c r="AT91" s="397">
        <f t="shared" si="21"/>
        <v>0</v>
      </c>
      <c r="AU91" s="336"/>
      <c r="BC91" s="358">
        <f t="shared" si="22"/>
        <v>0</v>
      </c>
    </row>
    <row r="92" s="172" customFormat="1" customHeight="1" spans="1:55">
      <c r="A92" s="172">
        <v>85</v>
      </c>
      <c r="F92" s="415"/>
      <c r="I92" s="172" t="s">
        <v>585</v>
      </c>
      <c r="J92" s="172">
        <v>10</v>
      </c>
      <c r="K92" s="172">
        <v>88.2</v>
      </c>
      <c r="N92" s="455"/>
      <c r="O92" s="358">
        <v>8093</v>
      </c>
      <c r="T92" s="358"/>
      <c r="U92" s="423"/>
      <c r="V92" s="423"/>
      <c r="W92" s="423"/>
      <c r="X92" s="358"/>
      <c r="Y92" s="423"/>
      <c r="Z92" s="358"/>
      <c r="AA92" s="388"/>
      <c r="AC92" s="388"/>
      <c r="AL92" s="358">
        <f t="shared" si="20"/>
        <v>0</v>
      </c>
      <c r="AO92" s="513"/>
      <c r="AT92" s="397">
        <f t="shared" si="21"/>
        <v>0</v>
      </c>
      <c r="AU92" s="336"/>
      <c r="BC92" s="358">
        <f t="shared" si="22"/>
        <v>0</v>
      </c>
    </row>
    <row r="93" s="323" customFormat="1" ht="50" customHeight="1" spans="1:79">
      <c r="A93" s="172">
        <v>86</v>
      </c>
      <c r="C93" s="323" t="s">
        <v>866</v>
      </c>
      <c r="D93" s="323">
        <v>20230006321</v>
      </c>
      <c r="E93" s="833" t="s">
        <v>867</v>
      </c>
      <c r="F93" s="338" t="s">
        <v>868</v>
      </c>
      <c r="G93" s="532" t="s">
        <v>869</v>
      </c>
      <c r="H93" s="323" t="s">
        <v>870</v>
      </c>
      <c r="I93" s="323" t="s">
        <v>492</v>
      </c>
      <c r="J93" s="323">
        <v>1</v>
      </c>
      <c r="K93" s="323">
        <v>43.2</v>
      </c>
      <c r="L93" s="323">
        <v>43.2</v>
      </c>
      <c r="M93" s="323">
        <v>27823.06</v>
      </c>
      <c r="N93" s="392">
        <v>1201957</v>
      </c>
      <c r="O93" s="327">
        <v>27160</v>
      </c>
      <c r="T93" s="327"/>
      <c r="U93" s="379"/>
      <c r="V93" s="379"/>
      <c r="W93" s="379" t="s">
        <v>871</v>
      </c>
      <c r="X93" s="327">
        <f>100000</f>
        <v>100000</v>
      </c>
      <c r="Y93" s="379" t="s">
        <v>872</v>
      </c>
      <c r="Z93" s="327">
        <v>150000</v>
      </c>
      <c r="AA93" s="365" t="s">
        <v>873</v>
      </c>
      <c r="AB93" s="327">
        <f>348400+3000</f>
        <v>351400</v>
      </c>
      <c r="AC93" s="379" t="s">
        <v>866</v>
      </c>
      <c r="AD93" s="327">
        <v>600000</v>
      </c>
      <c r="AE93" s="379" t="s">
        <v>729</v>
      </c>
      <c r="AF93" s="323">
        <v>557</v>
      </c>
      <c r="AG93" s="380">
        <v>45562</v>
      </c>
      <c r="AL93" s="327">
        <f t="shared" ref="AL93:AL124" si="28">X93+Z93+AB93+AD93+AF93+AH93+AJ93</f>
        <v>1201957</v>
      </c>
      <c r="AO93" s="535">
        <f>N93-AL93</f>
        <v>0</v>
      </c>
      <c r="AP93" s="323">
        <v>13899058276</v>
      </c>
      <c r="AT93" s="398">
        <f t="shared" si="21"/>
        <v>1600</v>
      </c>
      <c r="AU93" s="398">
        <f>200+200+200</f>
        <v>600</v>
      </c>
      <c r="AV93" s="327">
        <f>200+200+200+200</f>
        <v>800</v>
      </c>
      <c r="AW93" s="327">
        <v>200</v>
      </c>
      <c r="AX93" s="327"/>
      <c r="AY93" s="327"/>
      <c r="AZ93" s="327"/>
      <c r="BA93" s="327"/>
      <c r="BB93" s="327"/>
      <c r="BC93" s="327">
        <f t="shared" si="22"/>
        <v>1201400</v>
      </c>
      <c r="BD93" s="479">
        <f t="shared" ref="BD93:BD95" si="29">1%+0.18%+0.25%</f>
        <v>0.0143</v>
      </c>
      <c r="BE93" s="327">
        <v>601400</v>
      </c>
      <c r="BF93" s="327"/>
      <c r="BG93" s="327"/>
      <c r="BH93" s="327"/>
      <c r="BI93" s="327"/>
      <c r="BJ93" s="327"/>
      <c r="BK93" s="327"/>
      <c r="BL93" s="327"/>
      <c r="BM93" s="327"/>
      <c r="BN93" s="327"/>
      <c r="BO93" s="327"/>
      <c r="BP93" s="327"/>
      <c r="BQ93" s="327"/>
      <c r="BR93" s="327"/>
      <c r="BS93" s="327">
        <v>600000</v>
      </c>
      <c r="BT93" s="327"/>
      <c r="BU93" s="327"/>
      <c r="BV93" s="327"/>
      <c r="BW93" s="327"/>
      <c r="BX93" s="323"/>
      <c r="BZ93" s="323" t="s">
        <v>496</v>
      </c>
      <c r="CA93" s="323" t="s">
        <v>506</v>
      </c>
    </row>
    <row r="94" s="323" customFormat="1" customHeight="1" spans="1:79">
      <c r="A94" s="172">
        <v>87</v>
      </c>
      <c r="C94" s="323" t="s">
        <v>866</v>
      </c>
      <c r="D94" s="323">
        <v>20230006321</v>
      </c>
      <c r="E94" s="833" t="s">
        <v>874</v>
      </c>
      <c r="F94" s="338" t="s">
        <v>868</v>
      </c>
      <c r="G94" s="532" t="s">
        <v>869</v>
      </c>
      <c r="I94" s="323" t="s">
        <v>492</v>
      </c>
      <c r="J94" s="323">
        <v>2</v>
      </c>
      <c r="K94" s="323">
        <v>42.69</v>
      </c>
      <c r="L94" s="323">
        <v>42.69</v>
      </c>
      <c r="M94" s="323">
        <v>25861.15</v>
      </c>
      <c r="N94" s="392">
        <v>1104012</v>
      </c>
      <c r="O94" s="327">
        <v>25198.09</v>
      </c>
      <c r="S94" s="323" t="s">
        <v>875</v>
      </c>
      <c r="T94" s="327"/>
      <c r="U94" s="379"/>
      <c r="V94" s="379" t="s">
        <v>876</v>
      </c>
      <c r="W94" s="379" t="s">
        <v>871</v>
      </c>
      <c r="X94" s="327">
        <f>100000</f>
        <v>100000</v>
      </c>
      <c r="Y94" s="379" t="s">
        <v>872</v>
      </c>
      <c r="Z94" s="327">
        <v>150000</v>
      </c>
      <c r="AA94" s="365" t="s">
        <v>873</v>
      </c>
      <c r="AB94" s="327">
        <f>302495</f>
        <v>302495</v>
      </c>
      <c r="AC94" s="379" t="s">
        <v>866</v>
      </c>
      <c r="AD94" s="327">
        <v>551000</v>
      </c>
      <c r="AE94" s="379">
        <v>45561</v>
      </c>
      <c r="AF94" s="323">
        <v>517</v>
      </c>
      <c r="AG94" s="380">
        <v>45562</v>
      </c>
      <c r="AL94" s="327">
        <f t="shared" si="28"/>
        <v>1104012</v>
      </c>
      <c r="AO94" s="535">
        <f t="shared" ref="AO94:AO102" si="30">N94-AL94</f>
        <v>0</v>
      </c>
      <c r="AP94" s="323">
        <v>13899058276</v>
      </c>
      <c r="AT94" s="398">
        <f t="shared" si="21"/>
        <v>900</v>
      </c>
      <c r="AU94" s="398">
        <v>200</v>
      </c>
      <c r="AV94" s="327">
        <f>200+200</f>
        <v>400</v>
      </c>
      <c r="AW94" s="327"/>
      <c r="AX94" s="327"/>
      <c r="AY94" s="327"/>
      <c r="AZ94" s="327"/>
      <c r="BA94" s="327">
        <v>300</v>
      </c>
      <c r="BB94" s="327"/>
      <c r="BC94" s="327">
        <f t="shared" si="22"/>
        <v>1103495</v>
      </c>
      <c r="BD94" s="479">
        <f t="shared" si="29"/>
        <v>0.0143</v>
      </c>
      <c r="BE94" s="327">
        <v>552495</v>
      </c>
      <c r="BF94" s="327"/>
      <c r="BG94" s="327"/>
      <c r="BH94" s="327"/>
      <c r="BI94" s="327"/>
      <c r="BJ94" s="327"/>
      <c r="BK94" s="327"/>
      <c r="BL94" s="327"/>
      <c r="BM94" s="327"/>
      <c r="BN94" s="327"/>
      <c r="BO94" s="327"/>
      <c r="BP94" s="327"/>
      <c r="BQ94" s="327"/>
      <c r="BR94" s="327"/>
      <c r="BS94" s="327">
        <v>551000</v>
      </c>
      <c r="BT94" s="327"/>
      <c r="BU94" s="327"/>
      <c r="BV94" s="327"/>
      <c r="BW94" s="327"/>
      <c r="BX94" s="323"/>
      <c r="BZ94" s="323" t="s">
        <v>496</v>
      </c>
      <c r="CA94" s="323" t="s">
        <v>506</v>
      </c>
    </row>
    <row r="95" s="323" customFormat="1" ht="57" customHeight="1" spans="1:79">
      <c r="A95" s="172">
        <v>88</v>
      </c>
      <c r="C95" s="323" t="s">
        <v>866</v>
      </c>
      <c r="D95" s="323">
        <v>20230006321</v>
      </c>
      <c r="E95" s="833" t="s">
        <v>877</v>
      </c>
      <c r="F95" s="338" t="s">
        <v>868</v>
      </c>
      <c r="G95" s="532" t="s">
        <v>869</v>
      </c>
      <c r="I95" s="323" t="s">
        <v>492</v>
      </c>
      <c r="J95" s="323">
        <v>3</v>
      </c>
      <c r="K95" s="323">
        <v>42.69</v>
      </c>
      <c r="L95" s="323">
        <v>42.69</v>
      </c>
      <c r="M95" s="323">
        <v>25391.04</v>
      </c>
      <c r="N95" s="392">
        <v>1083944</v>
      </c>
      <c r="O95" s="327">
        <v>24727.98</v>
      </c>
      <c r="T95" s="327"/>
      <c r="U95" s="379"/>
      <c r="V95" s="379" t="s">
        <v>878</v>
      </c>
      <c r="W95" s="379" t="s">
        <v>879</v>
      </c>
      <c r="X95" s="327">
        <f>100000+5000-5000</f>
        <v>100000</v>
      </c>
      <c r="Y95" s="379" t="s">
        <v>880</v>
      </c>
      <c r="Z95" s="327">
        <f>150000-100000</f>
        <v>50000</v>
      </c>
      <c r="AA95" s="365" t="s">
        <v>873</v>
      </c>
      <c r="AB95" s="327">
        <v>392436</v>
      </c>
      <c r="AC95" s="379" t="s">
        <v>866</v>
      </c>
      <c r="AD95" s="327">
        <v>541000</v>
      </c>
      <c r="AE95" s="379">
        <v>45561</v>
      </c>
      <c r="AF95" s="323">
        <v>508</v>
      </c>
      <c r="AG95" s="380">
        <v>45562</v>
      </c>
      <c r="AL95" s="327">
        <f t="shared" si="28"/>
        <v>1083944</v>
      </c>
      <c r="AO95" s="535">
        <f t="shared" si="30"/>
        <v>0</v>
      </c>
      <c r="AP95" s="323">
        <v>13899058276</v>
      </c>
      <c r="AT95" s="398">
        <f t="shared" si="21"/>
        <v>700</v>
      </c>
      <c r="AU95" s="398">
        <f>200</f>
        <v>200</v>
      </c>
      <c r="AV95" s="327">
        <v>200</v>
      </c>
      <c r="AW95" s="327"/>
      <c r="AX95" s="327"/>
      <c r="AY95" s="327"/>
      <c r="AZ95" s="327"/>
      <c r="BA95" s="327">
        <v>300</v>
      </c>
      <c r="BB95" s="327"/>
      <c r="BC95" s="327">
        <f t="shared" si="22"/>
        <v>1083436</v>
      </c>
      <c r="BD95" s="479">
        <f t="shared" si="29"/>
        <v>0.0143</v>
      </c>
      <c r="BE95" s="327">
        <v>542436</v>
      </c>
      <c r="BF95" s="327"/>
      <c r="BG95" s="327"/>
      <c r="BH95" s="327"/>
      <c r="BI95" s="327"/>
      <c r="BJ95" s="327"/>
      <c r="BK95" s="327"/>
      <c r="BL95" s="327"/>
      <c r="BM95" s="327"/>
      <c r="BN95" s="327"/>
      <c r="BO95" s="327"/>
      <c r="BP95" s="327"/>
      <c r="BQ95" s="327"/>
      <c r="BR95" s="327"/>
      <c r="BS95" s="327">
        <v>541000</v>
      </c>
      <c r="BT95" s="327"/>
      <c r="BU95" s="327"/>
      <c r="BV95" s="327"/>
      <c r="BW95" s="327"/>
      <c r="BX95" s="323"/>
      <c r="BZ95" s="323" t="s">
        <v>496</v>
      </c>
      <c r="CA95" s="323" t="s">
        <v>506</v>
      </c>
    </row>
    <row r="96" s="323" customFormat="1" ht="42" customHeight="1" spans="1:79">
      <c r="A96" s="172">
        <v>89</v>
      </c>
      <c r="C96" s="323" t="s">
        <v>881</v>
      </c>
      <c r="D96" s="323">
        <v>20230006451</v>
      </c>
      <c r="E96" s="833" t="s">
        <v>882</v>
      </c>
      <c r="F96" s="338" t="s">
        <v>883</v>
      </c>
      <c r="G96" s="518" t="s">
        <v>884</v>
      </c>
      <c r="I96" s="323" t="s">
        <v>492</v>
      </c>
      <c r="J96" s="323">
        <v>4</v>
      </c>
      <c r="K96" s="323">
        <v>42.69</v>
      </c>
      <c r="L96" s="323">
        <v>42.69</v>
      </c>
      <c r="M96" s="323">
        <v>24945.91</v>
      </c>
      <c r="N96" s="392">
        <v>1064941</v>
      </c>
      <c r="O96" s="327">
        <v>24445.91</v>
      </c>
      <c r="T96" s="327"/>
      <c r="U96" s="379"/>
      <c r="V96" s="379" t="s">
        <v>885</v>
      </c>
      <c r="W96" s="379" t="s">
        <v>886</v>
      </c>
      <c r="X96" s="327">
        <f>5000+10000</f>
        <v>15000</v>
      </c>
      <c r="Y96" s="379" t="s">
        <v>887</v>
      </c>
      <c r="Z96" s="327">
        <v>50000</v>
      </c>
      <c r="AA96" s="365" t="s">
        <v>567</v>
      </c>
      <c r="AB96" s="327">
        <v>469442</v>
      </c>
      <c r="AC96" s="379" t="s">
        <v>881</v>
      </c>
      <c r="AD96" s="327">
        <v>220000</v>
      </c>
      <c r="AE96" s="379" t="s">
        <v>888</v>
      </c>
      <c r="AF96" s="327">
        <v>310000</v>
      </c>
      <c r="AG96" s="379" t="s">
        <v>889</v>
      </c>
      <c r="AL96" s="327">
        <f t="shared" si="28"/>
        <v>1064442</v>
      </c>
      <c r="AO96" s="535">
        <f t="shared" si="30"/>
        <v>499</v>
      </c>
      <c r="AP96" s="323">
        <v>19999196289</v>
      </c>
      <c r="AT96" s="398">
        <f t="shared" si="21"/>
        <v>1100</v>
      </c>
      <c r="AU96" s="398"/>
      <c r="AV96" s="327">
        <f>200+200</f>
        <v>400</v>
      </c>
      <c r="AW96" s="327">
        <v>200</v>
      </c>
      <c r="AX96" s="327"/>
      <c r="AY96" s="327">
        <v>200</v>
      </c>
      <c r="AZ96" s="327"/>
      <c r="BA96" s="327">
        <v>300</v>
      </c>
      <c r="BB96" s="327"/>
      <c r="BC96" s="327">
        <f t="shared" si="22"/>
        <v>1064442</v>
      </c>
      <c r="BD96" s="479">
        <f>1%+0.25%</f>
        <v>0.0125</v>
      </c>
      <c r="BE96" s="327">
        <v>534442</v>
      </c>
      <c r="BF96" s="327"/>
      <c r="BG96" s="327"/>
      <c r="BH96" s="327"/>
      <c r="BI96" s="327"/>
      <c r="BJ96" s="327"/>
      <c r="BK96" s="327">
        <v>530000</v>
      </c>
      <c r="BL96" s="327"/>
      <c r="BM96" s="327"/>
      <c r="BN96" s="327"/>
      <c r="BO96" s="327"/>
      <c r="BP96" s="327"/>
      <c r="BQ96" s="327"/>
      <c r="BR96" s="327"/>
      <c r="BS96" s="327"/>
      <c r="BT96" s="327"/>
      <c r="BU96" s="327"/>
      <c r="BV96" s="327"/>
      <c r="BW96" s="327"/>
      <c r="BX96" s="172"/>
      <c r="BZ96" s="323" t="s">
        <v>496</v>
      </c>
      <c r="CA96" s="323" t="s">
        <v>506</v>
      </c>
    </row>
    <row r="97" s="323" customFormat="1" ht="48" customHeight="1" spans="1:79">
      <c r="A97" s="172">
        <v>90</v>
      </c>
      <c r="C97" s="323" t="s">
        <v>656</v>
      </c>
      <c r="D97" s="323">
        <v>20230008712</v>
      </c>
      <c r="E97" s="833" t="s">
        <v>890</v>
      </c>
      <c r="F97" s="338" t="s">
        <v>891</v>
      </c>
      <c r="G97" s="517" t="s">
        <v>892</v>
      </c>
      <c r="I97" s="323" t="s">
        <v>492</v>
      </c>
      <c r="J97" s="323">
        <v>5</v>
      </c>
      <c r="K97" s="323">
        <v>42.69</v>
      </c>
      <c r="L97" s="323">
        <v>42.69</v>
      </c>
      <c r="M97" s="323">
        <v>24963.84</v>
      </c>
      <c r="N97" s="392">
        <v>1065706</v>
      </c>
      <c r="O97" s="327">
        <v>24163.84</v>
      </c>
      <c r="T97" s="327"/>
      <c r="U97" s="379"/>
      <c r="V97" s="379" t="s">
        <v>893</v>
      </c>
      <c r="W97" s="379" t="s">
        <v>894</v>
      </c>
      <c r="X97" s="327">
        <f>10000+10000+5000-5000+50000</f>
        <v>70000</v>
      </c>
      <c r="Y97" s="379" t="s">
        <v>895</v>
      </c>
      <c r="Z97" s="327">
        <v>200000</v>
      </c>
      <c r="AA97" s="379" t="s">
        <v>896</v>
      </c>
      <c r="AB97" s="327">
        <v>250000</v>
      </c>
      <c r="AC97" s="379" t="s">
        <v>897</v>
      </c>
      <c r="AD97" s="323">
        <v>15207</v>
      </c>
      <c r="AE97" s="323" t="s">
        <v>656</v>
      </c>
      <c r="AF97" s="327">
        <v>530000</v>
      </c>
      <c r="AG97" s="379" t="s">
        <v>898</v>
      </c>
      <c r="AL97" s="327">
        <f t="shared" si="28"/>
        <v>1065207</v>
      </c>
      <c r="AO97" s="390">
        <f t="shared" si="30"/>
        <v>499</v>
      </c>
      <c r="AP97" s="390">
        <v>18997603797</v>
      </c>
      <c r="AT97" s="398">
        <f t="shared" si="21"/>
        <v>2400</v>
      </c>
      <c r="AU97" s="398">
        <f>200</f>
        <v>200</v>
      </c>
      <c r="AV97" s="327">
        <v>200</v>
      </c>
      <c r="AW97" s="327">
        <v>200</v>
      </c>
      <c r="AX97" s="327">
        <f>200+200</f>
        <v>400</v>
      </c>
      <c r="AY97" s="327">
        <f>200+200+200</f>
        <v>600</v>
      </c>
      <c r="AZ97" s="327">
        <v>200</v>
      </c>
      <c r="BA97" s="327">
        <f>300+300</f>
        <v>600</v>
      </c>
      <c r="BB97" s="327"/>
      <c r="BC97" s="327">
        <f t="shared" si="22"/>
        <v>1065207</v>
      </c>
      <c r="BD97" s="479">
        <f>1%+0.25%</f>
        <v>0.0125</v>
      </c>
      <c r="BE97" s="327"/>
      <c r="BF97" s="327"/>
      <c r="BG97" s="327"/>
      <c r="BH97" s="327">
        <v>535207</v>
      </c>
      <c r="BI97" s="327">
        <v>530000</v>
      </c>
      <c r="BJ97" s="327"/>
      <c r="BK97" s="327"/>
      <c r="BL97" s="327"/>
      <c r="BM97" s="327"/>
      <c r="BN97" s="327"/>
      <c r="BO97" s="327"/>
      <c r="BP97" s="327"/>
      <c r="BQ97" s="327"/>
      <c r="BR97" s="327"/>
      <c r="BS97" s="327"/>
      <c r="BT97" s="327"/>
      <c r="BU97" s="327"/>
      <c r="BV97" s="327"/>
      <c r="BW97" s="327"/>
      <c r="BX97" s="172"/>
      <c r="BZ97" s="323" t="s">
        <v>496</v>
      </c>
      <c r="CA97" s="323" t="s">
        <v>506</v>
      </c>
    </row>
    <row r="98" s="323" customFormat="1" customHeight="1" spans="1:78">
      <c r="A98" s="172">
        <v>91</v>
      </c>
      <c r="C98" s="323" t="s">
        <v>401</v>
      </c>
      <c r="D98" s="323">
        <v>20240007261</v>
      </c>
      <c r="E98" s="833" t="s">
        <v>899</v>
      </c>
      <c r="F98" s="338" t="s">
        <v>900</v>
      </c>
      <c r="G98" s="339" t="s">
        <v>901</v>
      </c>
      <c r="I98" s="323" t="s">
        <v>492</v>
      </c>
      <c r="J98" s="323">
        <v>6</v>
      </c>
      <c r="K98" s="323">
        <v>29.05</v>
      </c>
      <c r="L98" s="323">
        <v>29.05</v>
      </c>
      <c r="M98" s="323">
        <v>24307</v>
      </c>
      <c r="N98" s="392">
        <v>706118</v>
      </c>
      <c r="O98" s="327">
        <v>24163.84</v>
      </c>
      <c r="Q98" s="323">
        <v>647814.68</v>
      </c>
      <c r="R98" s="833" t="s">
        <v>902</v>
      </c>
      <c r="S98" s="323" t="s">
        <v>903</v>
      </c>
      <c r="T98" s="327">
        <v>337856</v>
      </c>
      <c r="U98" s="379" t="s">
        <v>401</v>
      </c>
      <c r="V98" s="379" t="s">
        <v>904</v>
      </c>
      <c r="W98" s="379" t="s">
        <v>905</v>
      </c>
      <c r="X98" s="327">
        <f>10000+10000</f>
        <v>20000</v>
      </c>
      <c r="Y98" s="379" t="s">
        <v>906</v>
      </c>
      <c r="Z98" s="327">
        <v>30000</v>
      </c>
      <c r="AA98" s="365" t="s">
        <v>567</v>
      </c>
      <c r="AB98" s="327">
        <v>318262</v>
      </c>
      <c r="AC98" s="379" t="s">
        <v>907</v>
      </c>
      <c r="AD98" s="327">
        <v>337856</v>
      </c>
      <c r="AE98" s="379" t="s">
        <v>401</v>
      </c>
      <c r="AL98" s="327">
        <f t="shared" si="28"/>
        <v>706118</v>
      </c>
      <c r="AO98" s="390">
        <f t="shared" si="30"/>
        <v>0</v>
      </c>
      <c r="AP98" s="323">
        <v>13699330699</v>
      </c>
      <c r="AT98" s="398">
        <f t="shared" si="21"/>
        <v>0</v>
      </c>
      <c r="AU98" s="398"/>
      <c r="AV98" s="327"/>
      <c r="AW98" s="327"/>
      <c r="AX98" s="327"/>
      <c r="AY98" s="327"/>
      <c r="AZ98" s="327"/>
      <c r="BA98" s="327"/>
      <c r="BB98" s="327"/>
      <c r="BC98" s="327">
        <f t="shared" si="22"/>
        <v>706118</v>
      </c>
      <c r="BD98" s="479">
        <f>1%+0.25%</f>
        <v>0.0125</v>
      </c>
      <c r="BE98" s="327"/>
      <c r="BF98" s="327"/>
      <c r="BG98" s="327"/>
      <c r="BH98" s="327"/>
      <c r="BI98" s="327"/>
      <c r="BJ98" s="327"/>
      <c r="BK98" s="327"/>
      <c r="BL98" s="327"/>
      <c r="BM98" s="327"/>
      <c r="BN98" s="327"/>
      <c r="BO98" s="327"/>
      <c r="BP98" s="327"/>
      <c r="BQ98" s="327"/>
      <c r="BR98" s="327"/>
      <c r="BS98" s="327"/>
      <c r="BT98" s="327"/>
      <c r="BU98" s="327"/>
      <c r="BV98" s="327">
        <v>706118</v>
      </c>
      <c r="BW98" s="327"/>
      <c r="BX98" s="323">
        <f>BV98*BD98</f>
        <v>8826.475</v>
      </c>
      <c r="BZ98" s="323" t="s">
        <v>496</v>
      </c>
    </row>
    <row r="99" s="323" customFormat="1" customHeight="1" spans="1:79">
      <c r="A99" s="172">
        <v>92</v>
      </c>
      <c r="C99" s="323" t="s">
        <v>686</v>
      </c>
      <c r="D99" s="323">
        <v>20230008395</v>
      </c>
      <c r="E99" s="833" t="s">
        <v>908</v>
      </c>
      <c r="F99" s="338" t="s">
        <v>900</v>
      </c>
      <c r="G99" s="339" t="s">
        <v>909</v>
      </c>
      <c r="I99" s="323" t="s">
        <v>492</v>
      </c>
      <c r="J99" s="323">
        <v>7</v>
      </c>
      <c r="K99" s="323">
        <v>42.69</v>
      </c>
      <c r="L99" s="323">
        <v>42.69</v>
      </c>
      <c r="M99" s="323">
        <v>24213.8</v>
      </c>
      <c r="N99" s="392">
        <v>1033687</v>
      </c>
      <c r="O99" s="327">
        <v>24069.82</v>
      </c>
      <c r="P99" s="323"/>
      <c r="Q99" s="323">
        <v>948336.7</v>
      </c>
      <c r="R99" s="833" t="s">
        <v>910</v>
      </c>
      <c r="S99" s="323" t="s">
        <v>903</v>
      </c>
      <c r="T99" s="327">
        <v>520484</v>
      </c>
      <c r="U99" s="379" t="s">
        <v>401</v>
      </c>
      <c r="V99" s="379"/>
      <c r="W99" s="379" t="s">
        <v>905</v>
      </c>
      <c r="X99" s="327">
        <v>50000</v>
      </c>
      <c r="Y99" s="379" t="s">
        <v>567</v>
      </c>
      <c r="Z99" s="327">
        <v>33203</v>
      </c>
      <c r="AA99" s="379" t="s">
        <v>686</v>
      </c>
      <c r="AB99" s="327">
        <v>280000</v>
      </c>
      <c r="AC99" s="379" t="s">
        <v>541</v>
      </c>
      <c r="AD99" s="323">
        <v>150000</v>
      </c>
      <c r="AE99" s="323" t="s">
        <v>907</v>
      </c>
      <c r="AF99" s="327">
        <v>520484</v>
      </c>
      <c r="AG99" s="379" t="s">
        <v>401</v>
      </c>
      <c r="AL99" s="327">
        <f t="shared" si="28"/>
        <v>1033687</v>
      </c>
      <c r="AO99" s="390">
        <f t="shared" si="30"/>
        <v>0</v>
      </c>
      <c r="AP99" s="323">
        <v>13699330699</v>
      </c>
      <c r="AT99" s="398">
        <f t="shared" si="21"/>
        <v>0</v>
      </c>
      <c r="AU99" s="398"/>
      <c r="AV99" s="327"/>
      <c r="AW99" s="327"/>
      <c r="AX99" s="327"/>
      <c r="AY99" s="327"/>
      <c r="AZ99" s="327"/>
      <c r="BA99" s="327"/>
      <c r="BB99" s="327"/>
      <c r="BC99" s="327">
        <f t="shared" si="22"/>
        <v>1033687</v>
      </c>
      <c r="BD99" s="479">
        <f>1%+0.25%</f>
        <v>0.0125</v>
      </c>
      <c r="BE99" s="327"/>
      <c r="BF99" s="327"/>
      <c r="BG99" s="327"/>
      <c r="BH99" s="327"/>
      <c r="BI99" s="327"/>
      <c r="BJ99" s="327"/>
      <c r="BK99" s="327"/>
      <c r="BL99" s="327"/>
      <c r="BM99" s="327"/>
      <c r="BN99" s="327"/>
      <c r="BO99" s="327"/>
      <c r="BP99" s="327"/>
      <c r="BQ99" s="327"/>
      <c r="BR99" s="327"/>
      <c r="BS99" s="327"/>
      <c r="BT99" s="327"/>
      <c r="BU99" s="327"/>
      <c r="BV99" s="327">
        <v>1033687</v>
      </c>
      <c r="BW99" s="327"/>
      <c r="BX99" s="323">
        <f>BV99*BD99</f>
        <v>12921.0875</v>
      </c>
      <c r="BZ99" s="323" t="s">
        <v>496</v>
      </c>
      <c r="CA99" s="323" t="s">
        <v>506</v>
      </c>
    </row>
    <row r="100" s="323" customFormat="1" customHeight="1" spans="1:79">
      <c r="A100" s="172">
        <v>93</v>
      </c>
      <c r="C100" s="323" t="s">
        <v>911</v>
      </c>
      <c r="D100" s="323">
        <v>20230005526</v>
      </c>
      <c r="E100" s="833" t="s">
        <v>912</v>
      </c>
      <c r="F100" s="338" t="s">
        <v>913</v>
      </c>
      <c r="G100" s="339" t="s">
        <v>914</v>
      </c>
      <c r="I100" s="323" t="s">
        <v>492</v>
      </c>
      <c r="J100" s="323">
        <v>8</v>
      </c>
      <c r="K100" s="323">
        <v>42.69</v>
      </c>
      <c r="L100" s="323">
        <v>42.69</v>
      </c>
      <c r="M100" s="323">
        <v>24275.79</v>
      </c>
      <c r="N100" s="392">
        <v>1036333</v>
      </c>
      <c r="O100" s="327">
        <v>23975.79</v>
      </c>
      <c r="Q100" s="323">
        <v>950764.22</v>
      </c>
      <c r="R100" s="833" t="s">
        <v>915</v>
      </c>
      <c r="S100" s="323" t="s">
        <v>379</v>
      </c>
      <c r="T100" s="327"/>
      <c r="U100" s="379"/>
      <c r="V100" s="379" t="s">
        <v>916</v>
      </c>
      <c r="W100" s="379" t="s">
        <v>917</v>
      </c>
      <c r="X100" s="327">
        <v>5000</v>
      </c>
      <c r="Y100" s="379">
        <v>44762</v>
      </c>
      <c r="Z100" s="327">
        <v>100000</v>
      </c>
      <c r="AA100" s="365" t="s">
        <v>567</v>
      </c>
      <c r="AB100" s="327">
        <v>420848</v>
      </c>
      <c r="AC100" s="365" t="s">
        <v>911</v>
      </c>
      <c r="AD100" s="327">
        <v>110000</v>
      </c>
      <c r="AE100" s="379" t="s">
        <v>728</v>
      </c>
      <c r="AF100" s="327">
        <v>200000</v>
      </c>
      <c r="AG100" s="379" t="s">
        <v>918</v>
      </c>
      <c r="AH100" s="327">
        <v>200000</v>
      </c>
      <c r="AI100" s="379" t="s">
        <v>595</v>
      </c>
      <c r="AL100" s="327">
        <f t="shared" si="28"/>
        <v>1035848</v>
      </c>
      <c r="AO100" s="390">
        <f t="shared" si="30"/>
        <v>485</v>
      </c>
      <c r="AP100" s="323">
        <v>14799095699</v>
      </c>
      <c r="AT100" s="398">
        <f t="shared" si="21"/>
        <v>0</v>
      </c>
      <c r="AU100" s="398"/>
      <c r="AV100" s="327"/>
      <c r="AW100" s="327"/>
      <c r="AX100" s="327"/>
      <c r="AY100" s="327"/>
      <c r="AZ100" s="327"/>
      <c r="BA100" s="327"/>
      <c r="BB100" s="327"/>
      <c r="BC100" s="327">
        <f t="shared" si="22"/>
        <v>1356696</v>
      </c>
      <c r="BD100" s="479">
        <f>1%+0.18%+0.25%</f>
        <v>0.0143</v>
      </c>
      <c r="BE100" s="327">
        <v>520848</v>
      </c>
      <c r="BF100" s="327"/>
      <c r="BG100" s="327"/>
      <c r="BH100" s="327"/>
      <c r="BI100" s="327"/>
      <c r="BJ100" s="327"/>
      <c r="BK100" s="327"/>
      <c r="BL100" s="327"/>
      <c r="BM100" s="327"/>
      <c r="BN100" s="327"/>
      <c r="BO100" s="327"/>
      <c r="BP100" s="327"/>
      <c r="BQ100" s="327"/>
      <c r="BR100" s="327"/>
      <c r="BS100" s="327"/>
      <c r="BT100" s="327">
        <v>835848</v>
      </c>
      <c r="BU100" s="327"/>
      <c r="BV100" s="327"/>
      <c r="BW100" s="327"/>
      <c r="BX100" s="323"/>
      <c r="BZ100" s="323" t="s">
        <v>496</v>
      </c>
      <c r="CA100" s="323" t="s">
        <v>506</v>
      </c>
    </row>
    <row r="101" s="323" customFormat="1" customHeight="1" spans="1:78">
      <c r="A101" s="172">
        <v>94</v>
      </c>
      <c r="C101" s="323" t="s">
        <v>125</v>
      </c>
      <c r="D101" s="323">
        <v>20240005898</v>
      </c>
      <c r="E101" s="833" t="s">
        <v>919</v>
      </c>
      <c r="F101" s="338" t="s">
        <v>920</v>
      </c>
      <c r="G101" s="339" t="s">
        <v>921</v>
      </c>
      <c r="I101" s="323" t="s">
        <v>492</v>
      </c>
      <c r="J101" s="323">
        <v>9</v>
      </c>
      <c r="K101" s="323">
        <v>42.69</v>
      </c>
      <c r="L101" s="323">
        <v>42.69</v>
      </c>
      <c r="M101" s="323">
        <v>24181.77</v>
      </c>
      <c r="N101" s="392">
        <v>1032320</v>
      </c>
      <c r="O101" s="327">
        <v>23881.77</v>
      </c>
      <c r="T101" s="327">
        <v>100000</v>
      </c>
      <c r="U101" s="379" t="s">
        <v>386</v>
      </c>
      <c r="V101" s="379" t="s">
        <v>922</v>
      </c>
      <c r="W101" s="379" t="s">
        <v>923</v>
      </c>
      <c r="X101" s="327">
        <f>5000+5000</f>
        <v>10000</v>
      </c>
      <c r="Y101" s="379" t="s">
        <v>924</v>
      </c>
      <c r="Z101" s="327">
        <v>50000</v>
      </c>
      <c r="AA101" s="365" t="s">
        <v>567</v>
      </c>
      <c r="AB101" s="327">
        <v>140000</v>
      </c>
      <c r="AC101" s="365" t="s">
        <v>925</v>
      </c>
      <c r="AD101" s="327">
        <v>50000</v>
      </c>
      <c r="AE101" s="379" t="s">
        <v>699</v>
      </c>
      <c r="AF101" s="327">
        <v>100000</v>
      </c>
      <c r="AG101" s="379" t="s">
        <v>579</v>
      </c>
      <c r="AH101" s="327">
        <v>100000</v>
      </c>
      <c r="AI101" s="379">
        <v>45565</v>
      </c>
      <c r="AJ101" s="327">
        <f>484+100000+100000</f>
        <v>200484</v>
      </c>
      <c r="AK101" s="379" t="s">
        <v>125</v>
      </c>
      <c r="AL101" s="327">
        <f t="shared" si="28"/>
        <v>650484</v>
      </c>
      <c r="AO101" s="390">
        <f t="shared" si="30"/>
        <v>381836</v>
      </c>
      <c r="AP101" s="323">
        <v>13999607739</v>
      </c>
      <c r="AT101" s="398">
        <f t="shared" si="21"/>
        <v>0</v>
      </c>
      <c r="AU101" s="398"/>
      <c r="AV101" s="327"/>
      <c r="AW101" s="327"/>
      <c r="AX101" s="327"/>
      <c r="AY101" s="327"/>
      <c r="AZ101" s="327"/>
      <c r="BA101" s="327"/>
      <c r="BB101" s="327"/>
      <c r="BC101" s="327">
        <f t="shared" si="22"/>
        <v>0</v>
      </c>
      <c r="BD101" s="479">
        <f>1%+0.25%</f>
        <v>0.0125</v>
      </c>
      <c r="BE101" s="327"/>
      <c r="BF101" s="327"/>
      <c r="BG101" s="327"/>
      <c r="BH101" s="327"/>
      <c r="BI101" s="327"/>
      <c r="BJ101" s="327"/>
      <c r="BK101" s="327"/>
      <c r="BL101" s="327"/>
      <c r="BM101" s="327"/>
      <c r="BN101" s="327"/>
      <c r="BO101" s="327"/>
      <c r="BP101" s="327"/>
      <c r="BQ101" s="327"/>
      <c r="BR101" s="327"/>
      <c r="BS101" s="327"/>
      <c r="BT101" s="327"/>
      <c r="BU101" s="327"/>
      <c r="BV101" s="327"/>
      <c r="BW101" s="327"/>
      <c r="BX101" s="172"/>
      <c r="BZ101" s="323" t="s">
        <v>496</v>
      </c>
    </row>
    <row r="102" s="323" customFormat="1" customHeight="1" spans="1:79">
      <c r="A102" s="172">
        <v>95</v>
      </c>
      <c r="C102" s="323" t="s">
        <v>926</v>
      </c>
      <c r="D102" s="323">
        <v>20230005458</v>
      </c>
      <c r="E102" s="833" t="s">
        <v>927</v>
      </c>
      <c r="F102" s="338" t="s">
        <v>928</v>
      </c>
      <c r="G102" s="517" t="s">
        <v>929</v>
      </c>
      <c r="I102" s="323" t="s">
        <v>492</v>
      </c>
      <c r="J102" s="323">
        <v>10</v>
      </c>
      <c r="K102" s="323">
        <v>41.68</v>
      </c>
      <c r="L102" s="323">
        <v>41.68</v>
      </c>
      <c r="M102" s="323">
        <v>24669.16</v>
      </c>
      <c r="N102" s="392">
        <v>1028211</v>
      </c>
      <c r="O102" s="327">
        <v>24369.16</v>
      </c>
      <c r="Q102" s="323">
        <v>943312.84</v>
      </c>
      <c r="R102" s="833" t="s">
        <v>930</v>
      </c>
      <c r="S102" s="323" t="s">
        <v>379</v>
      </c>
      <c r="T102" s="327"/>
      <c r="U102" s="379"/>
      <c r="V102" s="323" t="s">
        <v>931</v>
      </c>
      <c r="W102" s="323" t="s">
        <v>932</v>
      </c>
      <c r="X102" s="327">
        <v>5000</v>
      </c>
      <c r="Y102" s="323" t="s">
        <v>933</v>
      </c>
      <c r="Z102" s="327">
        <v>45000</v>
      </c>
      <c r="AA102" s="365" t="s">
        <v>558</v>
      </c>
      <c r="AB102" s="327">
        <v>464717</v>
      </c>
      <c r="AC102" s="365" t="s">
        <v>926</v>
      </c>
      <c r="AD102" s="327">
        <f>84000+429000</f>
        <v>513000</v>
      </c>
      <c r="AE102" s="379" t="s">
        <v>661</v>
      </c>
      <c r="AF102" s="323"/>
      <c r="AG102" s="323"/>
      <c r="AL102" s="327">
        <f t="shared" si="28"/>
        <v>1027717</v>
      </c>
      <c r="AO102" s="390">
        <f t="shared" si="30"/>
        <v>494</v>
      </c>
      <c r="AP102" s="323">
        <v>18116973710</v>
      </c>
      <c r="AT102" s="398">
        <f t="shared" si="21"/>
        <v>700</v>
      </c>
      <c r="AU102" s="398"/>
      <c r="AV102" s="327"/>
      <c r="AW102" s="327">
        <v>200</v>
      </c>
      <c r="AX102" s="327"/>
      <c r="AY102" s="327">
        <v>200</v>
      </c>
      <c r="AZ102" s="327"/>
      <c r="BA102" s="327">
        <v>300</v>
      </c>
      <c r="BB102" s="327"/>
      <c r="BC102" s="327">
        <f t="shared" si="22"/>
        <v>1027717</v>
      </c>
      <c r="BD102" s="479">
        <f t="shared" ref="BD102:BD105" si="31">1%+0.18%+0.25%</f>
        <v>0.0143</v>
      </c>
      <c r="BE102" s="327"/>
      <c r="BF102" s="327"/>
      <c r="BG102" s="327"/>
      <c r="BH102" s="327">
        <v>1027717</v>
      </c>
      <c r="BI102" s="327"/>
      <c r="BJ102" s="327"/>
      <c r="BK102" s="327"/>
      <c r="BL102" s="327"/>
      <c r="BM102" s="327"/>
      <c r="BN102" s="327"/>
      <c r="BO102" s="327"/>
      <c r="BP102" s="327"/>
      <c r="BQ102" s="327"/>
      <c r="BR102" s="327"/>
      <c r="BS102" s="327"/>
      <c r="BT102" s="327"/>
      <c r="BU102" s="327"/>
      <c r="BV102" s="327"/>
      <c r="BW102" s="327"/>
      <c r="BX102" s="172"/>
      <c r="BZ102" s="323" t="s">
        <v>496</v>
      </c>
      <c r="CA102" s="323" t="s">
        <v>506</v>
      </c>
    </row>
    <row r="103" s="323" customFormat="1" customHeight="1" spans="1:79">
      <c r="A103" s="172">
        <v>96</v>
      </c>
      <c r="C103" s="323" t="s">
        <v>646</v>
      </c>
      <c r="D103" s="323">
        <v>20230008219</v>
      </c>
      <c r="E103" s="833" t="s">
        <v>934</v>
      </c>
      <c r="F103" s="338" t="s">
        <v>935</v>
      </c>
      <c r="G103" s="517" t="s">
        <v>936</v>
      </c>
      <c r="I103" s="323" t="s">
        <v>492</v>
      </c>
      <c r="J103" s="323">
        <v>11</v>
      </c>
      <c r="K103" s="323">
        <v>43.2</v>
      </c>
      <c r="L103" s="323">
        <v>43.2</v>
      </c>
      <c r="M103" s="323">
        <v>25867</v>
      </c>
      <c r="N103" s="392">
        <v>1117454</v>
      </c>
      <c r="O103" s="327">
        <v>25705</v>
      </c>
      <c r="T103" s="327"/>
      <c r="U103" s="379"/>
      <c r="V103" s="379" t="s">
        <v>937</v>
      </c>
      <c r="W103" s="379" t="s">
        <v>938</v>
      </c>
      <c r="X103" s="327">
        <v>10000</v>
      </c>
      <c r="Y103" s="379" t="s">
        <v>939</v>
      </c>
      <c r="Z103" s="327">
        <v>90000</v>
      </c>
      <c r="AA103" s="365" t="s">
        <v>558</v>
      </c>
      <c r="AB103" s="327">
        <v>1016937</v>
      </c>
      <c r="AC103" s="379" t="s">
        <v>940</v>
      </c>
      <c r="AL103" s="327">
        <f t="shared" si="28"/>
        <v>1116937</v>
      </c>
      <c r="AO103" s="390">
        <f t="shared" ref="AO103:AO109" si="32">N103-AL103</f>
        <v>517</v>
      </c>
      <c r="AP103" s="323">
        <v>15276260476</v>
      </c>
      <c r="AT103" s="398">
        <f t="shared" si="21"/>
        <v>200</v>
      </c>
      <c r="AU103" s="398"/>
      <c r="AV103" s="327"/>
      <c r="AW103" s="327"/>
      <c r="AX103" s="327"/>
      <c r="AY103" s="327">
        <v>200</v>
      </c>
      <c r="AZ103" s="327"/>
      <c r="BA103" s="327"/>
      <c r="BB103" s="327"/>
      <c r="BC103" s="327">
        <f t="shared" si="22"/>
        <v>1116937</v>
      </c>
      <c r="BD103" s="479">
        <f t="shared" si="31"/>
        <v>0.0143</v>
      </c>
      <c r="BE103" s="327"/>
      <c r="BF103" s="327"/>
      <c r="BG103" s="327">
        <v>1116937</v>
      </c>
      <c r="BH103" s="327"/>
      <c r="BI103" s="327"/>
      <c r="BJ103" s="327"/>
      <c r="BK103" s="327"/>
      <c r="BL103" s="327"/>
      <c r="BM103" s="327"/>
      <c r="BN103" s="327"/>
      <c r="BO103" s="327"/>
      <c r="BP103" s="327"/>
      <c r="BQ103" s="327"/>
      <c r="BR103" s="327"/>
      <c r="BS103" s="327"/>
      <c r="BT103" s="327"/>
      <c r="BU103" s="327"/>
      <c r="BV103" s="327"/>
      <c r="BW103" s="327"/>
      <c r="BX103" s="172"/>
      <c r="BZ103" s="323" t="s">
        <v>496</v>
      </c>
      <c r="CA103" s="323" t="s">
        <v>506</v>
      </c>
    </row>
    <row r="104" s="323" customFormat="1" customHeight="1" spans="1:79">
      <c r="A104" s="172">
        <v>97</v>
      </c>
      <c r="C104" s="323" t="s">
        <v>646</v>
      </c>
      <c r="D104" s="323">
        <v>20230008224</v>
      </c>
      <c r="E104" s="833" t="s">
        <v>941</v>
      </c>
      <c r="F104" s="338" t="s">
        <v>935</v>
      </c>
      <c r="G104" s="517" t="s">
        <v>936</v>
      </c>
      <c r="I104" s="323" t="s">
        <v>492</v>
      </c>
      <c r="J104" s="323">
        <v>12</v>
      </c>
      <c r="K104" s="323">
        <v>43.2</v>
      </c>
      <c r="L104" s="323">
        <v>43.2</v>
      </c>
      <c r="M104" s="323">
        <v>20533</v>
      </c>
      <c r="N104" s="392">
        <v>887026</v>
      </c>
      <c r="O104" s="327">
        <v>20372.35</v>
      </c>
      <c r="T104" s="327"/>
      <c r="U104" s="379"/>
      <c r="V104" s="379"/>
      <c r="W104" s="379" t="s">
        <v>938</v>
      </c>
      <c r="X104" s="327">
        <v>100000</v>
      </c>
      <c r="Y104" s="379" t="s">
        <v>558</v>
      </c>
      <c r="Z104" s="327">
        <v>283063</v>
      </c>
      <c r="AA104" s="379" t="s">
        <v>940</v>
      </c>
      <c r="AB104" s="327">
        <v>503552</v>
      </c>
      <c r="AC104" s="365" t="s">
        <v>646</v>
      </c>
      <c r="AL104" s="327">
        <f t="shared" si="28"/>
        <v>886615</v>
      </c>
      <c r="AO104" s="390">
        <f t="shared" si="32"/>
        <v>411</v>
      </c>
      <c r="AP104" s="323">
        <v>15276260476</v>
      </c>
      <c r="AT104" s="398">
        <f t="shared" si="21"/>
        <v>200</v>
      </c>
      <c r="AU104" s="398"/>
      <c r="AV104" s="327"/>
      <c r="AW104" s="327"/>
      <c r="AX104" s="327"/>
      <c r="AY104" s="327">
        <v>200</v>
      </c>
      <c r="AZ104" s="327"/>
      <c r="BA104" s="327"/>
      <c r="BB104" s="327"/>
      <c r="BC104" s="327">
        <f t="shared" si="22"/>
        <v>886615</v>
      </c>
      <c r="BD104" s="479">
        <f t="shared" si="31"/>
        <v>0.0143</v>
      </c>
      <c r="BE104" s="327"/>
      <c r="BF104" s="327"/>
      <c r="BG104" s="327">
        <v>886615</v>
      </c>
      <c r="BH104" s="327"/>
      <c r="BI104" s="327"/>
      <c r="BJ104" s="327"/>
      <c r="BK104" s="327"/>
      <c r="BL104" s="327"/>
      <c r="BM104" s="327"/>
      <c r="BN104" s="327"/>
      <c r="BO104" s="327"/>
      <c r="BP104" s="327"/>
      <c r="BQ104" s="327"/>
      <c r="BR104" s="327"/>
      <c r="BS104" s="327"/>
      <c r="BT104" s="327"/>
      <c r="BU104" s="327"/>
      <c r="BV104" s="327"/>
      <c r="BW104" s="327"/>
      <c r="BX104" s="172"/>
      <c r="BZ104" s="323" t="s">
        <v>496</v>
      </c>
      <c r="CA104" s="323" t="s">
        <v>506</v>
      </c>
    </row>
    <row r="105" s="323" customFormat="1" customHeight="1" spans="1:79">
      <c r="A105" s="172">
        <v>98</v>
      </c>
      <c r="C105" s="323" t="s">
        <v>926</v>
      </c>
      <c r="D105" s="323">
        <v>20230005459</v>
      </c>
      <c r="E105" s="833" t="s">
        <v>942</v>
      </c>
      <c r="F105" s="338" t="s">
        <v>928</v>
      </c>
      <c r="G105" s="517" t="s">
        <v>929</v>
      </c>
      <c r="I105" s="323" t="s">
        <v>492</v>
      </c>
      <c r="J105" s="323">
        <v>13</v>
      </c>
      <c r="K105" s="323">
        <v>41.68</v>
      </c>
      <c r="L105" s="323">
        <v>41.68</v>
      </c>
      <c r="M105" s="323">
        <v>19527.5</v>
      </c>
      <c r="N105" s="392">
        <v>813906</v>
      </c>
      <c r="O105" s="327">
        <v>19227.5</v>
      </c>
      <c r="Q105" s="323">
        <v>746702.75</v>
      </c>
      <c r="R105" s="833" t="s">
        <v>943</v>
      </c>
      <c r="S105" s="323" t="s">
        <v>379</v>
      </c>
      <c r="T105" s="327"/>
      <c r="U105" s="379"/>
      <c r="V105" s="379"/>
      <c r="W105" s="323" t="s">
        <v>932</v>
      </c>
      <c r="X105" s="327">
        <v>50000</v>
      </c>
      <c r="Y105" s="323" t="s">
        <v>558</v>
      </c>
      <c r="Z105" s="327">
        <v>357516</v>
      </c>
      <c r="AA105" s="365" t="s">
        <v>926</v>
      </c>
      <c r="AB105" s="327">
        <v>406000</v>
      </c>
      <c r="AC105" s="365" t="s">
        <v>944</v>
      </c>
      <c r="AL105" s="327">
        <f t="shared" si="28"/>
        <v>813516</v>
      </c>
      <c r="AO105" s="390">
        <f t="shared" si="32"/>
        <v>390</v>
      </c>
      <c r="AP105" s="323">
        <v>18116973710</v>
      </c>
      <c r="AT105" s="398">
        <f t="shared" ref="AT105:AT150" si="33">AU105+AV105+AW105+AX105+AY105+AZ105+BA105+BB105</f>
        <v>200</v>
      </c>
      <c r="AU105" s="398"/>
      <c r="AV105" s="327"/>
      <c r="AW105" s="327"/>
      <c r="AX105" s="327"/>
      <c r="AY105" s="327">
        <v>200</v>
      </c>
      <c r="AZ105" s="327"/>
      <c r="BA105" s="327"/>
      <c r="BB105" s="327"/>
      <c r="BC105" s="327">
        <f t="shared" ref="BC105:BC150" si="34">SUM(BE105:BW105)</f>
        <v>813516</v>
      </c>
      <c r="BD105" s="479">
        <f t="shared" si="31"/>
        <v>0.0143</v>
      </c>
      <c r="BE105" s="327"/>
      <c r="BF105" s="327"/>
      <c r="BG105" s="327"/>
      <c r="BH105" s="327">
        <v>813516</v>
      </c>
      <c r="BI105" s="327"/>
      <c r="BJ105" s="327"/>
      <c r="BK105" s="327"/>
      <c r="BL105" s="327"/>
      <c r="BM105" s="327"/>
      <c r="BN105" s="327"/>
      <c r="BO105" s="327"/>
      <c r="BP105" s="327"/>
      <c r="BQ105" s="327"/>
      <c r="BR105" s="327"/>
      <c r="BS105" s="327"/>
      <c r="BT105" s="327"/>
      <c r="BU105" s="327"/>
      <c r="BV105" s="327"/>
      <c r="BW105" s="327"/>
      <c r="BX105" s="172"/>
      <c r="BZ105" s="323" t="s">
        <v>496</v>
      </c>
      <c r="CA105" s="323" t="s">
        <v>506</v>
      </c>
    </row>
    <row r="106" s="323" customFormat="1" customHeight="1" spans="1:79">
      <c r="A106" s="172">
        <v>99</v>
      </c>
      <c r="C106" s="380">
        <v>45318</v>
      </c>
      <c r="D106" s="323">
        <v>20240000629</v>
      </c>
      <c r="E106" s="833" t="s">
        <v>945</v>
      </c>
      <c r="F106" s="338" t="s">
        <v>946</v>
      </c>
      <c r="G106" s="339" t="s">
        <v>947</v>
      </c>
      <c r="I106" s="323" t="s">
        <v>492</v>
      </c>
      <c r="J106" s="323">
        <v>14</v>
      </c>
      <c r="K106" s="323">
        <v>42.69</v>
      </c>
      <c r="L106" s="323">
        <v>42.69</v>
      </c>
      <c r="M106" s="323">
        <v>17421.83</v>
      </c>
      <c r="N106" s="392">
        <v>743738</v>
      </c>
      <c r="O106" s="327">
        <v>17121.83</v>
      </c>
      <c r="T106" s="327"/>
      <c r="U106" s="379"/>
      <c r="V106" s="379"/>
      <c r="W106" s="379" t="s">
        <v>948</v>
      </c>
      <c r="X106" s="327">
        <v>50000</v>
      </c>
      <c r="Y106" s="379" t="s">
        <v>567</v>
      </c>
      <c r="Z106" s="327">
        <v>300000</v>
      </c>
      <c r="AA106" s="379" t="s">
        <v>949</v>
      </c>
      <c r="AB106" s="327">
        <v>200000</v>
      </c>
      <c r="AC106" s="379" t="s">
        <v>950</v>
      </c>
      <c r="AD106" s="327">
        <v>150000</v>
      </c>
      <c r="AE106" s="379" t="s">
        <v>951</v>
      </c>
      <c r="AF106" s="327">
        <v>43389</v>
      </c>
      <c r="AG106" s="379" t="s">
        <v>699</v>
      </c>
      <c r="AL106" s="327">
        <f t="shared" si="28"/>
        <v>743389</v>
      </c>
      <c r="AO106" s="390">
        <f t="shared" si="32"/>
        <v>349</v>
      </c>
      <c r="AP106" s="323">
        <v>13899019911</v>
      </c>
      <c r="AT106" s="398">
        <f t="shared" si="33"/>
        <v>0</v>
      </c>
      <c r="AU106" s="398"/>
      <c r="AV106" s="327"/>
      <c r="AW106" s="327"/>
      <c r="AX106" s="327"/>
      <c r="AY106" s="327"/>
      <c r="AZ106" s="327"/>
      <c r="BA106" s="327"/>
      <c r="BB106" s="327"/>
      <c r="BC106" s="327">
        <f t="shared" si="34"/>
        <v>743389</v>
      </c>
      <c r="BD106" s="479">
        <f>1%+0.25%</f>
        <v>0.0125</v>
      </c>
      <c r="BE106" s="327"/>
      <c r="BF106" s="327"/>
      <c r="BG106" s="327"/>
      <c r="BH106" s="327"/>
      <c r="BI106" s="327"/>
      <c r="BJ106" s="327"/>
      <c r="BK106" s="327"/>
      <c r="BL106" s="327"/>
      <c r="BM106" s="327">
        <v>743389</v>
      </c>
      <c r="BN106" s="327"/>
      <c r="BO106" s="327"/>
      <c r="BP106" s="327"/>
      <c r="BQ106" s="327"/>
      <c r="BR106" s="327"/>
      <c r="BS106" s="327"/>
      <c r="BT106" s="327"/>
      <c r="BU106" s="327"/>
      <c r="BV106" s="327"/>
      <c r="BW106" s="327"/>
      <c r="BX106" s="172"/>
      <c r="BZ106" s="323" t="s">
        <v>496</v>
      </c>
      <c r="CA106" s="323" t="s">
        <v>506</v>
      </c>
    </row>
    <row r="107" s="323" customFormat="1" customHeight="1" spans="1:78">
      <c r="A107" s="172">
        <v>100</v>
      </c>
      <c r="C107" s="380">
        <v>45111</v>
      </c>
      <c r="D107" s="323">
        <v>20230005527</v>
      </c>
      <c r="E107" s="833" t="s">
        <v>952</v>
      </c>
      <c r="F107" s="338" t="s">
        <v>913</v>
      </c>
      <c r="G107" s="339" t="s">
        <v>914</v>
      </c>
      <c r="I107" s="323" t="s">
        <v>492</v>
      </c>
      <c r="J107" s="323">
        <v>15</v>
      </c>
      <c r="K107" s="323">
        <v>42.69</v>
      </c>
      <c r="L107" s="323">
        <v>42.69</v>
      </c>
      <c r="M107" s="323">
        <v>17235.72</v>
      </c>
      <c r="N107" s="392">
        <v>735793</v>
      </c>
      <c r="O107" s="327">
        <v>16935.72</v>
      </c>
      <c r="Q107" s="323">
        <v>675039.45</v>
      </c>
      <c r="R107" s="833" t="s">
        <v>953</v>
      </c>
      <c r="S107" s="323" t="s">
        <v>379</v>
      </c>
      <c r="T107" s="327"/>
      <c r="U107" s="379"/>
      <c r="V107" s="379"/>
      <c r="W107" s="379" t="s">
        <v>917</v>
      </c>
      <c r="X107" s="327">
        <v>100000</v>
      </c>
      <c r="Y107" s="379" t="s">
        <v>567</v>
      </c>
      <c r="Z107" s="327">
        <f>4500+270948+180000</f>
        <v>455448</v>
      </c>
      <c r="AA107" s="365" t="s">
        <v>911</v>
      </c>
      <c r="AB107" s="327">
        <v>130000</v>
      </c>
      <c r="AC107" s="379" t="s">
        <v>725</v>
      </c>
      <c r="AD107" s="327">
        <v>50000</v>
      </c>
      <c r="AE107" s="379" t="s">
        <v>525</v>
      </c>
      <c r="AL107" s="327">
        <f t="shared" si="28"/>
        <v>735448</v>
      </c>
      <c r="AO107" s="390">
        <f t="shared" si="32"/>
        <v>345</v>
      </c>
      <c r="AP107" s="323">
        <v>14799095699</v>
      </c>
      <c r="AT107" s="398">
        <f t="shared" si="33"/>
        <v>0</v>
      </c>
      <c r="AU107" s="398"/>
      <c r="AV107" s="327"/>
      <c r="AW107" s="327"/>
      <c r="AX107" s="327"/>
      <c r="AY107" s="327"/>
      <c r="AZ107" s="327"/>
      <c r="BA107" s="327"/>
      <c r="BB107" s="327"/>
      <c r="BC107" s="327">
        <f t="shared" si="34"/>
        <v>735448</v>
      </c>
      <c r="BD107" s="479">
        <f>1%+0.18%+0.25%</f>
        <v>0.0143</v>
      </c>
      <c r="BE107" s="327"/>
      <c r="BF107" s="327"/>
      <c r="BG107" s="327"/>
      <c r="BH107" s="327"/>
      <c r="BI107" s="327"/>
      <c r="BJ107" s="327"/>
      <c r="BK107" s="327"/>
      <c r="BL107" s="327"/>
      <c r="BM107" s="327">
        <v>735448</v>
      </c>
      <c r="BN107" s="327"/>
      <c r="BO107" s="327"/>
      <c r="BP107" s="327"/>
      <c r="BQ107" s="327"/>
      <c r="BR107" s="327"/>
      <c r="BS107" s="327"/>
      <c r="BT107" s="327"/>
      <c r="BU107" s="327"/>
      <c r="BV107" s="327"/>
      <c r="BW107" s="327"/>
      <c r="BX107" s="172"/>
      <c r="BZ107" s="323" t="s">
        <v>496</v>
      </c>
    </row>
    <row r="108" s="323" customFormat="1" customHeight="1" spans="1:79">
      <c r="A108" s="172">
        <v>101</v>
      </c>
      <c r="C108" s="380" t="s">
        <v>213</v>
      </c>
      <c r="D108" s="323">
        <v>20240006868</v>
      </c>
      <c r="E108" s="833" t="s">
        <v>954</v>
      </c>
      <c r="F108" s="338" t="s">
        <v>955</v>
      </c>
      <c r="G108" s="339" t="s">
        <v>909</v>
      </c>
      <c r="I108" s="323" t="s">
        <v>492</v>
      </c>
      <c r="J108" s="323">
        <v>16</v>
      </c>
      <c r="K108" s="323">
        <v>42.69</v>
      </c>
      <c r="L108" s="323">
        <v>42.69</v>
      </c>
      <c r="M108" s="323">
        <v>16893.61</v>
      </c>
      <c r="N108" s="392">
        <v>721188</v>
      </c>
      <c r="O108" s="327">
        <v>16749.62</v>
      </c>
      <c r="Q108" s="323">
        <v>661640.37</v>
      </c>
      <c r="R108" s="833" t="s">
        <v>956</v>
      </c>
      <c r="S108" s="323" t="s">
        <v>903</v>
      </c>
      <c r="T108" s="327">
        <v>360000</v>
      </c>
      <c r="U108" s="379" t="s">
        <v>401</v>
      </c>
      <c r="V108" s="379"/>
      <c r="W108" s="379" t="s">
        <v>905</v>
      </c>
      <c r="X108" s="327">
        <v>50000</v>
      </c>
      <c r="Y108" s="379" t="s">
        <v>567</v>
      </c>
      <c r="Z108" s="327">
        <f>89962+220888</f>
        <v>310850</v>
      </c>
      <c r="AA108" s="379" t="s">
        <v>907</v>
      </c>
      <c r="AB108" s="327">
        <v>338</v>
      </c>
      <c r="AC108" s="379" t="s">
        <v>213</v>
      </c>
      <c r="AD108" s="327">
        <v>360000</v>
      </c>
      <c r="AE108" s="379" t="s">
        <v>401</v>
      </c>
      <c r="AL108" s="327">
        <f t="shared" si="28"/>
        <v>721188</v>
      </c>
      <c r="AO108" s="390">
        <f t="shared" si="32"/>
        <v>0</v>
      </c>
      <c r="AP108" s="323">
        <v>13699330699</v>
      </c>
      <c r="AT108" s="398">
        <f t="shared" si="33"/>
        <v>0</v>
      </c>
      <c r="AU108" s="398"/>
      <c r="AV108" s="327"/>
      <c r="AW108" s="327"/>
      <c r="AX108" s="327"/>
      <c r="AY108" s="327"/>
      <c r="AZ108" s="327"/>
      <c r="BA108" s="327"/>
      <c r="BB108" s="327"/>
      <c r="BC108" s="327">
        <f t="shared" si="34"/>
        <v>721188</v>
      </c>
      <c r="BD108" s="479">
        <f>1%+0.25%</f>
        <v>0.0125</v>
      </c>
      <c r="BE108" s="327"/>
      <c r="BF108" s="327"/>
      <c r="BG108" s="327"/>
      <c r="BH108" s="327"/>
      <c r="BI108" s="327"/>
      <c r="BJ108" s="327"/>
      <c r="BK108" s="327"/>
      <c r="BL108" s="327"/>
      <c r="BM108" s="327"/>
      <c r="BN108" s="327"/>
      <c r="BO108" s="327"/>
      <c r="BP108" s="327"/>
      <c r="BQ108" s="327"/>
      <c r="BR108" s="327"/>
      <c r="BS108" s="327"/>
      <c r="BT108" s="327"/>
      <c r="BU108" s="327"/>
      <c r="BV108" s="327">
        <v>721188</v>
      </c>
      <c r="BW108" s="327"/>
      <c r="BX108" s="323">
        <f>BV108*BD108</f>
        <v>9014.85</v>
      </c>
      <c r="BZ108" s="323" t="s">
        <v>496</v>
      </c>
      <c r="CA108" s="323" t="s">
        <v>506</v>
      </c>
    </row>
    <row r="109" s="323" customFormat="1" customHeight="1" spans="1:79">
      <c r="A109" s="172">
        <v>102</v>
      </c>
      <c r="C109" s="380">
        <v>45223</v>
      </c>
      <c r="D109" s="323">
        <v>20230009190</v>
      </c>
      <c r="E109" s="833" t="s">
        <v>957</v>
      </c>
      <c r="F109" s="338" t="s">
        <v>900</v>
      </c>
      <c r="G109" s="339" t="s">
        <v>909</v>
      </c>
      <c r="I109" s="323" t="s">
        <v>492</v>
      </c>
      <c r="J109" s="323">
        <v>17</v>
      </c>
      <c r="K109" s="323">
        <v>42.69</v>
      </c>
      <c r="L109" s="323">
        <v>42.69</v>
      </c>
      <c r="M109" s="323">
        <v>16893.61</v>
      </c>
      <c r="N109" s="392">
        <v>721188</v>
      </c>
      <c r="O109" s="327">
        <v>16749.62</v>
      </c>
      <c r="Q109" s="323">
        <v>661640.37</v>
      </c>
      <c r="R109" s="833" t="s">
        <v>958</v>
      </c>
      <c r="S109" s="323" t="s">
        <v>903</v>
      </c>
      <c r="T109" s="327">
        <v>360338</v>
      </c>
      <c r="U109" s="379" t="s">
        <v>959</v>
      </c>
      <c r="V109" s="379"/>
      <c r="W109" s="379" t="s">
        <v>905</v>
      </c>
      <c r="X109" s="327">
        <v>50000</v>
      </c>
      <c r="Y109" s="379" t="s">
        <v>567</v>
      </c>
      <c r="Z109" s="327">
        <v>310850</v>
      </c>
      <c r="AA109" s="379" t="s">
        <v>907</v>
      </c>
      <c r="AB109" s="327">
        <v>360338</v>
      </c>
      <c r="AC109" s="379" t="s">
        <v>959</v>
      </c>
      <c r="AL109" s="327">
        <f t="shared" si="28"/>
        <v>721188</v>
      </c>
      <c r="AO109" s="390">
        <f t="shared" si="32"/>
        <v>0</v>
      </c>
      <c r="AP109" s="323">
        <v>13699330699</v>
      </c>
      <c r="AT109" s="398">
        <f t="shared" si="33"/>
        <v>0</v>
      </c>
      <c r="AU109" s="398"/>
      <c r="AV109" s="327"/>
      <c r="AW109" s="327"/>
      <c r="AX109" s="327"/>
      <c r="AY109" s="327"/>
      <c r="AZ109" s="327"/>
      <c r="BA109" s="327"/>
      <c r="BB109" s="327"/>
      <c r="BC109" s="327">
        <f t="shared" si="34"/>
        <v>721188</v>
      </c>
      <c r="BD109" s="479">
        <f>1%+0.25%</f>
        <v>0.0125</v>
      </c>
      <c r="BE109" s="327"/>
      <c r="BF109" s="327"/>
      <c r="BG109" s="327"/>
      <c r="BH109" s="327"/>
      <c r="BI109" s="327"/>
      <c r="BJ109" s="327"/>
      <c r="BK109" s="327"/>
      <c r="BL109" s="327"/>
      <c r="BM109" s="327"/>
      <c r="BN109" s="327"/>
      <c r="BO109" s="327"/>
      <c r="BP109" s="327"/>
      <c r="BQ109" s="327"/>
      <c r="BR109" s="327"/>
      <c r="BS109" s="327"/>
      <c r="BT109" s="327"/>
      <c r="BU109" s="327"/>
      <c r="BV109" s="327">
        <v>721188</v>
      </c>
      <c r="BW109" s="327"/>
      <c r="BX109" s="323">
        <f>BV109*BD109</f>
        <v>9014.85</v>
      </c>
      <c r="BZ109" s="323" t="s">
        <v>496</v>
      </c>
      <c r="CA109" s="323" t="s">
        <v>506</v>
      </c>
    </row>
    <row r="110" s="323" customFormat="1" customHeight="1" spans="1:79">
      <c r="A110" s="172">
        <v>103</v>
      </c>
      <c r="C110" s="323" t="s">
        <v>656</v>
      </c>
      <c r="D110" s="323">
        <v>20230008715</v>
      </c>
      <c r="E110" s="833" t="s">
        <v>960</v>
      </c>
      <c r="F110" s="338" t="s">
        <v>891</v>
      </c>
      <c r="G110" s="323" t="s">
        <v>961</v>
      </c>
      <c r="I110" s="323" t="s">
        <v>492</v>
      </c>
      <c r="J110" s="323">
        <v>18</v>
      </c>
      <c r="K110" s="323">
        <v>42.69</v>
      </c>
      <c r="L110" s="323">
        <v>42.69</v>
      </c>
      <c r="M110" s="323">
        <v>16677.4</v>
      </c>
      <c r="N110" s="392">
        <v>711958</v>
      </c>
      <c r="O110" s="327">
        <v>16377.4</v>
      </c>
      <c r="T110" s="327"/>
      <c r="U110" s="380"/>
      <c r="V110" s="380"/>
      <c r="W110" s="380" t="s">
        <v>894</v>
      </c>
      <c r="X110" s="327">
        <v>50000</v>
      </c>
      <c r="Y110" s="380" t="s">
        <v>567</v>
      </c>
      <c r="Z110" s="327">
        <v>106625</v>
      </c>
      <c r="AA110" s="365" t="s">
        <v>656</v>
      </c>
      <c r="AB110" s="327">
        <v>30000</v>
      </c>
      <c r="AC110" s="365" t="s">
        <v>656</v>
      </c>
      <c r="AD110" s="327">
        <v>170000</v>
      </c>
      <c r="AE110" s="380" t="s">
        <v>629</v>
      </c>
      <c r="AF110" s="323">
        <v>5000</v>
      </c>
      <c r="AH110" s="327">
        <v>350000</v>
      </c>
      <c r="AI110" s="380" t="s">
        <v>962</v>
      </c>
      <c r="AL110" s="327">
        <f t="shared" si="28"/>
        <v>711625</v>
      </c>
      <c r="AO110" s="390">
        <f t="shared" ref="AO110:AO150" si="35">N110-AL110</f>
        <v>333</v>
      </c>
      <c r="AP110" s="323">
        <v>18997603797</v>
      </c>
      <c r="AT110" s="398">
        <f t="shared" si="33"/>
        <v>0</v>
      </c>
      <c r="AU110" s="398"/>
      <c r="AV110" s="327"/>
      <c r="AW110" s="327"/>
      <c r="AX110" s="327"/>
      <c r="AY110" s="327"/>
      <c r="AZ110" s="327"/>
      <c r="BA110" s="327"/>
      <c r="BB110" s="327"/>
      <c r="BC110" s="327">
        <f t="shared" si="34"/>
        <v>711625</v>
      </c>
      <c r="BD110" s="479">
        <f>1%+0.25%</f>
        <v>0.0125</v>
      </c>
      <c r="BE110" s="327"/>
      <c r="BF110" s="327"/>
      <c r="BG110" s="327"/>
      <c r="BH110" s="327"/>
      <c r="BI110" s="327">
        <v>361625</v>
      </c>
      <c r="BJ110" s="327"/>
      <c r="BK110" s="327"/>
      <c r="BL110" s="327">
        <v>350000</v>
      </c>
      <c r="BM110" s="327"/>
      <c r="BN110" s="327"/>
      <c r="BO110" s="327"/>
      <c r="BP110" s="327"/>
      <c r="BQ110" s="327"/>
      <c r="BR110" s="327"/>
      <c r="BS110" s="327"/>
      <c r="BT110" s="327"/>
      <c r="BU110" s="327"/>
      <c r="BV110" s="327"/>
      <c r="BW110" s="327"/>
      <c r="BX110" s="172"/>
      <c r="BZ110" s="323" t="s">
        <v>496</v>
      </c>
      <c r="CA110" s="323" t="s">
        <v>506</v>
      </c>
    </row>
    <row r="111" s="323" customFormat="1" customHeight="1" spans="1:79">
      <c r="A111" s="172">
        <v>104</v>
      </c>
      <c r="C111" s="323" t="s">
        <v>963</v>
      </c>
      <c r="D111" s="323">
        <v>20230006187</v>
      </c>
      <c r="E111" s="833" t="s">
        <v>964</v>
      </c>
      <c r="F111" s="338" t="s">
        <v>965</v>
      </c>
      <c r="G111" s="517" t="s">
        <v>966</v>
      </c>
      <c r="I111" s="323" t="s">
        <v>492</v>
      </c>
      <c r="J111" s="323">
        <v>19</v>
      </c>
      <c r="K111" s="323">
        <v>42.69</v>
      </c>
      <c r="L111" s="323">
        <v>42.69</v>
      </c>
      <c r="M111" s="323">
        <v>16563.51</v>
      </c>
      <c r="N111" s="392">
        <v>706767</v>
      </c>
      <c r="O111" s="327">
        <v>16563.51</v>
      </c>
      <c r="T111" s="327"/>
      <c r="U111" s="380"/>
      <c r="V111" s="380"/>
      <c r="W111" s="379" t="s">
        <v>967</v>
      </c>
      <c r="X111" s="327">
        <v>50000</v>
      </c>
      <c r="Y111" s="379" t="s">
        <v>567</v>
      </c>
      <c r="Z111" s="327">
        <v>306767</v>
      </c>
      <c r="AA111" s="380" t="s">
        <v>963</v>
      </c>
      <c r="AB111" s="327">
        <v>350000</v>
      </c>
      <c r="AC111" s="380" t="s">
        <v>968</v>
      </c>
      <c r="AL111" s="327">
        <f t="shared" si="28"/>
        <v>706767</v>
      </c>
      <c r="AO111" s="390">
        <f t="shared" si="35"/>
        <v>0</v>
      </c>
      <c r="AP111" s="323">
        <v>17767666623</v>
      </c>
      <c r="AT111" s="398">
        <f t="shared" si="33"/>
        <v>200</v>
      </c>
      <c r="AU111" s="398"/>
      <c r="AV111" s="327"/>
      <c r="AW111" s="327">
        <v>200</v>
      </c>
      <c r="AX111" s="327"/>
      <c r="AY111" s="327"/>
      <c r="AZ111" s="327"/>
      <c r="BA111" s="327"/>
      <c r="BB111" s="327"/>
      <c r="BC111" s="327">
        <f t="shared" si="34"/>
        <v>706767</v>
      </c>
      <c r="BD111" s="479">
        <f>1%+0.25%</f>
        <v>0.0125</v>
      </c>
      <c r="BE111" s="327">
        <v>356767</v>
      </c>
      <c r="BF111" s="327"/>
      <c r="BG111" s="327">
        <v>350000</v>
      </c>
      <c r="BH111" s="327"/>
      <c r="BI111" s="327"/>
      <c r="BJ111" s="327"/>
      <c r="BK111" s="327"/>
      <c r="BL111" s="327"/>
      <c r="BM111" s="327"/>
      <c r="BN111" s="327"/>
      <c r="BO111" s="327"/>
      <c r="BP111" s="327"/>
      <c r="BQ111" s="327"/>
      <c r="BR111" s="327"/>
      <c r="BS111" s="327"/>
      <c r="BT111" s="327"/>
      <c r="BU111" s="327"/>
      <c r="BV111" s="327"/>
      <c r="BW111" s="327"/>
      <c r="BX111" s="172"/>
      <c r="BZ111" s="323" t="s">
        <v>496</v>
      </c>
      <c r="CA111" s="323" t="s">
        <v>506</v>
      </c>
    </row>
    <row r="112" s="323" customFormat="1" ht="57" customHeight="1" spans="1:79">
      <c r="A112" s="172">
        <v>105</v>
      </c>
      <c r="C112" s="323" t="s">
        <v>646</v>
      </c>
      <c r="D112" s="323">
        <v>20230008181</v>
      </c>
      <c r="E112" s="833" t="s">
        <v>969</v>
      </c>
      <c r="F112" s="338" t="s">
        <v>970</v>
      </c>
      <c r="G112" s="517" t="s">
        <v>971</v>
      </c>
      <c r="I112" s="323" t="s">
        <v>492</v>
      </c>
      <c r="J112" s="323">
        <v>20</v>
      </c>
      <c r="K112" s="323">
        <v>42.69</v>
      </c>
      <c r="L112" s="323">
        <v>42.69</v>
      </c>
      <c r="M112" s="323">
        <v>17780.15</v>
      </c>
      <c r="N112" s="392">
        <v>759035</v>
      </c>
      <c r="O112" s="327">
        <v>17680.15</v>
      </c>
      <c r="T112" s="327"/>
      <c r="U112" s="380"/>
      <c r="V112" s="379" t="s">
        <v>972</v>
      </c>
      <c r="W112" s="379" t="s">
        <v>973</v>
      </c>
      <c r="X112" s="327">
        <f>10000+40000</f>
        <v>50000</v>
      </c>
      <c r="Y112" s="379" t="s">
        <v>974</v>
      </c>
      <c r="Z112" s="327">
        <f>150000+129679</f>
        <v>279679</v>
      </c>
      <c r="AA112" s="380" t="s">
        <v>975</v>
      </c>
      <c r="AB112" s="327">
        <v>50000</v>
      </c>
      <c r="AC112" s="380" t="s">
        <v>968</v>
      </c>
      <c r="AD112" s="323">
        <v>379000</v>
      </c>
      <c r="AE112" s="323" t="s">
        <v>925</v>
      </c>
      <c r="AL112" s="327">
        <f t="shared" si="28"/>
        <v>758679</v>
      </c>
      <c r="AO112" s="390">
        <f t="shared" si="35"/>
        <v>356</v>
      </c>
      <c r="AP112" s="323">
        <v>13899010102</v>
      </c>
      <c r="AT112" s="398">
        <f t="shared" si="33"/>
        <v>700</v>
      </c>
      <c r="AU112" s="398"/>
      <c r="AV112" s="327"/>
      <c r="AW112" s="327">
        <v>200</v>
      </c>
      <c r="AX112" s="327"/>
      <c r="AY112" s="327">
        <v>200</v>
      </c>
      <c r="AZ112" s="327"/>
      <c r="BA112" s="327">
        <v>300</v>
      </c>
      <c r="BB112" s="327"/>
      <c r="BC112" s="327">
        <f t="shared" si="34"/>
        <v>758679</v>
      </c>
      <c r="BD112" s="479">
        <f t="shared" ref="BD111:BD116" si="36">1%+0.18%+0.25%</f>
        <v>0.0143</v>
      </c>
      <c r="BE112" s="327"/>
      <c r="BF112" s="327"/>
      <c r="BG112" s="327">
        <v>379679</v>
      </c>
      <c r="BH112" s="327">
        <v>379000</v>
      </c>
      <c r="BI112" s="327"/>
      <c r="BJ112" s="327"/>
      <c r="BK112" s="327"/>
      <c r="BL112" s="327"/>
      <c r="BM112" s="327"/>
      <c r="BN112" s="327"/>
      <c r="BO112" s="327"/>
      <c r="BP112" s="327"/>
      <c r="BQ112" s="327"/>
      <c r="BR112" s="327"/>
      <c r="BS112" s="327"/>
      <c r="BT112" s="327"/>
      <c r="BU112" s="327"/>
      <c r="BV112" s="327"/>
      <c r="BW112" s="327"/>
      <c r="BX112" s="172"/>
      <c r="BZ112" s="323" t="s">
        <v>496</v>
      </c>
      <c r="CA112" s="323" t="s">
        <v>506</v>
      </c>
    </row>
    <row r="113" s="323" customFormat="1" ht="42" customHeight="1" spans="1:79">
      <c r="A113" s="172">
        <v>106</v>
      </c>
      <c r="C113" s="323" t="s">
        <v>866</v>
      </c>
      <c r="D113" s="323">
        <v>20230006324</v>
      </c>
      <c r="E113" s="833" t="s">
        <v>976</v>
      </c>
      <c r="F113" s="338" t="s">
        <v>868</v>
      </c>
      <c r="G113" s="517" t="s">
        <v>869</v>
      </c>
      <c r="I113" s="323" t="s">
        <v>492</v>
      </c>
      <c r="J113" s="323">
        <v>21</v>
      </c>
      <c r="K113" s="323">
        <v>42.69</v>
      </c>
      <c r="L113" s="323">
        <v>42.69</v>
      </c>
      <c r="M113" s="323">
        <v>20163.06</v>
      </c>
      <c r="N113" s="392">
        <v>860761</v>
      </c>
      <c r="O113" s="327">
        <v>20000</v>
      </c>
      <c r="T113" s="327"/>
      <c r="U113" s="380"/>
      <c r="V113" s="379"/>
      <c r="W113" s="379" t="s">
        <v>977</v>
      </c>
      <c r="X113" s="327">
        <v>100000</v>
      </c>
      <c r="Y113" s="365" t="s">
        <v>873</v>
      </c>
      <c r="Z113" s="327">
        <v>330358</v>
      </c>
      <c r="AA113" s="380" t="s">
        <v>866</v>
      </c>
      <c r="AB113" s="327">
        <v>430000</v>
      </c>
      <c r="AC113" s="380" t="s">
        <v>729</v>
      </c>
      <c r="AD113" s="323">
        <v>403</v>
      </c>
      <c r="AE113" s="380">
        <v>45562</v>
      </c>
      <c r="AL113" s="327">
        <f t="shared" si="28"/>
        <v>860761</v>
      </c>
      <c r="AO113" s="390">
        <f t="shared" si="35"/>
        <v>0</v>
      </c>
      <c r="AP113" s="323">
        <v>13899058276</v>
      </c>
      <c r="AT113" s="398">
        <f t="shared" si="33"/>
        <v>200</v>
      </c>
      <c r="AU113" s="398"/>
      <c r="AV113" s="327"/>
      <c r="AW113" s="327">
        <v>200</v>
      </c>
      <c r="AX113" s="327"/>
      <c r="AY113" s="327"/>
      <c r="AZ113" s="327"/>
      <c r="BA113" s="327"/>
      <c r="BB113" s="327"/>
      <c r="BC113" s="327">
        <f t="shared" si="34"/>
        <v>860358</v>
      </c>
      <c r="BD113" s="479">
        <f t="shared" si="36"/>
        <v>0.0143</v>
      </c>
      <c r="BE113" s="327">
        <v>430358</v>
      </c>
      <c r="BF113" s="327"/>
      <c r="BG113" s="327"/>
      <c r="BH113" s="327"/>
      <c r="BI113" s="327"/>
      <c r="BJ113" s="327"/>
      <c r="BK113" s="327"/>
      <c r="BL113" s="327"/>
      <c r="BM113" s="327"/>
      <c r="BN113" s="327"/>
      <c r="BO113" s="327"/>
      <c r="BP113" s="327"/>
      <c r="BQ113" s="327"/>
      <c r="BR113" s="327"/>
      <c r="BS113" s="327">
        <v>430000</v>
      </c>
      <c r="BT113" s="327"/>
      <c r="BU113" s="327"/>
      <c r="BV113" s="327"/>
      <c r="BW113" s="327"/>
      <c r="BX113" s="323"/>
      <c r="BZ113" s="323" t="s">
        <v>496</v>
      </c>
      <c r="CA113" s="323" t="s">
        <v>506</v>
      </c>
    </row>
    <row r="114" s="323" customFormat="1" ht="62" customHeight="1" spans="1:79">
      <c r="A114" s="172">
        <v>107</v>
      </c>
      <c r="C114" s="323" t="s">
        <v>866</v>
      </c>
      <c r="D114" s="323">
        <v>20230006324</v>
      </c>
      <c r="E114" s="833" t="s">
        <v>978</v>
      </c>
      <c r="F114" s="338" t="s">
        <v>868</v>
      </c>
      <c r="G114" s="337" t="s">
        <v>869</v>
      </c>
      <c r="I114" s="323" t="s">
        <v>492</v>
      </c>
      <c r="J114" s="323">
        <v>22</v>
      </c>
      <c r="K114" s="323">
        <v>43.2</v>
      </c>
      <c r="L114" s="323">
        <v>43.2</v>
      </c>
      <c r="M114" s="323">
        <v>26663.06</v>
      </c>
      <c r="N114" s="392">
        <v>1151844</v>
      </c>
      <c r="O114" s="327">
        <v>26000</v>
      </c>
      <c r="T114" s="327"/>
      <c r="U114" s="379"/>
      <c r="V114" s="379" t="s">
        <v>979</v>
      </c>
      <c r="W114" s="379" t="s">
        <v>980</v>
      </c>
      <c r="X114" s="327">
        <f>100000+5000+5000-5000-5000</f>
        <v>100000</v>
      </c>
      <c r="Y114" s="379" t="s">
        <v>981</v>
      </c>
      <c r="Z114" s="327">
        <v>150000</v>
      </c>
      <c r="AA114" s="365" t="s">
        <v>873</v>
      </c>
      <c r="AB114" s="327">
        <v>326311</v>
      </c>
      <c r="AC114" s="379" t="s">
        <v>866</v>
      </c>
      <c r="AD114" s="327">
        <v>575000</v>
      </c>
      <c r="AE114" s="379" t="s">
        <v>729</v>
      </c>
      <c r="AF114" s="323">
        <v>533</v>
      </c>
      <c r="AG114" s="380">
        <v>45562</v>
      </c>
      <c r="AL114" s="327">
        <f t="shared" si="28"/>
        <v>1151844</v>
      </c>
      <c r="AO114" s="390">
        <f t="shared" si="35"/>
        <v>0</v>
      </c>
      <c r="AP114" s="323">
        <v>13899058276</v>
      </c>
      <c r="AT114" s="398">
        <f t="shared" si="33"/>
        <v>400</v>
      </c>
      <c r="AU114" s="398"/>
      <c r="AV114" s="327">
        <f>200+200</f>
        <v>400</v>
      </c>
      <c r="AW114" s="327"/>
      <c r="AX114" s="327"/>
      <c r="AY114" s="327"/>
      <c r="AZ114" s="327"/>
      <c r="BA114" s="327"/>
      <c r="BB114" s="327"/>
      <c r="BC114" s="327">
        <f t="shared" si="34"/>
        <v>1151311</v>
      </c>
      <c r="BD114" s="479">
        <f t="shared" si="36"/>
        <v>0.0143</v>
      </c>
      <c r="BE114" s="327">
        <v>576311</v>
      </c>
      <c r="BF114" s="327"/>
      <c r="BG114" s="327"/>
      <c r="BH114" s="327"/>
      <c r="BI114" s="327"/>
      <c r="BJ114" s="327"/>
      <c r="BK114" s="327"/>
      <c r="BL114" s="327"/>
      <c r="BM114" s="327"/>
      <c r="BN114" s="327"/>
      <c r="BO114" s="327"/>
      <c r="BP114" s="327"/>
      <c r="BQ114" s="327"/>
      <c r="BR114" s="327"/>
      <c r="BS114" s="327">
        <v>575000</v>
      </c>
      <c r="BT114" s="327"/>
      <c r="BU114" s="327"/>
      <c r="BV114" s="327"/>
      <c r="BW114" s="327"/>
      <c r="BX114" s="323"/>
      <c r="BZ114" s="323" t="s">
        <v>496</v>
      </c>
      <c r="CA114" s="323" t="s">
        <v>506</v>
      </c>
    </row>
    <row r="115" s="323" customFormat="1" ht="54" customHeight="1" spans="1:79">
      <c r="A115" s="172">
        <v>108</v>
      </c>
      <c r="C115" s="323" t="s">
        <v>982</v>
      </c>
      <c r="D115" s="323">
        <v>20230006477</v>
      </c>
      <c r="F115" s="338" t="s">
        <v>768</v>
      </c>
      <c r="G115" s="517" t="s">
        <v>983</v>
      </c>
      <c r="I115" s="323" t="s">
        <v>585</v>
      </c>
      <c r="J115" s="323">
        <v>1</v>
      </c>
      <c r="K115" s="323">
        <v>197.25</v>
      </c>
      <c r="L115" s="323">
        <v>197.25</v>
      </c>
      <c r="M115" s="323">
        <v>10900</v>
      </c>
      <c r="N115" s="392">
        <v>2150025</v>
      </c>
      <c r="O115" s="327">
        <v>10900</v>
      </c>
      <c r="T115" s="327"/>
      <c r="U115" s="379"/>
      <c r="V115" s="379" t="s">
        <v>770</v>
      </c>
      <c r="W115" s="379" t="s">
        <v>771</v>
      </c>
      <c r="X115" s="327">
        <v>100000</v>
      </c>
      <c r="Y115" s="379" t="s">
        <v>772</v>
      </c>
      <c r="Z115" s="327">
        <v>2005226</v>
      </c>
      <c r="AA115" s="379" t="s">
        <v>982</v>
      </c>
      <c r="AC115" s="365"/>
      <c r="AL115" s="327">
        <f t="shared" si="28"/>
        <v>2105226</v>
      </c>
      <c r="AO115" s="390">
        <f t="shared" si="35"/>
        <v>44799</v>
      </c>
      <c r="AT115" s="398">
        <f t="shared" si="33"/>
        <v>400</v>
      </c>
      <c r="AU115" s="398"/>
      <c r="AV115" s="327"/>
      <c r="AW115" s="327">
        <v>200</v>
      </c>
      <c r="AX115" s="327">
        <v>200</v>
      </c>
      <c r="AY115" s="327"/>
      <c r="AZ115" s="327"/>
      <c r="BA115" s="327"/>
      <c r="BB115" s="327"/>
      <c r="BC115" s="327">
        <f t="shared" si="34"/>
        <v>2105226</v>
      </c>
      <c r="BD115" s="479">
        <f t="shared" si="36"/>
        <v>0.0143</v>
      </c>
      <c r="BE115" s="327">
        <v>2105226</v>
      </c>
      <c r="BF115" s="327"/>
      <c r="BG115" s="327"/>
      <c r="BH115" s="327"/>
      <c r="BI115" s="327"/>
      <c r="BJ115" s="327"/>
      <c r="BK115" s="327"/>
      <c r="BL115" s="327"/>
      <c r="BM115" s="327"/>
      <c r="BN115" s="327"/>
      <c r="BO115" s="327"/>
      <c r="BP115" s="327"/>
      <c r="BQ115" s="327"/>
      <c r="BR115" s="327"/>
      <c r="BS115" s="327"/>
      <c r="BT115" s="327"/>
      <c r="BU115" s="327"/>
      <c r="BV115" s="327"/>
      <c r="BW115" s="327"/>
      <c r="BX115" s="172"/>
      <c r="BZ115" s="323" t="s">
        <v>496</v>
      </c>
      <c r="CA115" s="323" t="s">
        <v>506</v>
      </c>
    </row>
    <row r="116" s="323" customFormat="1" ht="41" customHeight="1" spans="1:78">
      <c r="A116" s="172">
        <v>109</v>
      </c>
      <c r="C116" s="380">
        <v>45501</v>
      </c>
      <c r="D116" s="323">
        <v>20240004284</v>
      </c>
      <c r="E116" s="833" t="s">
        <v>984</v>
      </c>
      <c r="F116" s="338" t="s">
        <v>985</v>
      </c>
      <c r="G116" s="323" t="s">
        <v>986</v>
      </c>
      <c r="I116" s="323" t="s">
        <v>585</v>
      </c>
      <c r="J116" s="323">
        <v>2</v>
      </c>
      <c r="K116" s="323">
        <v>291.86</v>
      </c>
      <c r="L116" s="323">
        <v>291.86</v>
      </c>
      <c r="M116" s="323">
        <v>10900</v>
      </c>
      <c r="N116" s="392">
        <v>3115329</v>
      </c>
      <c r="O116" s="327">
        <v>10900</v>
      </c>
      <c r="T116" s="327"/>
      <c r="U116" s="380"/>
      <c r="V116" s="379" t="s">
        <v>987</v>
      </c>
      <c r="W116" s="380" t="s">
        <v>988</v>
      </c>
      <c r="X116" s="327">
        <f>50000+50000+50000+40000</f>
        <v>190000</v>
      </c>
      <c r="Y116" s="379" t="s">
        <v>989</v>
      </c>
      <c r="Z116" s="327">
        <v>10000</v>
      </c>
      <c r="AA116" s="365" t="s">
        <v>567</v>
      </c>
      <c r="AB116" s="327">
        <v>300000</v>
      </c>
      <c r="AC116" s="380" t="s">
        <v>685</v>
      </c>
      <c r="AD116" s="327">
        <v>100000</v>
      </c>
      <c r="AE116" s="380" t="s">
        <v>645</v>
      </c>
      <c r="AF116" s="327">
        <v>150000</v>
      </c>
      <c r="AG116" s="380" t="s">
        <v>990</v>
      </c>
      <c r="AH116" s="327">
        <v>1000000</v>
      </c>
      <c r="AI116" s="380" t="s">
        <v>991</v>
      </c>
      <c r="AJ116" s="327">
        <f>100000+105329+60000+200000+900000</f>
        <v>1365329</v>
      </c>
      <c r="AK116" s="379" t="s">
        <v>992</v>
      </c>
      <c r="AL116" s="327">
        <f t="shared" si="28"/>
        <v>3115329</v>
      </c>
      <c r="AO116" s="390">
        <f t="shared" si="35"/>
        <v>0</v>
      </c>
      <c r="AP116" s="365">
        <v>18099778096</v>
      </c>
      <c r="AT116" s="398">
        <f t="shared" si="33"/>
        <v>0</v>
      </c>
      <c r="AU116" s="398"/>
      <c r="AV116" s="327"/>
      <c r="AW116" s="327"/>
      <c r="AX116" s="327"/>
      <c r="AY116" s="327"/>
      <c r="AZ116" s="327"/>
      <c r="BA116" s="327"/>
      <c r="BB116" s="327"/>
      <c r="BC116" s="327">
        <f t="shared" si="34"/>
        <v>3115329</v>
      </c>
      <c r="BD116" s="479">
        <f>1%+0.25%</f>
        <v>0.0125</v>
      </c>
      <c r="BE116" s="327"/>
      <c r="BF116" s="327"/>
      <c r="BG116" s="327"/>
      <c r="BH116" s="327"/>
      <c r="BI116" s="327"/>
      <c r="BJ116" s="327"/>
      <c r="BK116" s="327"/>
      <c r="BL116" s="327"/>
      <c r="BM116" s="327"/>
      <c r="BN116" s="327"/>
      <c r="BO116" s="327"/>
      <c r="BP116" s="327"/>
      <c r="BQ116" s="327">
        <v>2215329</v>
      </c>
      <c r="BR116" s="327"/>
      <c r="BS116" s="327">
        <v>900000</v>
      </c>
      <c r="BT116" s="327"/>
      <c r="BU116" s="327"/>
      <c r="BV116" s="327"/>
      <c r="BW116" s="327"/>
      <c r="BX116" s="323"/>
      <c r="BZ116" s="323" t="s">
        <v>496</v>
      </c>
    </row>
    <row r="117" s="323" customFormat="1" customHeight="1" spans="1:79">
      <c r="A117" s="172">
        <v>110</v>
      </c>
      <c r="C117" s="323" t="s">
        <v>993</v>
      </c>
      <c r="D117" s="323">
        <v>20240001025</v>
      </c>
      <c r="F117" s="338" t="s">
        <v>994</v>
      </c>
      <c r="G117" s="337" t="s">
        <v>995</v>
      </c>
      <c r="I117" s="323" t="s">
        <v>585</v>
      </c>
      <c r="J117" s="323">
        <v>3</v>
      </c>
      <c r="K117" s="323">
        <v>276.2</v>
      </c>
      <c r="L117" s="323">
        <v>276.2</v>
      </c>
      <c r="M117" s="323">
        <v>9100</v>
      </c>
      <c r="N117" s="392">
        <v>2513420</v>
      </c>
      <c r="O117" s="327">
        <v>9100</v>
      </c>
      <c r="T117" s="327"/>
      <c r="U117" s="380"/>
      <c r="V117" s="380"/>
      <c r="W117" s="379"/>
      <c r="X117" s="327">
        <v>400000</v>
      </c>
      <c r="Y117" s="380" t="s">
        <v>993</v>
      </c>
      <c r="Z117" s="327">
        <f>100000+1000000</f>
        <v>1100000</v>
      </c>
      <c r="AA117" s="365" t="s">
        <v>993</v>
      </c>
      <c r="AB117" s="327">
        <v>200000</v>
      </c>
      <c r="AC117" s="380">
        <v>45537</v>
      </c>
      <c r="AD117" s="323">
        <v>200000</v>
      </c>
      <c r="AE117" s="380">
        <v>45551</v>
      </c>
      <c r="AF117" s="323">
        <v>580000</v>
      </c>
      <c r="AG117" s="380">
        <v>45565</v>
      </c>
      <c r="AH117" s="327">
        <v>33420</v>
      </c>
      <c r="AI117" s="380" t="s">
        <v>88</v>
      </c>
      <c r="AL117" s="327">
        <f t="shared" si="28"/>
        <v>2513420</v>
      </c>
      <c r="AO117" s="390">
        <f t="shared" si="35"/>
        <v>0</v>
      </c>
      <c r="AP117" s="323">
        <v>15899031737</v>
      </c>
      <c r="AT117" s="398">
        <f t="shared" si="33"/>
        <v>0</v>
      </c>
      <c r="AU117" s="337"/>
      <c r="BC117" s="327">
        <f t="shared" si="34"/>
        <v>2513420</v>
      </c>
      <c r="BD117" s="479">
        <f t="shared" ref="BD117:BD121" si="37">1%+0.18%+0.25%</f>
        <v>0.0143</v>
      </c>
      <c r="BT117" s="323">
        <v>2513420</v>
      </c>
      <c r="BZ117" s="323" t="s">
        <v>496</v>
      </c>
      <c r="CA117" s="323" t="s">
        <v>506</v>
      </c>
    </row>
    <row r="118" s="172" customFormat="1" customHeight="1" spans="1:56">
      <c r="A118" s="172">
        <v>111</v>
      </c>
      <c r="F118" s="415"/>
      <c r="I118" s="172" t="s">
        <v>585</v>
      </c>
      <c r="J118" s="172">
        <v>4</v>
      </c>
      <c r="K118" s="172">
        <v>292.95</v>
      </c>
      <c r="N118" s="455"/>
      <c r="O118" s="358">
        <v>9590.4</v>
      </c>
      <c r="T118" s="358"/>
      <c r="U118" s="423"/>
      <c r="V118" s="423"/>
      <c r="W118" s="423"/>
      <c r="X118" s="358"/>
      <c r="Y118" s="423"/>
      <c r="Z118" s="358"/>
      <c r="AA118" s="423"/>
      <c r="AC118" s="388"/>
      <c r="AL118" s="358">
        <f t="shared" si="28"/>
        <v>0</v>
      </c>
      <c r="AO118" s="513">
        <f t="shared" si="35"/>
        <v>0</v>
      </c>
      <c r="AT118" s="397">
        <f t="shared" si="33"/>
        <v>0</v>
      </c>
      <c r="AU118" s="336"/>
      <c r="BC118" s="358">
        <f t="shared" si="34"/>
        <v>0</v>
      </c>
      <c r="BD118" s="537"/>
    </row>
    <row r="119" s="323" customFormat="1" ht="67" customHeight="1" spans="1:79">
      <c r="A119" s="172">
        <v>112</v>
      </c>
      <c r="C119" s="323" t="s">
        <v>690</v>
      </c>
      <c r="D119" s="323">
        <v>20230008529</v>
      </c>
      <c r="E119" s="833" t="s">
        <v>996</v>
      </c>
      <c r="F119" s="338" t="s">
        <v>997</v>
      </c>
      <c r="G119" s="337" t="s">
        <v>998</v>
      </c>
      <c r="I119" s="323" t="s">
        <v>808</v>
      </c>
      <c r="J119" s="323">
        <v>1</v>
      </c>
      <c r="K119" s="323">
        <v>489.11</v>
      </c>
      <c r="L119" s="323">
        <v>489.11</v>
      </c>
      <c r="M119" s="323">
        <v>7600</v>
      </c>
      <c r="N119" s="392">
        <v>3717236</v>
      </c>
      <c r="O119" s="327">
        <v>7447.8</v>
      </c>
      <c r="T119" s="327"/>
      <c r="U119" s="380"/>
      <c r="V119" s="340"/>
      <c r="W119" s="379" t="s">
        <v>999</v>
      </c>
      <c r="X119" s="327">
        <v>100000</v>
      </c>
      <c r="Y119" s="380" t="s">
        <v>646</v>
      </c>
      <c r="Z119" s="327">
        <f>109944+210000</f>
        <v>319944</v>
      </c>
      <c r="AA119" s="380" t="s">
        <v>656</v>
      </c>
      <c r="AB119" s="323">
        <v>1290000</v>
      </c>
      <c r="AC119" s="323" t="s">
        <v>798</v>
      </c>
      <c r="AD119" s="323">
        <v>480000</v>
      </c>
      <c r="AE119" s="323" t="s">
        <v>1000</v>
      </c>
      <c r="AF119" s="327">
        <v>200000</v>
      </c>
      <c r="AG119" s="380" t="s">
        <v>681</v>
      </c>
      <c r="AH119" s="327">
        <f>77292+1250000</f>
        <v>1327292</v>
      </c>
      <c r="AI119" s="380">
        <v>45561</v>
      </c>
      <c r="AL119" s="327">
        <f t="shared" si="28"/>
        <v>3717236</v>
      </c>
      <c r="AO119" s="390">
        <f t="shared" si="35"/>
        <v>0</v>
      </c>
      <c r="AP119" s="323">
        <v>13999606251</v>
      </c>
      <c r="AT119" s="398">
        <f t="shared" si="33"/>
        <v>700</v>
      </c>
      <c r="AU119" s="398"/>
      <c r="AV119" s="327"/>
      <c r="AW119" s="327"/>
      <c r="AX119" s="327">
        <v>200</v>
      </c>
      <c r="AY119" s="327">
        <v>200</v>
      </c>
      <c r="AZ119" s="327"/>
      <c r="BA119" s="327">
        <v>300</v>
      </c>
      <c r="BB119" s="327"/>
      <c r="BC119" s="327">
        <f t="shared" si="34"/>
        <v>3639944</v>
      </c>
      <c r="BD119" s="478">
        <f t="shared" si="37"/>
        <v>0.0143</v>
      </c>
      <c r="BE119" s="327"/>
      <c r="BF119" s="327"/>
      <c r="BG119" s="327"/>
      <c r="BH119" s="327">
        <v>2189944</v>
      </c>
      <c r="BI119" s="327"/>
      <c r="BJ119" s="327"/>
      <c r="BK119" s="327"/>
      <c r="BL119" s="327"/>
      <c r="BM119" s="327"/>
      <c r="BN119" s="327"/>
      <c r="BO119" s="327"/>
      <c r="BP119" s="327"/>
      <c r="BQ119" s="327"/>
      <c r="BR119" s="327"/>
      <c r="BS119" s="327">
        <v>1450000</v>
      </c>
      <c r="BT119" s="327"/>
      <c r="BU119" s="327"/>
      <c r="BV119" s="327"/>
      <c r="BW119" s="327"/>
      <c r="BX119" s="323"/>
      <c r="BZ119" s="323" t="s">
        <v>496</v>
      </c>
      <c r="CA119" s="323" t="s">
        <v>506</v>
      </c>
    </row>
    <row r="120" s="323" customFormat="1" ht="49" customHeight="1" spans="1:79">
      <c r="A120" s="172">
        <v>113</v>
      </c>
      <c r="C120" s="323" t="s">
        <v>1001</v>
      </c>
      <c r="D120" s="323">
        <v>20240002594</v>
      </c>
      <c r="F120" s="338" t="s">
        <v>1002</v>
      </c>
      <c r="G120" s="337" t="s">
        <v>1003</v>
      </c>
      <c r="I120" s="323" t="s">
        <v>808</v>
      </c>
      <c r="J120" s="323">
        <v>2</v>
      </c>
      <c r="K120" s="323">
        <v>569.14</v>
      </c>
      <c r="L120" s="323">
        <v>569.14</v>
      </c>
      <c r="M120" s="323">
        <f>N120/L120</f>
        <v>7000</v>
      </c>
      <c r="N120" s="392">
        <f>-24570+4008550</f>
        <v>3983980</v>
      </c>
      <c r="O120" s="327">
        <v>7000</v>
      </c>
      <c r="T120" s="327"/>
      <c r="U120" s="379"/>
      <c r="V120" s="379"/>
      <c r="W120" s="379" t="s">
        <v>1004</v>
      </c>
      <c r="X120" s="327">
        <v>50000</v>
      </c>
      <c r="Y120" s="379" t="s">
        <v>1005</v>
      </c>
      <c r="Z120" s="327">
        <v>958550</v>
      </c>
      <c r="AA120" s="365" t="s">
        <v>1001</v>
      </c>
      <c r="AB120" s="323">
        <v>1000000</v>
      </c>
      <c r="AC120" s="323" t="s">
        <v>1006</v>
      </c>
      <c r="AD120" s="327">
        <v>2000000</v>
      </c>
      <c r="AE120" s="379" t="s">
        <v>1007</v>
      </c>
      <c r="AF120" s="327"/>
      <c r="AG120" s="379"/>
      <c r="AL120" s="327">
        <f t="shared" si="28"/>
        <v>4008550</v>
      </c>
      <c r="AO120" s="390">
        <f t="shared" si="35"/>
        <v>-24570</v>
      </c>
      <c r="AP120" s="323">
        <v>18909966788</v>
      </c>
      <c r="AT120" s="398">
        <f t="shared" si="33"/>
        <v>900</v>
      </c>
      <c r="AU120" s="398"/>
      <c r="AV120" s="327">
        <v>200</v>
      </c>
      <c r="AW120" s="327"/>
      <c r="AX120" s="327"/>
      <c r="AY120" s="327">
        <f>200+200</f>
        <v>400</v>
      </c>
      <c r="AZ120" s="327"/>
      <c r="BA120" s="327">
        <v>300</v>
      </c>
      <c r="BB120" s="327"/>
      <c r="BC120" s="327">
        <f t="shared" si="34"/>
        <v>4008550</v>
      </c>
      <c r="BD120" s="332">
        <f t="shared" si="37"/>
        <v>0.0143</v>
      </c>
      <c r="BE120" s="327"/>
      <c r="BF120" s="327"/>
      <c r="BG120" s="327"/>
      <c r="BH120" s="327"/>
      <c r="BI120" s="327"/>
      <c r="BJ120" s="327"/>
      <c r="BK120" s="327"/>
      <c r="BL120" s="327"/>
      <c r="BM120" s="327"/>
      <c r="BN120" s="327"/>
      <c r="BO120" s="327">
        <v>2008550</v>
      </c>
      <c r="BP120" s="327">
        <v>2000000</v>
      </c>
      <c r="BQ120" s="327"/>
      <c r="BR120" s="327"/>
      <c r="BS120" s="327"/>
      <c r="BT120" s="327"/>
      <c r="BU120" s="327"/>
      <c r="BV120" s="327"/>
      <c r="BW120" s="327"/>
      <c r="BZ120" s="323" t="s">
        <v>496</v>
      </c>
      <c r="CA120" s="323" t="s">
        <v>506</v>
      </c>
    </row>
    <row r="121" s="323" customFormat="1" ht="57" customHeight="1" spans="1:79">
      <c r="A121" s="172">
        <v>114</v>
      </c>
      <c r="C121" s="323" t="s">
        <v>1008</v>
      </c>
      <c r="D121" s="323">
        <v>20230006201</v>
      </c>
      <c r="E121" s="833" t="s">
        <v>1009</v>
      </c>
      <c r="F121" s="338" t="s">
        <v>1010</v>
      </c>
      <c r="G121" s="337" t="s">
        <v>1011</v>
      </c>
      <c r="H121" s="135" t="s">
        <v>1012</v>
      </c>
      <c r="I121" s="323" t="s">
        <v>492</v>
      </c>
      <c r="J121" s="323">
        <v>1</v>
      </c>
      <c r="K121" s="323">
        <v>58.46</v>
      </c>
      <c r="L121" s="323">
        <v>58.46</v>
      </c>
      <c r="M121" s="323">
        <v>26290.01</v>
      </c>
      <c r="N121" s="392">
        <v>1536914</v>
      </c>
      <c r="O121" s="327">
        <v>26190</v>
      </c>
      <c r="P121" s="323"/>
      <c r="Q121" s="323">
        <v>1410012.84</v>
      </c>
      <c r="R121" s="833" t="s">
        <v>1013</v>
      </c>
      <c r="S121" s="380">
        <v>45621</v>
      </c>
      <c r="T121" s="327"/>
      <c r="U121" s="379"/>
      <c r="V121" s="379" t="s">
        <v>1014</v>
      </c>
      <c r="W121" s="379" t="s">
        <v>1015</v>
      </c>
      <c r="X121" s="327">
        <f>5000+10000-10000+10000-10000</f>
        <v>5000</v>
      </c>
      <c r="Y121" s="379" t="s">
        <v>1016</v>
      </c>
      <c r="Z121" s="327">
        <v>100000</v>
      </c>
      <c r="AA121" s="379" t="s">
        <v>1017</v>
      </c>
      <c r="AB121" s="327">
        <v>1436651</v>
      </c>
      <c r="AC121" s="379" t="s">
        <v>1018</v>
      </c>
      <c r="AL121" s="327">
        <f t="shared" si="28"/>
        <v>1541651</v>
      </c>
      <c r="AO121" s="390">
        <f t="shared" si="35"/>
        <v>-4737</v>
      </c>
      <c r="AT121" s="398">
        <f t="shared" si="33"/>
        <v>3200</v>
      </c>
      <c r="AU121" s="398">
        <f>200</f>
        <v>200</v>
      </c>
      <c r="AV121" s="327"/>
      <c r="AW121" s="327">
        <f>200+200+200+200</f>
        <v>800</v>
      </c>
      <c r="AX121" s="327"/>
      <c r="AY121" s="327">
        <f>200+200+200+200+200+200</f>
        <v>1200</v>
      </c>
      <c r="AZ121" s="327">
        <f>200+200</f>
        <v>400</v>
      </c>
      <c r="BA121" s="327">
        <f>300+300</f>
        <v>600</v>
      </c>
      <c r="BB121" s="327"/>
      <c r="BC121" s="327">
        <f t="shared" si="34"/>
        <v>1536651</v>
      </c>
      <c r="BD121" s="479">
        <f t="shared" si="37"/>
        <v>0.0143</v>
      </c>
      <c r="BE121" s="327">
        <v>1536651</v>
      </c>
      <c r="BF121" s="327"/>
      <c r="BG121" s="327"/>
      <c r="BH121" s="327"/>
      <c r="BI121" s="327"/>
      <c r="BJ121" s="327"/>
      <c r="BK121" s="327"/>
      <c r="BL121" s="327"/>
      <c r="BM121" s="327"/>
      <c r="BN121" s="327"/>
      <c r="BO121" s="327"/>
      <c r="BP121" s="327"/>
      <c r="BQ121" s="327"/>
      <c r="BR121" s="327"/>
      <c r="BS121" s="327"/>
      <c r="BT121" s="327"/>
      <c r="BU121" s="327"/>
      <c r="BV121" s="327"/>
      <c r="BW121" s="327"/>
      <c r="BX121" s="172"/>
      <c r="BZ121" s="323" t="s">
        <v>496</v>
      </c>
      <c r="CA121" s="323" t="s">
        <v>506</v>
      </c>
    </row>
    <row r="122" s="323" customFormat="1" ht="73" customHeight="1" spans="1:79">
      <c r="A122" s="172">
        <v>115</v>
      </c>
      <c r="C122" s="323" t="s">
        <v>1019</v>
      </c>
      <c r="D122" s="323">
        <v>20230006847</v>
      </c>
      <c r="E122" s="833" t="s">
        <v>1020</v>
      </c>
      <c r="F122" s="338" t="s">
        <v>1021</v>
      </c>
      <c r="G122" s="339" t="s">
        <v>1022</v>
      </c>
      <c r="H122" s="135"/>
      <c r="I122" s="323" t="s">
        <v>492</v>
      </c>
      <c r="J122" s="323">
        <v>2</v>
      </c>
      <c r="K122" s="323">
        <v>41.69</v>
      </c>
      <c r="L122" s="323">
        <v>41.69</v>
      </c>
      <c r="M122" s="323">
        <v>24675</v>
      </c>
      <c r="N122" s="392">
        <v>1028701</v>
      </c>
      <c r="O122" s="327">
        <v>24475.1</v>
      </c>
      <c r="T122" s="327"/>
      <c r="U122" s="379"/>
      <c r="V122" s="379" t="s">
        <v>1023</v>
      </c>
      <c r="W122" s="379" t="s">
        <v>1024</v>
      </c>
      <c r="X122" s="327">
        <f>5000+5000+5000+85000</f>
        <v>100000</v>
      </c>
      <c r="Y122" s="379">
        <v>44755</v>
      </c>
      <c r="Z122" s="327">
        <f>360000+58454</f>
        <v>418454</v>
      </c>
      <c r="AA122" s="379" t="s">
        <v>1025</v>
      </c>
      <c r="AB122" s="327">
        <v>510000</v>
      </c>
      <c r="AC122" s="379" t="s">
        <v>968</v>
      </c>
      <c r="AL122" s="327">
        <f t="shared" si="28"/>
        <v>1028454</v>
      </c>
      <c r="AO122" s="390">
        <f t="shared" si="35"/>
        <v>247</v>
      </c>
      <c r="AP122" s="323">
        <v>17399100888</v>
      </c>
      <c r="AT122" s="398">
        <f t="shared" si="33"/>
        <v>1600</v>
      </c>
      <c r="AU122" s="398">
        <f>200</f>
        <v>200</v>
      </c>
      <c r="AV122" s="327">
        <f>200+200</f>
        <v>400</v>
      </c>
      <c r="AW122" s="327"/>
      <c r="AX122" s="327"/>
      <c r="AY122" s="327">
        <v>200</v>
      </c>
      <c r="AZ122" s="327">
        <v>200</v>
      </c>
      <c r="BA122" s="327">
        <f>300+300</f>
        <v>600</v>
      </c>
      <c r="BB122" s="327"/>
      <c r="BC122" s="327">
        <f t="shared" si="34"/>
        <v>1028454</v>
      </c>
      <c r="BD122" s="479">
        <f>1%+0.25%</f>
        <v>0.0125</v>
      </c>
      <c r="BE122" s="327"/>
      <c r="BF122" s="327">
        <v>518454</v>
      </c>
      <c r="BG122" s="327">
        <v>510000</v>
      </c>
      <c r="BH122" s="327"/>
      <c r="BI122" s="327"/>
      <c r="BJ122" s="327"/>
      <c r="BK122" s="327"/>
      <c r="BL122" s="327"/>
      <c r="BM122" s="327"/>
      <c r="BN122" s="327"/>
      <c r="BO122" s="327"/>
      <c r="BP122" s="327"/>
      <c r="BQ122" s="327"/>
      <c r="BR122" s="327"/>
      <c r="BS122" s="327"/>
      <c r="BT122" s="327"/>
      <c r="BU122" s="327"/>
      <c r="BV122" s="327"/>
      <c r="BW122" s="327"/>
      <c r="BX122" s="172"/>
      <c r="BZ122" s="323" t="s">
        <v>496</v>
      </c>
      <c r="CA122" s="323" t="s">
        <v>506</v>
      </c>
    </row>
    <row r="123" s="323" customFormat="1" ht="66" customHeight="1" spans="1:79">
      <c r="A123" s="172">
        <v>116</v>
      </c>
      <c r="C123" s="323" t="s">
        <v>1019</v>
      </c>
      <c r="D123" s="323">
        <v>20230006849</v>
      </c>
      <c r="E123" s="833" t="s">
        <v>1026</v>
      </c>
      <c r="F123" s="338" t="s">
        <v>1021</v>
      </c>
      <c r="G123" s="518" t="s">
        <v>1022</v>
      </c>
      <c r="H123" s="135"/>
      <c r="I123" s="323" t="s">
        <v>492</v>
      </c>
      <c r="J123" s="323">
        <v>3</v>
      </c>
      <c r="K123" s="323">
        <v>42.7</v>
      </c>
      <c r="L123" s="323">
        <v>42.7</v>
      </c>
      <c r="M123" s="323">
        <v>23799.7</v>
      </c>
      <c r="N123" s="392">
        <v>1016247</v>
      </c>
      <c r="O123" s="327">
        <v>23599.7</v>
      </c>
      <c r="T123" s="327"/>
      <c r="U123" s="379"/>
      <c r="V123" s="379"/>
      <c r="W123" s="379" t="s">
        <v>1024</v>
      </c>
      <c r="X123" s="327">
        <f>5000-5000+100000</f>
        <v>100000</v>
      </c>
      <c r="Y123" s="379" t="s">
        <v>1027</v>
      </c>
      <c r="Z123" s="327">
        <f>416009</f>
        <v>416009</v>
      </c>
      <c r="AA123" s="379" t="s">
        <v>1025</v>
      </c>
      <c r="AB123" s="327">
        <v>500000</v>
      </c>
      <c r="AC123" s="379" t="s">
        <v>968</v>
      </c>
      <c r="AL123" s="327">
        <f t="shared" si="28"/>
        <v>1016009</v>
      </c>
      <c r="AO123" s="390">
        <f t="shared" si="35"/>
        <v>238</v>
      </c>
      <c r="AT123" s="398">
        <f t="shared" si="33"/>
        <v>1100</v>
      </c>
      <c r="AU123" s="398"/>
      <c r="AV123" s="327">
        <f>200+200+200</f>
        <v>600</v>
      </c>
      <c r="AW123" s="327"/>
      <c r="AX123" s="327"/>
      <c r="AY123" s="327">
        <v>200</v>
      </c>
      <c r="AZ123" s="327"/>
      <c r="BA123" s="327">
        <v>300</v>
      </c>
      <c r="BB123" s="327"/>
      <c r="BC123" s="327">
        <f t="shared" si="34"/>
        <v>1016009</v>
      </c>
      <c r="BD123" s="479">
        <f>1%+0.25%</f>
        <v>0.0125</v>
      </c>
      <c r="BE123" s="327"/>
      <c r="BF123" s="327">
        <v>516009</v>
      </c>
      <c r="BG123" s="327">
        <v>500000</v>
      </c>
      <c r="BH123" s="327"/>
      <c r="BI123" s="327"/>
      <c r="BJ123" s="327"/>
      <c r="BK123" s="327"/>
      <c r="BL123" s="327"/>
      <c r="BM123" s="327"/>
      <c r="BN123" s="327"/>
      <c r="BO123" s="327"/>
      <c r="BP123" s="327"/>
      <c r="BQ123" s="327"/>
      <c r="BR123" s="327"/>
      <c r="BS123" s="327"/>
      <c r="BT123" s="327"/>
      <c r="BU123" s="327"/>
      <c r="BV123" s="327"/>
      <c r="BW123" s="327"/>
      <c r="BX123" s="172"/>
      <c r="BZ123" s="323" t="s">
        <v>496</v>
      </c>
      <c r="CA123" s="323" t="s">
        <v>506</v>
      </c>
    </row>
    <row r="124" s="323" customFormat="1" customHeight="1" spans="1:79">
      <c r="A124" s="172">
        <v>117</v>
      </c>
      <c r="C124" s="323" t="s">
        <v>1008</v>
      </c>
      <c r="D124" s="323">
        <v>20230006188</v>
      </c>
      <c r="E124" s="833" t="s">
        <v>1028</v>
      </c>
      <c r="F124" s="338" t="s">
        <v>1029</v>
      </c>
      <c r="G124" s="339" t="s">
        <v>1030</v>
      </c>
      <c r="H124" s="135"/>
      <c r="I124" s="323" t="s">
        <v>492</v>
      </c>
      <c r="J124" s="323">
        <v>4</v>
      </c>
      <c r="K124" s="323">
        <v>42.7</v>
      </c>
      <c r="L124" s="323">
        <v>42.7</v>
      </c>
      <c r="M124" s="323">
        <v>23793.72</v>
      </c>
      <c r="N124" s="392">
        <v>1015992</v>
      </c>
      <c r="O124" s="327">
        <v>23693.72</v>
      </c>
      <c r="Q124" s="323">
        <v>932102.75</v>
      </c>
      <c r="R124" s="833" t="s">
        <v>1031</v>
      </c>
      <c r="S124" s="380">
        <v>45618</v>
      </c>
      <c r="T124" s="327"/>
      <c r="U124" s="379"/>
      <c r="V124" s="379"/>
      <c r="W124" s="379" t="s">
        <v>1032</v>
      </c>
      <c r="X124" s="327">
        <f>100000</f>
        <v>100000</v>
      </c>
      <c r="Y124" s="379" t="s">
        <v>567</v>
      </c>
      <c r="Z124" s="327">
        <v>915754</v>
      </c>
      <c r="AA124" s="379" t="s">
        <v>1033</v>
      </c>
      <c r="AB124" s="327"/>
      <c r="AC124" s="365"/>
      <c r="AL124" s="327">
        <f t="shared" si="28"/>
        <v>1015754</v>
      </c>
      <c r="AO124" s="390">
        <f t="shared" si="35"/>
        <v>238</v>
      </c>
      <c r="AP124" s="323">
        <v>15209968666</v>
      </c>
      <c r="AT124" s="398">
        <f t="shared" si="33"/>
        <v>700</v>
      </c>
      <c r="AU124" s="398">
        <f>200</f>
        <v>200</v>
      </c>
      <c r="AV124" s="327">
        <v>200</v>
      </c>
      <c r="AW124" s="327"/>
      <c r="AX124" s="327"/>
      <c r="AY124" s="327"/>
      <c r="AZ124" s="327"/>
      <c r="BA124" s="327">
        <v>300</v>
      </c>
      <c r="BB124" s="327"/>
      <c r="BC124" s="327">
        <f t="shared" si="34"/>
        <v>1015754</v>
      </c>
      <c r="BD124" s="479">
        <f>1%+0.25%</f>
        <v>0.0125</v>
      </c>
      <c r="BE124" s="327">
        <v>1015754</v>
      </c>
      <c r="BF124" s="327"/>
      <c r="BG124" s="327"/>
      <c r="BH124" s="327"/>
      <c r="BI124" s="327"/>
      <c r="BJ124" s="327"/>
      <c r="BK124" s="327"/>
      <c r="BL124" s="327"/>
      <c r="BM124" s="327"/>
      <c r="BN124" s="327"/>
      <c r="BO124" s="327"/>
      <c r="BP124" s="327"/>
      <c r="BQ124" s="327"/>
      <c r="BR124" s="327"/>
      <c r="BS124" s="327"/>
      <c r="BT124" s="327"/>
      <c r="BU124" s="327"/>
      <c r="BV124" s="327"/>
      <c r="BW124" s="327"/>
      <c r="BX124" s="172"/>
      <c r="BZ124" s="323" t="s">
        <v>496</v>
      </c>
      <c r="CA124" s="323" t="s">
        <v>506</v>
      </c>
    </row>
    <row r="125" s="323" customFormat="1" ht="72" customHeight="1" spans="1:79">
      <c r="A125" s="172">
        <v>118</v>
      </c>
      <c r="C125" s="323" t="s">
        <v>1008</v>
      </c>
      <c r="D125" s="323">
        <v>20230006199</v>
      </c>
      <c r="E125" s="833" t="s">
        <v>1034</v>
      </c>
      <c r="F125" s="338" t="s">
        <v>1035</v>
      </c>
      <c r="G125" s="533" t="s">
        <v>1036</v>
      </c>
      <c r="H125" s="135"/>
      <c r="I125" s="323" t="s">
        <v>492</v>
      </c>
      <c r="J125" s="323">
        <v>5</v>
      </c>
      <c r="K125" s="323">
        <v>42.7</v>
      </c>
      <c r="L125" s="323">
        <v>42.7</v>
      </c>
      <c r="M125" s="323">
        <v>23887.75</v>
      </c>
      <c r="N125" s="392">
        <v>1020007</v>
      </c>
      <c r="O125" s="327">
        <v>23787.75</v>
      </c>
      <c r="Q125" s="323">
        <v>935786.24</v>
      </c>
      <c r="R125" s="833" t="s">
        <v>1037</v>
      </c>
      <c r="S125" s="380">
        <v>45618</v>
      </c>
      <c r="T125" s="327"/>
      <c r="U125" s="380"/>
      <c r="V125" s="379" t="s">
        <v>1038</v>
      </c>
      <c r="W125" s="379" t="s">
        <v>1032</v>
      </c>
      <c r="X125" s="327">
        <f>10000+60000+10000+10000+10000</f>
        <v>100000</v>
      </c>
      <c r="Y125" s="379" t="s">
        <v>1039</v>
      </c>
      <c r="Z125" s="327">
        <v>919768</v>
      </c>
      <c r="AA125" s="380" t="s">
        <v>1033</v>
      </c>
      <c r="AB125" s="327"/>
      <c r="AC125" s="365"/>
      <c r="AL125" s="327">
        <f t="shared" ref="AL125:AL150" si="38">X125+Z125+AB125+AD125+AF125+AH125+AJ125</f>
        <v>1019768</v>
      </c>
      <c r="AO125" s="390">
        <f t="shared" si="35"/>
        <v>239</v>
      </c>
      <c r="AT125" s="398">
        <f t="shared" si="33"/>
        <v>1300</v>
      </c>
      <c r="AU125" s="398">
        <f>200</f>
        <v>200</v>
      </c>
      <c r="AV125" s="327"/>
      <c r="AW125" s="327">
        <v>200</v>
      </c>
      <c r="AX125" s="327"/>
      <c r="AY125" s="327"/>
      <c r="AZ125" s="327"/>
      <c r="BA125" s="327">
        <f>300+300+300</f>
        <v>900</v>
      </c>
      <c r="BB125" s="327"/>
      <c r="BC125" s="327">
        <f t="shared" si="34"/>
        <v>1019768</v>
      </c>
      <c r="BD125" s="479">
        <f>1%+0.25%</f>
        <v>0.0125</v>
      </c>
      <c r="BE125" s="327">
        <v>1019768</v>
      </c>
      <c r="BF125" s="327"/>
      <c r="BG125" s="327"/>
      <c r="BH125" s="327"/>
      <c r="BI125" s="327"/>
      <c r="BJ125" s="327"/>
      <c r="BK125" s="327"/>
      <c r="BL125" s="327"/>
      <c r="BM125" s="327"/>
      <c r="BN125" s="327"/>
      <c r="BO125" s="327"/>
      <c r="BP125" s="327"/>
      <c r="BQ125" s="327"/>
      <c r="BR125" s="327"/>
      <c r="BS125" s="327"/>
      <c r="BT125" s="327"/>
      <c r="BU125" s="327"/>
      <c r="BV125" s="327"/>
      <c r="BW125" s="327"/>
      <c r="BX125" s="172"/>
      <c r="BZ125" s="323" t="s">
        <v>496</v>
      </c>
      <c r="CA125" s="323" t="s">
        <v>506</v>
      </c>
    </row>
    <row r="126" s="323" customFormat="1" ht="87" customHeight="1" spans="1:79">
      <c r="A126" s="172">
        <v>119</v>
      </c>
      <c r="C126" s="323" t="s">
        <v>1040</v>
      </c>
      <c r="D126" s="323">
        <v>20230005506</v>
      </c>
      <c r="E126" s="833" t="s">
        <v>1041</v>
      </c>
      <c r="F126" s="338" t="s">
        <v>1042</v>
      </c>
      <c r="G126" s="339" t="s">
        <v>1043</v>
      </c>
      <c r="H126" s="135"/>
      <c r="I126" s="323" t="s">
        <v>492</v>
      </c>
      <c r="J126" s="323">
        <v>6</v>
      </c>
      <c r="K126" s="323">
        <v>42.7</v>
      </c>
      <c r="L126" s="323">
        <v>42.7</v>
      </c>
      <c r="M126" s="323">
        <v>24181.76</v>
      </c>
      <c r="N126" s="392">
        <v>1032561</v>
      </c>
      <c r="O126" s="327">
        <v>23881.77</v>
      </c>
      <c r="T126" s="327"/>
      <c r="U126" s="379"/>
      <c r="V126" s="379" t="s">
        <v>1044</v>
      </c>
      <c r="W126" s="379" t="s">
        <v>1045</v>
      </c>
      <c r="X126" s="327">
        <f>5000-5000+5000+5000+5000+5000</f>
        <v>20000</v>
      </c>
      <c r="Y126" s="379" t="s">
        <v>1046</v>
      </c>
      <c r="Z126" s="327">
        <v>80000</v>
      </c>
      <c r="AA126" s="365" t="s">
        <v>1047</v>
      </c>
      <c r="AB126" s="327">
        <v>212319</v>
      </c>
      <c r="AC126" s="365">
        <v>2023.7</v>
      </c>
      <c r="AD126" s="327">
        <f>200000+10000</f>
        <v>210000</v>
      </c>
      <c r="AE126" s="379" t="s">
        <v>1048</v>
      </c>
      <c r="AF126" s="327">
        <v>360000</v>
      </c>
      <c r="AG126" s="379" t="s">
        <v>1049</v>
      </c>
      <c r="AH126" s="323">
        <v>150000</v>
      </c>
      <c r="AI126" s="323" t="s">
        <v>1049</v>
      </c>
      <c r="AL126" s="327">
        <f t="shared" si="38"/>
        <v>1032319</v>
      </c>
      <c r="AO126" s="390">
        <f t="shared" si="35"/>
        <v>242</v>
      </c>
      <c r="AP126" s="323">
        <v>13899005378</v>
      </c>
      <c r="AT126" s="398">
        <f t="shared" si="33"/>
        <v>2000</v>
      </c>
      <c r="AU126" s="398">
        <f>200</f>
        <v>200</v>
      </c>
      <c r="AV126" s="327">
        <f>200+200+200</f>
        <v>600</v>
      </c>
      <c r="AW126" s="327">
        <v>200</v>
      </c>
      <c r="AX126" s="327">
        <v>200</v>
      </c>
      <c r="AY126" s="327">
        <v>200</v>
      </c>
      <c r="AZ126" s="327"/>
      <c r="BA126" s="327">
        <f>300+300</f>
        <v>600</v>
      </c>
      <c r="BB126" s="327"/>
      <c r="BC126" s="327">
        <f t="shared" si="34"/>
        <v>1032319</v>
      </c>
      <c r="BD126" s="479">
        <f>1%+0.18%+0.25%</f>
        <v>0.0143</v>
      </c>
      <c r="BE126" s="327"/>
      <c r="BF126" s="327"/>
      <c r="BG126" s="327"/>
      <c r="BH126" s="327"/>
      <c r="BI126" s="327"/>
      <c r="BJ126" s="327">
        <v>1032319</v>
      </c>
      <c r="BK126" s="327"/>
      <c r="BL126" s="327"/>
      <c r="BM126" s="327"/>
      <c r="BN126" s="327"/>
      <c r="BO126" s="327"/>
      <c r="BP126" s="327"/>
      <c r="BQ126" s="327"/>
      <c r="BR126" s="327"/>
      <c r="BS126" s="327"/>
      <c r="BT126" s="327"/>
      <c r="BU126" s="327"/>
      <c r="BV126" s="327"/>
      <c r="BW126" s="327"/>
      <c r="BX126" s="172"/>
      <c r="BZ126" s="323" t="s">
        <v>496</v>
      </c>
      <c r="CA126" s="323" t="s">
        <v>506</v>
      </c>
    </row>
    <row r="127" s="323" customFormat="1" ht="88" customHeight="1" spans="1:79">
      <c r="A127" s="172">
        <v>120</v>
      </c>
      <c r="C127" s="323" t="s">
        <v>1050</v>
      </c>
      <c r="D127" s="323">
        <v>20230005811</v>
      </c>
      <c r="E127" s="833" t="s">
        <v>1051</v>
      </c>
      <c r="F127" s="338" t="s">
        <v>1052</v>
      </c>
      <c r="G127" s="337" t="s">
        <v>1053</v>
      </c>
      <c r="H127" s="135"/>
      <c r="I127" s="323" t="s">
        <v>492</v>
      </c>
      <c r="J127" s="323">
        <v>7</v>
      </c>
      <c r="K127" s="323">
        <v>42.7</v>
      </c>
      <c r="L127" s="323">
        <v>42.7</v>
      </c>
      <c r="M127" s="323">
        <v>23799.7</v>
      </c>
      <c r="N127" s="392">
        <v>1016247</v>
      </c>
      <c r="O127" s="327">
        <v>23599.7</v>
      </c>
      <c r="T127" s="327"/>
      <c r="U127" s="379"/>
      <c r="V127" s="379" t="s">
        <v>1054</v>
      </c>
      <c r="W127" s="379" t="s">
        <v>1055</v>
      </c>
      <c r="X127" s="327">
        <f>5000-5000+10000-10000+5000+95000</f>
        <v>100000</v>
      </c>
      <c r="Y127" s="379" t="s">
        <v>1056</v>
      </c>
      <c r="Z127" s="327">
        <v>316009</v>
      </c>
      <c r="AA127" s="379" t="s">
        <v>1050</v>
      </c>
      <c r="AB127" s="327">
        <f>410000+190000</f>
        <v>600000</v>
      </c>
      <c r="AC127" s="365" t="s">
        <v>881</v>
      </c>
      <c r="AL127" s="327">
        <f t="shared" si="38"/>
        <v>1016009</v>
      </c>
      <c r="AO127" s="390">
        <f t="shared" si="35"/>
        <v>238</v>
      </c>
      <c r="AP127" s="323">
        <v>15739856132</v>
      </c>
      <c r="AT127" s="398">
        <f t="shared" si="33"/>
        <v>600</v>
      </c>
      <c r="AU127" s="398"/>
      <c r="AV127" s="327">
        <f>200+200</f>
        <v>400</v>
      </c>
      <c r="AW127" s="327"/>
      <c r="AX127" s="327"/>
      <c r="AY127" s="327"/>
      <c r="AZ127" s="327">
        <v>200</v>
      </c>
      <c r="BA127" s="327"/>
      <c r="BB127" s="327"/>
      <c r="BC127" s="327">
        <f t="shared" si="34"/>
        <v>1016009</v>
      </c>
      <c r="BD127" s="479">
        <f>1%+0.25%</f>
        <v>0.0125</v>
      </c>
      <c r="BE127" s="327">
        <v>1016009</v>
      </c>
      <c r="BF127" s="327"/>
      <c r="BG127" s="327"/>
      <c r="BH127" s="327"/>
      <c r="BI127" s="327"/>
      <c r="BJ127" s="327"/>
      <c r="BK127" s="327"/>
      <c r="BL127" s="327"/>
      <c r="BM127" s="327"/>
      <c r="BN127" s="327"/>
      <c r="BO127" s="327"/>
      <c r="BP127" s="327"/>
      <c r="BQ127" s="327"/>
      <c r="BR127" s="327"/>
      <c r="BS127" s="327"/>
      <c r="BT127" s="327"/>
      <c r="BU127" s="327"/>
      <c r="BV127" s="327"/>
      <c r="BW127" s="327"/>
      <c r="BX127" s="172"/>
      <c r="BZ127" s="323" t="s">
        <v>496</v>
      </c>
      <c r="CA127" s="323" t="s">
        <v>506</v>
      </c>
    </row>
    <row r="128" s="323" customFormat="1" ht="62" customHeight="1" spans="1:79">
      <c r="A128" s="172">
        <v>121</v>
      </c>
      <c r="C128" s="323" t="s">
        <v>1057</v>
      </c>
      <c r="D128" s="323">
        <v>20230005770</v>
      </c>
      <c r="E128" s="833" t="s">
        <v>1058</v>
      </c>
      <c r="F128" s="338" t="s">
        <v>1059</v>
      </c>
      <c r="G128" s="339" t="s">
        <v>1060</v>
      </c>
      <c r="H128" s="135"/>
      <c r="I128" s="323" t="s">
        <v>492</v>
      </c>
      <c r="J128" s="323">
        <v>8</v>
      </c>
      <c r="K128" s="323">
        <v>42.7</v>
      </c>
      <c r="L128" s="323">
        <v>42.7</v>
      </c>
      <c r="M128" s="323">
        <v>24475.79</v>
      </c>
      <c r="N128" s="392">
        <v>1044872</v>
      </c>
      <c r="O128" s="327">
        <v>23975.79</v>
      </c>
      <c r="T128" s="327"/>
      <c r="U128" s="379"/>
      <c r="V128" s="379" t="s">
        <v>1061</v>
      </c>
      <c r="W128" s="379" t="s">
        <v>1062</v>
      </c>
      <c r="X128" s="327">
        <f>5000+5000-5000+5000+95000-5000</f>
        <v>100000</v>
      </c>
      <c r="Y128" s="379" t="s">
        <v>1063</v>
      </c>
      <c r="Z128" s="327">
        <v>944872</v>
      </c>
      <c r="AA128" s="379" t="s">
        <v>1057</v>
      </c>
      <c r="AB128" s="327"/>
      <c r="AC128" s="365"/>
      <c r="AL128" s="327">
        <f t="shared" si="38"/>
        <v>1044872</v>
      </c>
      <c r="AO128" s="390">
        <f t="shared" si="35"/>
        <v>0</v>
      </c>
      <c r="AP128" s="323">
        <v>15099460058</v>
      </c>
      <c r="AT128" s="398">
        <f t="shared" si="33"/>
        <v>800</v>
      </c>
      <c r="AU128" s="398">
        <f>200+200+200</f>
        <v>600</v>
      </c>
      <c r="AV128" s="327">
        <v>200</v>
      </c>
      <c r="AW128" s="327"/>
      <c r="AX128" s="327"/>
      <c r="AY128" s="327"/>
      <c r="AZ128" s="327"/>
      <c r="BA128" s="327"/>
      <c r="BB128" s="327"/>
      <c r="BC128" s="327">
        <f t="shared" si="34"/>
        <v>1044872</v>
      </c>
      <c r="BD128" s="479">
        <f>0.8%+0.18%+0.25%</f>
        <v>0.0123</v>
      </c>
      <c r="BE128" s="327">
        <v>1044872</v>
      </c>
      <c r="BF128" s="327"/>
      <c r="BG128" s="327"/>
      <c r="BH128" s="327"/>
      <c r="BI128" s="327"/>
      <c r="BJ128" s="327"/>
      <c r="BK128" s="327"/>
      <c r="BL128" s="327"/>
      <c r="BM128" s="327"/>
      <c r="BN128" s="327"/>
      <c r="BO128" s="327"/>
      <c r="BP128" s="327"/>
      <c r="BQ128" s="327"/>
      <c r="BR128" s="327"/>
      <c r="BS128" s="327"/>
      <c r="BT128" s="327"/>
      <c r="BU128" s="327"/>
      <c r="BV128" s="327"/>
      <c r="BW128" s="327"/>
      <c r="BX128" s="172"/>
      <c r="BZ128" s="323" t="s">
        <v>496</v>
      </c>
      <c r="CA128" s="323" t="s">
        <v>506</v>
      </c>
    </row>
    <row r="129" s="323" customFormat="1" ht="72" customHeight="1" spans="1:79">
      <c r="A129" s="172">
        <v>122</v>
      </c>
      <c r="C129" s="323" t="s">
        <v>982</v>
      </c>
      <c r="D129" s="323">
        <v>20230006480</v>
      </c>
      <c r="E129" s="833" t="s">
        <v>1064</v>
      </c>
      <c r="F129" s="338" t="s">
        <v>1065</v>
      </c>
      <c r="G129" s="339" t="s">
        <v>1066</v>
      </c>
      <c r="H129" s="135"/>
      <c r="I129" s="323" t="s">
        <v>492</v>
      </c>
      <c r="J129" s="323">
        <v>9</v>
      </c>
      <c r="K129" s="323">
        <v>42.7</v>
      </c>
      <c r="L129" s="323">
        <v>42.7</v>
      </c>
      <c r="M129" s="323">
        <v>24633.96</v>
      </c>
      <c r="N129" s="392">
        <v>1051870</v>
      </c>
      <c r="O129" s="327">
        <v>24633.96</v>
      </c>
      <c r="T129" s="327"/>
      <c r="U129" s="379"/>
      <c r="V129" s="379" t="s">
        <v>1067</v>
      </c>
      <c r="W129" s="379" t="s">
        <v>1068</v>
      </c>
      <c r="X129" s="327">
        <f>5000-5000+10000+40000</f>
        <v>50000</v>
      </c>
      <c r="Y129" s="379" t="s">
        <v>1069</v>
      </c>
      <c r="Z129" s="327">
        <v>481624</v>
      </c>
      <c r="AA129" s="365" t="s">
        <v>911</v>
      </c>
      <c r="AB129" s="327">
        <v>520000</v>
      </c>
      <c r="AC129" s="379" t="s">
        <v>578</v>
      </c>
      <c r="AL129" s="327">
        <f t="shared" si="38"/>
        <v>1051624</v>
      </c>
      <c r="AO129" s="390">
        <f t="shared" si="35"/>
        <v>246</v>
      </c>
      <c r="AP129" s="323">
        <v>13779673130</v>
      </c>
      <c r="AT129" s="398">
        <f t="shared" si="33"/>
        <v>1500</v>
      </c>
      <c r="AU129" s="398">
        <f>200</f>
        <v>200</v>
      </c>
      <c r="AV129" s="327">
        <f>200+200+200+200</f>
        <v>800</v>
      </c>
      <c r="AW129" s="327"/>
      <c r="AX129" s="327">
        <v>200</v>
      </c>
      <c r="AY129" s="327"/>
      <c r="AZ129" s="327"/>
      <c r="BA129" s="327">
        <v>300</v>
      </c>
      <c r="BB129" s="327"/>
      <c r="BC129" s="327">
        <f t="shared" si="34"/>
        <v>1051624</v>
      </c>
      <c r="BD129" s="479">
        <f>0.8%+0.13%+0.25%</f>
        <v>0.0118</v>
      </c>
      <c r="BE129" s="327">
        <v>531624</v>
      </c>
      <c r="BF129" s="327"/>
      <c r="BG129" s="327"/>
      <c r="BH129" s="327"/>
      <c r="BI129" s="327"/>
      <c r="BJ129" s="327">
        <v>520000</v>
      </c>
      <c r="BK129" s="327"/>
      <c r="BL129" s="327"/>
      <c r="BM129" s="327"/>
      <c r="BN129" s="327"/>
      <c r="BO129" s="327"/>
      <c r="BP129" s="327"/>
      <c r="BQ129" s="327"/>
      <c r="BR129" s="327"/>
      <c r="BS129" s="327"/>
      <c r="BT129" s="327"/>
      <c r="BU129" s="327"/>
      <c r="BV129" s="327"/>
      <c r="BW129" s="327"/>
      <c r="BX129" s="172"/>
      <c r="BZ129" s="323" t="s">
        <v>496</v>
      </c>
      <c r="CA129" s="323" t="s">
        <v>506</v>
      </c>
    </row>
    <row r="130" s="323" customFormat="1" ht="58" customHeight="1" spans="1:79">
      <c r="A130" s="172">
        <v>123</v>
      </c>
      <c r="C130" s="380">
        <v>45166</v>
      </c>
      <c r="D130" s="323">
        <v>20230007366</v>
      </c>
      <c r="E130" s="833" t="s">
        <v>1070</v>
      </c>
      <c r="F130" s="338" t="s">
        <v>1071</v>
      </c>
      <c r="G130" s="339" t="s">
        <v>1072</v>
      </c>
      <c r="H130" s="135"/>
      <c r="I130" s="323" t="s">
        <v>492</v>
      </c>
      <c r="J130" s="323">
        <v>10</v>
      </c>
      <c r="K130" s="323">
        <v>42.7</v>
      </c>
      <c r="L130" s="323">
        <v>42.7</v>
      </c>
      <c r="M130" s="323">
        <v>25532.91</v>
      </c>
      <c r="N130" s="392">
        <v>1090255</v>
      </c>
      <c r="O130" s="327">
        <v>25386.13</v>
      </c>
      <c r="Q130" s="323">
        <v>1000233.94</v>
      </c>
      <c r="R130" s="833" t="s">
        <v>1073</v>
      </c>
      <c r="S130" s="323" t="s">
        <v>379</v>
      </c>
      <c r="T130" s="327"/>
      <c r="U130" s="380"/>
      <c r="V130" s="379" t="s">
        <v>1074</v>
      </c>
      <c r="W130" s="379" t="s">
        <v>1075</v>
      </c>
      <c r="X130" s="327">
        <f>5000-5000+5000+95000</f>
        <v>100000</v>
      </c>
      <c r="Y130" s="379" t="s">
        <v>1076</v>
      </c>
      <c r="Z130" s="327">
        <v>30000</v>
      </c>
      <c r="AA130" s="380" t="s">
        <v>685</v>
      </c>
      <c r="AB130" s="327">
        <v>960000</v>
      </c>
      <c r="AC130" s="380" t="s">
        <v>896</v>
      </c>
      <c r="AL130" s="327">
        <f t="shared" si="38"/>
        <v>1090000</v>
      </c>
      <c r="AO130" s="390">
        <f t="shared" si="35"/>
        <v>255</v>
      </c>
      <c r="AP130" s="323">
        <v>13899061155</v>
      </c>
      <c r="AT130" s="398">
        <f t="shared" si="33"/>
        <v>1000</v>
      </c>
      <c r="AU130" s="398"/>
      <c r="AV130" s="327">
        <f>200</f>
        <v>200</v>
      </c>
      <c r="AW130" s="327">
        <v>200</v>
      </c>
      <c r="AX130" s="327">
        <v>200</v>
      </c>
      <c r="AY130" s="327">
        <f>200+200</f>
        <v>400</v>
      </c>
      <c r="AZ130" s="327"/>
      <c r="BA130" s="327"/>
      <c r="BB130" s="327"/>
      <c r="BC130" s="327">
        <f t="shared" si="34"/>
        <v>1090000</v>
      </c>
      <c r="BD130" s="479">
        <f>1%+0.18%+0.25%</f>
        <v>0.0143</v>
      </c>
      <c r="BE130" s="327"/>
      <c r="BF130" s="327">
        <v>1090000</v>
      </c>
      <c r="BG130" s="327"/>
      <c r="BH130" s="327"/>
      <c r="BI130" s="327"/>
      <c r="BJ130" s="327"/>
      <c r="BK130" s="327"/>
      <c r="BL130" s="327"/>
      <c r="BM130" s="327"/>
      <c r="BN130" s="327"/>
      <c r="BO130" s="327"/>
      <c r="BP130" s="327"/>
      <c r="BQ130" s="327"/>
      <c r="BR130" s="327"/>
      <c r="BS130" s="327"/>
      <c r="BT130" s="327"/>
      <c r="BU130" s="327"/>
      <c r="BV130" s="327"/>
      <c r="BW130" s="327"/>
      <c r="BX130" s="172"/>
      <c r="BZ130" s="323" t="s">
        <v>496</v>
      </c>
      <c r="CA130" s="323" t="s">
        <v>506</v>
      </c>
    </row>
    <row r="131" s="323" customFormat="1" ht="56" customHeight="1" spans="1:78">
      <c r="A131" s="172">
        <v>124</v>
      </c>
      <c r="C131" s="380">
        <v>45527</v>
      </c>
      <c r="D131" s="323">
        <v>20240004827</v>
      </c>
      <c r="E131" s="833" t="s">
        <v>1077</v>
      </c>
      <c r="F131" s="338" t="s">
        <v>1078</v>
      </c>
      <c r="G131" s="517" t="s">
        <v>1079</v>
      </c>
      <c r="H131" s="135"/>
      <c r="I131" s="323" t="s">
        <v>492</v>
      </c>
      <c r="J131" s="323">
        <v>11</v>
      </c>
      <c r="K131" s="323">
        <v>55.92</v>
      </c>
      <c r="L131" s="323">
        <v>55.92</v>
      </c>
      <c r="M131" s="323">
        <v>26917.71</v>
      </c>
      <c r="N131" s="392">
        <v>1505238</v>
      </c>
      <c r="O131" s="327">
        <v>26136.28</v>
      </c>
      <c r="P131" s="323"/>
      <c r="Q131" s="323">
        <v>1380952.29</v>
      </c>
      <c r="R131" s="833" t="s">
        <v>1080</v>
      </c>
      <c r="S131" s="323" t="s">
        <v>379</v>
      </c>
      <c r="T131" s="327"/>
      <c r="U131" s="379"/>
      <c r="V131" s="379"/>
      <c r="W131" s="379"/>
      <c r="X131" s="327">
        <f>853633+30000+30000+240000+200000</f>
        <v>1353633</v>
      </c>
      <c r="Y131" s="379" t="s">
        <v>1081</v>
      </c>
      <c r="Z131" s="327">
        <v>151336</v>
      </c>
      <c r="AA131" s="365" t="s">
        <v>1082</v>
      </c>
      <c r="AB131" s="327"/>
      <c r="AC131" s="379"/>
      <c r="AD131" s="323"/>
      <c r="AE131" s="323"/>
      <c r="AF131" s="327"/>
      <c r="AG131" s="379"/>
      <c r="AH131" s="323"/>
      <c r="AI131" s="323"/>
      <c r="AJ131" s="327"/>
      <c r="AK131" s="379"/>
      <c r="AL131" s="327">
        <f t="shared" si="38"/>
        <v>1504969</v>
      </c>
      <c r="AO131" s="390">
        <f t="shared" si="35"/>
        <v>269</v>
      </c>
      <c r="AP131" s="323">
        <v>13779245999</v>
      </c>
      <c r="AT131" s="398">
        <f t="shared" si="33"/>
        <v>1900</v>
      </c>
      <c r="AU131" s="398">
        <f>200+200</f>
        <v>400</v>
      </c>
      <c r="AV131" s="327">
        <v>200</v>
      </c>
      <c r="AW131" s="327">
        <v>200</v>
      </c>
      <c r="AX131" s="327">
        <v>200</v>
      </c>
      <c r="AY131" s="327">
        <f>200+200+200</f>
        <v>600</v>
      </c>
      <c r="AZ131" s="327"/>
      <c r="BA131" s="327">
        <v>300</v>
      </c>
      <c r="BB131" s="327"/>
      <c r="BC131" s="327">
        <f t="shared" si="34"/>
        <v>1504969</v>
      </c>
      <c r="BD131" s="479">
        <f>1%+0.14%</f>
        <v>0.0114</v>
      </c>
      <c r="BE131" s="327"/>
      <c r="BF131" s="327"/>
      <c r="BG131" s="327"/>
      <c r="BH131" s="327"/>
      <c r="BI131" s="327"/>
      <c r="BJ131" s="327"/>
      <c r="BK131" s="327"/>
      <c r="BL131" s="327"/>
      <c r="BM131" s="327"/>
      <c r="BN131" s="327"/>
      <c r="BO131" s="327"/>
      <c r="BP131" s="327"/>
      <c r="BQ131" s="327"/>
      <c r="BR131" s="327"/>
      <c r="BS131" s="327">
        <v>1504969</v>
      </c>
      <c r="BT131" s="327"/>
      <c r="BU131" s="327"/>
      <c r="BV131" s="327"/>
      <c r="BW131" s="327"/>
      <c r="BX131" s="323"/>
      <c r="BZ131" s="323" t="s">
        <v>496</v>
      </c>
    </row>
    <row r="132" s="323" customFormat="1" ht="97" customHeight="1" spans="1:79">
      <c r="A132" s="172">
        <v>125</v>
      </c>
      <c r="C132" s="323" t="s">
        <v>1083</v>
      </c>
      <c r="D132" s="323">
        <v>20230005679</v>
      </c>
      <c r="E132" s="833" t="s">
        <v>1084</v>
      </c>
      <c r="F132" s="417" t="s">
        <v>1085</v>
      </c>
      <c r="G132" s="337" t="s">
        <v>1086</v>
      </c>
      <c r="H132" s="135"/>
      <c r="I132" s="323" t="s">
        <v>492</v>
      </c>
      <c r="J132" s="323">
        <v>12</v>
      </c>
      <c r="K132" s="323">
        <v>42.19</v>
      </c>
      <c r="L132" s="323">
        <v>42.19</v>
      </c>
      <c r="M132" s="323">
        <v>33084.45</v>
      </c>
      <c r="N132" s="392">
        <v>1395833</v>
      </c>
      <c r="O132" s="327">
        <v>33000</v>
      </c>
      <c r="T132" s="327"/>
      <c r="U132" s="379"/>
      <c r="V132" s="379" t="s">
        <v>1087</v>
      </c>
      <c r="W132" s="379" t="s">
        <v>1088</v>
      </c>
      <c r="X132" s="327">
        <f>5000+5000-5000</f>
        <v>5000</v>
      </c>
      <c r="Y132" s="379" t="s">
        <v>1089</v>
      </c>
      <c r="Z132" s="327">
        <v>95000</v>
      </c>
      <c r="AA132" s="365" t="s">
        <v>1017</v>
      </c>
      <c r="AB132" s="327">
        <v>598833</v>
      </c>
      <c r="AC132" s="379" t="s">
        <v>1090</v>
      </c>
      <c r="AD132" s="327">
        <v>697000</v>
      </c>
      <c r="AE132" s="379" t="s">
        <v>638</v>
      </c>
      <c r="AL132" s="327">
        <f t="shared" si="38"/>
        <v>1395833</v>
      </c>
      <c r="AO132" s="390">
        <f t="shared" si="35"/>
        <v>0</v>
      </c>
      <c r="AP132" s="337"/>
      <c r="AT132" s="398">
        <f t="shared" si="33"/>
        <v>3400</v>
      </c>
      <c r="AU132" s="398">
        <f>200+200+200+200+200</f>
        <v>1000</v>
      </c>
      <c r="AV132" s="327">
        <f>200+200</f>
        <v>400</v>
      </c>
      <c r="AW132" s="327">
        <f>200+200</f>
        <v>400</v>
      </c>
      <c r="AX132" s="327">
        <v>200</v>
      </c>
      <c r="AY132" s="327">
        <f>200+200+200+200</f>
        <v>800</v>
      </c>
      <c r="AZ132" s="327"/>
      <c r="BA132" s="327">
        <f>300+300</f>
        <v>600</v>
      </c>
      <c r="BB132" s="327"/>
      <c r="BC132" s="327">
        <f t="shared" si="34"/>
        <v>1395833</v>
      </c>
      <c r="BD132" s="479">
        <f t="shared" ref="BD132:BD139" si="39">1%+0.18%+0.25%</f>
        <v>0.0143</v>
      </c>
      <c r="BE132" s="327">
        <v>698833</v>
      </c>
      <c r="BF132" s="327">
        <v>697000</v>
      </c>
      <c r="BG132" s="327"/>
      <c r="BH132" s="327"/>
      <c r="BI132" s="327"/>
      <c r="BJ132" s="327"/>
      <c r="BK132" s="327"/>
      <c r="BL132" s="327"/>
      <c r="BM132" s="327"/>
      <c r="BN132" s="327"/>
      <c r="BO132" s="327"/>
      <c r="BP132" s="327"/>
      <c r="BQ132" s="327"/>
      <c r="BR132" s="327"/>
      <c r="BS132" s="327"/>
      <c r="BT132" s="327"/>
      <c r="BU132" s="327"/>
      <c r="BV132" s="327"/>
      <c r="BW132" s="327"/>
      <c r="BX132" s="172"/>
      <c r="BZ132" s="323" t="s">
        <v>496</v>
      </c>
      <c r="CA132" s="323" t="s">
        <v>506</v>
      </c>
    </row>
    <row r="133" s="323" customFormat="1" ht="42" customHeight="1" spans="1:79">
      <c r="A133" s="172">
        <v>126</v>
      </c>
      <c r="C133" s="323" t="s">
        <v>1083</v>
      </c>
      <c r="D133" s="323">
        <v>20230005680</v>
      </c>
      <c r="E133" s="833" t="s">
        <v>1084</v>
      </c>
      <c r="F133" s="417" t="s">
        <v>1085</v>
      </c>
      <c r="G133" s="337" t="s">
        <v>1091</v>
      </c>
      <c r="H133" s="135"/>
      <c r="I133" s="323" t="s">
        <v>492</v>
      </c>
      <c r="J133" s="323">
        <v>13</v>
      </c>
      <c r="K133" s="323">
        <v>42.19</v>
      </c>
      <c r="L133" s="323">
        <v>42.19</v>
      </c>
      <c r="M133" s="323">
        <v>26171.3</v>
      </c>
      <c r="N133" s="392">
        <v>1104167</v>
      </c>
      <c r="O133" s="327">
        <v>26000</v>
      </c>
      <c r="T133" s="327"/>
      <c r="U133" s="379"/>
      <c r="V133" s="379"/>
      <c r="W133" s="379" t="s">
        <v>1092</v>
      </c>
      <c r="X133" s="327">
        <v>100000</v>
      </c>
      <c r="Y133" s="365" t="s">
        <v>1017</v>
      </c>
      <c r="Z133" s="327">
        <f>61167+110000+76000+70000+100000+35000</f>
        <v>452167</v>
      </c>
      <c r="AA133" s="379" t="s">
        <v>1090</v>
      </c>
      <c r="AB133" s="327">
        <v>552000</v>
      </c>
      <c r="AC133" s="379" t="s">
        <v>638</v>
      </c>
      <c r="AL133" s="327">
        <f t="shared" si="38"/>
        <v>1104167</v>
      </c>
      <c r="AO133" s="390">
        <f t="shared" si="35"/>
        <v>0</v>
      </c>
      <c r="AT133" s="398">
        <f t="shared" si="33"/>
        <v>1100</v>
      </c>
      <c r="AU133" s="398">
        <f>200+200</f>
        <v>400</v>
      </c>
      <c r="AV133" s="327"/>
      <c r="AW133" s="327">
        <v>200</v>
      </c>
      <c r="AX133" s="327"/>
      <c r="AY133" s="327">
        <v>200</v>
      </c>
      <c r="AZ133" s="327"/>
      <c r="BA133" s="327">
        <v>300</v>
      </c>
      <c r="BB133" s="327"/>
      <c r="BC133" s="327">
        <f t="shared" si="34"/>
        <v>1104167</v>
      </c>
      <c r="BD133" s="479">
        <f t="shared" si="39"/>
        <v>0.0143</v>
      </c>
      <c r="BE133" s="327">
        <v>552167</v>
      </c>
      <c r="BF133" s="327">
        <v>552000</v>
      </c>
      <c r="BG133" s="327"/>
      <c r="BH133" s="327"/>
      <c r="BI133" s="327"/>
      <c r="BJ133" s="327"/>
      <c r="BK133" s="327"/>
      <c r="BL133" s="327"/>
      <c r="BM133" s="327"/>
      <c r="BN133" s="327"/>
      <c r="BO133" s="327"/>
      <c r="BP133" s="327"/>
      <c r="BQ133" s="327"/>
      <c r="BR133" s="327"/>
      <c r="BS133" s="327"/>
      <c r="BT133" s="327"/>
      <c r="BU133" s="327"/>
      <c r="BV133" s="327"/>
      <c r="BW133" s="327"/>
      <c r="BX133" s="172"/>
      <c r="BZ133" s="323" t="s">
        <v>496</v>
      </c>
      <c r="CA133" s="323" t="s">
        <v>506</v>
      </c>
    </row>
    <row r="134" s="323" customFormat="1" ht="81" customHeight="1" spans="1:78">
      <c r="A134" s="172">
        <v>127</v>
      </c>
      <c r="C134" s="380">
        <v>45527</v>
      </c>
      <c r="D134" s="323">
        <v>20240004828</v>
      </c>
      <c r="E134" s="833" t="s">
        <v>1093</v>
      </c>
      <c r="F134" s="338" t="s">
        <v>1094</v>
      </c>
      <c r="G134" s="517" t="s">
        <v>1095</v>
      </c>
      <c r="H134" s="135"/>
      <c r="I134" s="323" t="s">
        <v>492</v>
      </c>
      <c r="J134" s="323">
        <v>14</v>
      </c>
      <c r="K134" s="323">
        <v>55.92</v>
      </c>
      <c r="L134" s="323">
        <v>55.92</v>
      </c>
      <c r="M134" s="323">
        <v>20781.43</v>
      </c>
      <c r="N134" s="392">
        <v>1162098</v>
      </c>
      <c r="O134" s="327">
        <v>20000</v>
      </c>
      <c r="P134" s="323"/>
      <c r="Q134" s="323">
        <v>1066144.95</v>
      </c>
      <c r="R134" s="833" t="s">
        <v>1096</v>
      </c>
      <c r="S134" s="323" t="s">
        <v>379</v>
      </c>
      <c r="T134" s="327"/>
      <c r="U134" s="379"/>
      <c r="V134" s="379"/>
      <c r="W134" s="379"/>
      <c r="X134" s="327">
        <v>315000</v>
      </c>
      <c r="Y134" s="379" t="s">
        <v>1097</v>
      </c>
      <c r="Z134" s="327">
        <v>168000</v>
      </c>
      <c r="AA134" s="379">
        <v>45536</v>
      </c>
      <c r="AB134" s="323">
        <v>678890</v>
      </c>
      <c r="AC134" s="380">
        <v>45541</v>
      </c>
      <c r="AD134" s="327"/>
      <c r="AE134" s="379"/>
      <c r="AF134" s="323"/>
      <c r="AG134" s="380"/>
      <c r="AL134" s="327">
        <f t="shared" si="38"/>
        <v>1161890</v>
      </c>
      <c r="AO134" s="390">
        <f t="shared" si="35"/>
        <v>208</v>
      </c>
      <c r="AP134" s="323">
        <v>13779245999</v>
      </c>
      <c r="AT134" s="398">
        <f t="shared" si="33"/>
        <v>800</v>
      </c>
      <c r="AU134" s="398">
        <f>200</f>
        <v>200</v>
      </c>
      <c r="AV134" s="327"/>
      <c r="AW134" s="327">
        <f>200+200</f>
        <v>400</v>
      </c>
      <c r="AX134" s="327">
        <v>200</v>
      </c>
      <c r="AY134" s="327"/>
      <c r="AZ134" s="327"/>
      <c r="BA134" s="327"/>
      <c r="BB134" s="327"/>
      <c r="BC134" s="327">
        <f t="shared" si="34"/>
        <v>1161890</v>
      </c>
      <c r="BD134" s="479">
        <f>1%+0.14%</f>
        <v>0.0114</v>
      </c>
      <c r="BE134" s="327"/>
      <c r="BF134" s="327"/>
      <c r="BG134" s="327"/>
      <c r="BH134" s="327"/>
      <c r="BI134" s="327"/>
      <c r="BJ134" s="327"/>
      <c r="BK134" s="327"/>
      <c r="BL134" s="327"/>
      <c r="BM134" s="327"/>
      <c r="BN134" s="327"/>
      <c r="BO134" s="327"/>
      <c r="BP134" s="327"/>
      <c r="BQ134" s="327"/>
      <c r="BR134" s="327"/>
      <c r="BS134" s="327">
        <v>1161890</v>
      </c>
      <c r="BT134" s="327"/>
      <c r="BU134" s="327"/>
      <c r="BV134" s="327"/>
      <c r="BW134" s="327"/>
      <c r="BX134" s="323"/>
      <c r="BZ134" s="323" t="s">
        <v>496</v>
      </c>
    </row>
    <row r="135" s="323" customFormat="1" ht="72" customHeight="1" spans="1:79">
      <c r="A135" s="172">
        <v>128</v>
      </c>
      <c r="C135" s="323" t="s">
        <v>1083</v>
      </c>
      <c r="D135" s="323">
        <v>20230005699</v>
      </c>
      <c r="E135" s="833" t="s">
        <v>1098</v>
      </c>
      <c r="F135" s="338" t="s">
        <v>1099</v>
      </c>
      <c r="G135" s="339" t="s">
        <v>1100</v>
      </c>
      <c r="H135" s="135"/>
      <c r="I135" s="323" t="s">
        <v>492</v>
      </c>
      <c r="J135" s="323">
        <v>15</v>
      </c>
      <c r="K135" s="323">
        <v>42.7</v>
      </c>
      <c r="L135" s="323">
        <v>42.7</v>
      </c>
      <c r="M135" s="323">
        <v>17880.15</v>
      </c>
      <c r="N135" s="392">
        <v>763482</v>
      </c>
      <c r="O135" s="327">
        <v>17680.15</v>
      </c>
      <c r="T135" s="327"/>
      <c r="U135" s="379"/>
      <c r="V135" s="379" t="s">
        <v>1101</v>
      </c>
      <c r="W135" s="379" t="s">
        <v>1102</v>
      </c>
      <c r="X135" s="327">
        <f>5000-5000+5000</f>
        <v>5000</v>
      </c>
      <c r="Y135" s="379" t="s">
        <v>1103</v>
      </c>
      <c r="Z135" s="327">
        <v>95000</v>
      </c>
      <c r="AA135" s="365" t="s">
        <v>567</v>
      </c>
      <c r="AB135" s="327">
        <f>563304+100000</f>
        <v>663304</v>
      </c>
      <c r="AC135" s="365" t="s">
        <v>1090</v>
      </c>
      <c r="AL135" s="327">
        <f t="shared" si="38"/>
        <v>763304</v>
      </c>
      <c r="AO135" s="390">
        <f t="shared" si="35"/>
        <v>178</v>
      </c>
      <c r="AP135" s="323">
        <v>13999605768</v>
      </c>
      <c r="AT135" s="398">
        <f t="shared" si="33"/>
        <v>600</v>
      </c>
      <c r="AU135" s="398"/>
      <c r="AV135" s="327"/>
      <c r="AW135" s="327">
        <f>200+200+200</f>
        <v>600</v>
      </c>
      <c r="AX135" s="327"/>
      <c r="AY135" s="327"/>
      <c r="AZ135" s="327"/>
      <c r="BA135" s="327"/>
      <c r="BB135" s="327"/>
      <c r="BC135" s="327">
        <f t="shared" si="34"/>
        <v>763304</v>
      </c>
      <c r="BD135" s="479">
        <f>0.8%+0.18%+0.25%</f>
        <v>0.0123</v>
      </c>
      <c r="BE135" s="327">
        <v>763304</v>
      </c>
      <c r="BF135" s="327"/>
      <c r="BG135" s="327"/>
      <c r="BH135" s="327"/>
      <c r="BI135" s="327"/>
      <c r="BJ135" s="327"/>
      <c r="BK135" s="327"/>
      <c r="BL135" s="327"/>
      <c r="BM135" s="327"/>
      <c r="BN135" s="327"/>
      <c r="BO135" s="327"/>
      <c r="BP135" s="327"/>
      <c r="BQ135" s="327"/>
      <c r="BR135" s="327"/>
      <c r="BS135" s="327"/>
      <c r="BT135" s="327"/>
      <c r="BU135" s="327"/>
      <c r="BV135" s="327"/>
      <c r="BW135" s="327"/>
      <c r="BX135" s="172"/>
      <c r="BZ135" s="323" t="s">
        <v>496</v>
      </c>
      <c r="CA135" s="323" t="s">
        <v>506</v>
      </c>
    </row>
    <row r="136" s="323" customFormat="1" customHeight="1" spans="1:79">
      <c r="A136" s="172">
        <v>129</v>
      </c>
      <c r="C136" s="323" t="s">
        <v>656</v>
      </c>
      <c r="D136" s="323">
        <v>20230008663</v>
      </c>
      <c r="E136" s="833" t="s">
        <v>1104</v>
      </c>
      <c r="F136" s="338" t="s">
        <v>1105</v>
      </c>
      <c r="G136" s="339" t="s">
        <v>1106</v>
      </c>
      <c r="H136" s="135"/>
      <c r="I136" s="323" t="s">
        <v>492</v>
      </c>
      <c r="J136" s="323">
        <v>16</v>
      </c>
      <c r="K136" s="323">
        <v>42.7</v>
      </c>
      <c r="L136" s="323">
        <v>42.7</v>
      </c>
      <c r="M136" s="323">
        <v>17214.88</v>
      </c>
      <c r="N136" s="392">
        <v>735075</v>
      </c>
      <c r="O136" s="327">
        <v>17214.88</v>
      </c>
      <c r="T136" s="327"/>
      <c r="U136" s="380"/>
      <c r="V136" s="379" t="s">
        <v>1107</v>
      </c>
      <c r="W136" s="379" t="s">
        <v>1108</v>
      </c>
      <c r="X136" s="327">
        <f>10000</f>
        <v>10000</v>
      </c>
      <c r="Y136" s="379" t="s">
        <v>906</v>
      </c>
      <c r="Z136" s="327">
        <v>90000</v>
      </c>
      <c r="AA136" s="365" t="s">
        <v>558</v>
      </c>
      <c r="AB136" s="327">
        <v>267903</v>
      </c>
      <c r="AC136" s="380" t="s">
        <v>656</v>
      </c>
      <c r="AD136" s="327">
        <v>67000</v>
      </c>
      <c r="AE136" s="380" t="s">
        <v>950</v>
      </c>
      <c r="AF136" s="327">
        <v>300000</v>
      </c>
      <c r="AG136" s="380" t="s">
        <v>1109</v>
      </c>
      <c r="AL136" s="327">
        <f t="shared" si="38"/>
        <v>734903</v>
      </c>
      <c r="AO136" s="390">
        <f t="shared" si="35"/>
        <v>172</v>
      </c>
      <c r="AP136" s="323">
        <v>13565086261</v>
      </c>
      <c r="AT136" s="398">
        <f t="shared" si="33"/>
        <v>200</v>
      </c>
      <c r="AU136" s="398">
        <f>200</f>
        <v>200</v>
      </c>
      <c r="AV136" s="327"/>
      <c r="AW136" s="327"/>
      <c r="AX136" s="327"/>
      <c r="AY136" s="327"/>
      <c r="AZ136" s="327"/>
      <c r="BA136" s="327"/>
      <c r="BB136" s="327"/>
      <c r="BC136" s="327">
        <f t="shared" si="34"/>
        <v>734903</v>
      </c>
      <c r="BD136" s="479">
        <f>1%+0.25%</f>
        <v>0.0125</v>
      </c>
      <c r="BE136" s="327"/>
      <c r="BF136" s="327"/>
      <c r="BG136" s="327"/>
      <c r="BH136" s="327"/>
      <c r="BI136" s="327"/>
      <c r="BJ136" s="327"/>
      <c r="BK136" s="327"/>
      <c r="BL136" s="327"/>
      <c r="BM136" s="327">
        <v>734903</v>
      </c>
      <c r="BN136" s="327"/>
      <c r="BO136" s="327"/>
      <c r="BP136" s="327"/>
      <c r="BQ136" s="327"/>
      <c r="BR136" s="327"/>
      <c r="BS136" s="327"/>
      <c r="BT136" s="327"/>
      <c r="BU136" s="327"/>
      <c r="BV136" s="327"/>
      <c r="BW136" s="327"/>
      <c r="BX136" s="172"/>
      <c r="BZ136" s="323" t="s">
        <v>496</v>
      </c>
      <c r="CA136" s="323" t="s">
        <v>506</v>
      </c>
    </row>
    <row r="137" s="323" customFormat="1" ht="70" customHeight="1" spans="1:79">
      <c r="A137" s="172">
        <v>130</v>
      </c>
      <c r="C137" s="323" t="s">
        <v>1110</v>
      </c>
      <c r="D137" s="323">
        <v>20230005464</v>
      </c>
      <c r="E137" s="833" t="s">
        <v>1111</v>
      </c>
      <c r="F137" s="338" t="s">
        <v>1112</v>
      </c>
      <c r="G137" s="517" t="s">
        <v>1113</v>
      </c>
      <c r="H137" s="135"/>
      <c r="I137" s="323" t="s">
        <v>492</v>
      </c>
      <c r="J137" s="323">
        <v>17</v>
      </c>
      <c r="K137" s="323">
        <v>42.7</v>
      </c>
      <c r="L137" s="323">
        <v>42.7</v>
      </c>
      <c r="M137" s="323">
        <v>17621.83</v>
      </c>
      <c r="N137" s="392">
        <v>752452</v>
      </c>
      <c r="O137" s="327">
        <v>17121.83</v>
      </c>
      <c r="T137" s="327"/>
      <c r="U137" s="380"/>
      <c r="V137" s="340" t="s">
        <v>1114</v>
      </c>
      <c r="W137" s="379" t="s">
        <v>1115</v>
      </c>
      <c r="X137" s="327">
        <f>5000</f>
        <v>5000</v>
      </c>
      <c r="Y137" s="380" t="s">
        <v>872</v>
      </c>
      <c r="Z137" s="327">
        <v>95000</v>
      </c>
      <c r="AA137" s="365" t="s">
        <v>567</v>
      </c>
      <c r="AB137" s="327">
        <v>652276</v>
      </c>
      <c r="AC137" s="365" t="s">
        <v>926</v>
      </c>
      <c r="AL137" s="327">
        <f t="shared" si="38"/>
        <v>752276</v>
      </c>
      <c r="AO137" s="390">
        <f t="shared" si="35"/>
        <v>176</v>
      </c>
      <c r="AP137" s="323">
        <v>13779237535</v>
      </c>
      <c r="AT137" s="398">
        <f t="shared" si="33"/>
        <v>200</v>
      </c>
      <c r="AU137" s="398"/>
      <c r="AV137" s="327"/>
      <c r="AW137" s="327">
        <v>200</v>
      </c>
      <c r="AX137" s="327"/>
      <c r="AY137" s="327"/>
      <c r="AZ137" s="327"/>
      <c r="BA137" s="327"/>
      <c r="BB137" s="327"/>
      <c r="BC137" s="327">
        <f t="shared" si="34"/>
        <v>752276</v>
      </c>
      <c r="BD137" s="479">
        <f t="shared" si="39"/>
        <v>0.0143</v>
      </c>
      <c r="BE137" s="327">
        <v>752276</v>
      </c>
      <c r="BF137" s="327"/>
      <c r="BG137" s="327"/>
      <c r="BH137" s="327"/>
      <c r="BI137" s="327"/>
      <c r="BJ137" s="327"/>
      <c r="BK137" s="327"/>
      <c r="BL137" s="327"/>
      <c r="BM137" s="327"/>
      <c r="BN137" s="327"/>
      <c r="BO137" s="327"/>
      <c r="BP137" s="327"/>
      <c r="BQ137" s="327"/>
      <c r="BR137" s="327"/>
      <c r="BS137" s="327"/>
      <c r="BT137" s="327"/>
      <c r="BU137" s="327"/>
      <c r="BV137" s="327"/>
      <c r="BW137" s="327"/>
      <c r="BX137" s="172"/>
      <c r="BZ137" s="323" t="s">
        <v>496</v>
      </c>
      <c r="CA137" s="323" t="s">
        <v>506</v>
      </c>
    </row>
    <row r="138" s="323" customFormat="1" ht="53" customHeight="1" spans="1:79">
      <c r="A138" s="172">
        <v>131</v>
      </c>
      <c r="C138" s="323" t="s">
        <v>1116</v>
      </c>
      <c r="D138" s="323">
        <v>20230005448</v>
      </c>
      <c r="E138" s="833" t="s">
        <v>1117</v>
      </c>
      <c r="F138" s="338" t="s">
        <v>1118</v>
      </c>
      <c r="G138" s="518" t="s">
        <v>1119</v>
      </c>
      <c r="H138" s="135"/>
      <c r="I138" s="323" t="s">
        <v>492</v>
      </c>
      <c r="J138" s="323">
        <v>18</v>
      </c>
      <c r="K138" s="323">
        <v>42.8</v>
      </c>
      <c r="L138" s="323">
        <v>42.8</v>
      </c>
      <c r="M138" s="323">
        <v>17400</v>
      </c>
      <c r="N138" s="392">
        <v>744720</v>
      </c>
      <c r="O138" s="327">
        <v>17026.06</v>
      </c>
      <c r="Q138" s="323">
        <v>683229.36</v>
      </c>
      <c r="R138" s="833" t="s">
        <v>1120</v>
      </c>
      <c r="S138" s="323" t="s">
        <v>379</v>
      </c>
      <c r="T138" s="327"/>
      <c r="U138" s="380"/>
      <c r="V138" s="379"/>
      <c r="W138" s="379" t="s">
        <v>1121</v>
      </c>
      <c r="X138" s="327">
        <v>100000</v>
      </c>
      <c r="Y138" s="365" t="s">
        <v>558</v>
      </c>
      <c r="Z138" s="327">
        <v>644546</v>
      </c>
      <c r="AA138" s="365" t="s">
        <v>1122</v>
      </c>
      <c r="AB138" s="327"/>
      <c r="AC138" s="365"/>
      <c r="AL138" s="327">
        <f t="shared" si="38"/>
        <v>744546</v>
      </c>
      <c r="AO138" s="390">
        <f t="shared" si="35"/>
        <v>174</v>
      </c>
      <c r="AP138" s="323">
        <v>15899013998</v>
      </c>
      <c r="AT138" s="398">
        <f t="shared" si="33"/>
        <v>800</v>
      </c>
      <c r="AU138" s="398"/>
      <c r="AV138" s="327">
        <v>200</v>
      </c>
      <c r="AW138" s="327">
        <f>200+200</f>
        <v>400</v>
      </c>
      <c r="AX138" s="327"/>
      <c r="AY138" s="327"/>
      <c r="AZ138" s="327">
        <v>200</v>
      </c>
      <c r="BA138" s="327"/>
      <c r="BB138" s="327"/>
      <c r="BC138" s="327">
        <f t="shared" si="34"/>
        <v>0</v>
      </c>
      <c r="BD138" s="479">
        <f t="shared" si="39"/>
        <v>0.0143</v>
      </c>
      <c r="BE138" s="327"/>
      <c r="BF138" s="327"/>
      <c r="BG138" s="327"/>
      <c r="BH138" s="327"/>
      <c r="BI138" s="327"/>
      <c r="BJ138" s="327"/>
      <c r="BK138" s="327"/>
      <c r="BL138" s="327"/>
      <c r="BM138" s="327"/>
      <c r="BN138" s="327"/>
      <c r="BO138" s="327"/>
      <c r="BP138" s="327"/>
      <c r="BQ138" s="327"/>
      <c r="BR138" s="327"/>
      <c r="BS138" s="327"/>
      <c r="BT138" s="327"/>
      <c r="BU138" s="327"/>
      <c r="BV138" s="327"/>
      <c r="BW138" s="327"/>
      <c r="BX138" s="172"/>
      <c r="BZ138" s="323" t="s">
        <v>496</v>
      </c>
      <c r="CA138" s="323" t="s">
        <v>506</v>
      </c>
    </row>
    <row r="139" s="323" customFormat="1" ht="66" customHeight="1" spans="1:79">
      <c r="A139" s="172">
        <v>132</v>
      </c>
      <c r="C139" s="323" t="s">
        <v>1040</v>
      </c>
      <c r="D139" s="323">
        <v>20230005507</v>
      </c>
      <c r="E139" s="833" t="s">
        <v>1123</v>
      </c>
      <c r="F139" s="338" t="s">
        <v>1042</v>
      </c>
      <c r="G139" s="517" t="s">
        <v>1124</v>
      </c>
      <c r="H139" s="135"/>
      <c r="I139" s="323" t="s">
        <v>492</v>
      </c>
      <c r="J139" s="323">
        <v>19</v>
      </c>
      <c r="K139" s="323">
        <v>42.7</v>
      </c>
      <c r="L139" s="323">
        <v>42.7</v>
      </c>
      <c r="M139" s="323">
        <v>16956.55</v>
      </c>
      <c r="N139" s="392">
        <v>724045</v>
      </c>
      <c r="O139" s="327">
        <v>16656.57</v>
      </c>
      <c r="T139" s="327"/>
      <c r="U139" s="380"/>
      <c r="V139" s="379"/>
      <c r="W139" s="379" t="s">
        <v>1125</v>
      </c>
      <c r="X139" s="327">
        <f>10000-10000+100000</f>
        <v>100000</v>
      </c>
      <c r="Y139" s="379" t="s">
        <v>1126</v>
      </c>
      <c r="Z139" s="327">
        <v>123875</v>
      </c>
      <c r="AA139" s="365" t="s">
        <v>1040</v>
      </c>
      <c r="AB139" s="327">
        <v>200000</v>
      </c>
      <c r="AC139" s="380" t="s">
        <v>1048</v>
      </c>
      <c r="AD139" s="323">
        <v>300000</v>
      </c>
      <c r="AE139" s="323" t="s">
        <v>1000</v>
      </c>
      <c r="AL139" s="327">
        <f t="shared" si="38"/>
        <v>723875</v>
      </c>
      <c r="AO139" s="390">
        <f t="shared" si="35"/>
        <v>170</v>
      </c>
      <c r="AP139" s="323">
        <v>13899005378</v>
      </c>
      <c r="AT139" s="398">
        <f t="shared" si="33"/>
        <v>1100</v>
      </c>
      <c r="AU139" s="398"/>
      <c r="AV139" s="327">
        <v>200</v>
      </c>
      <c r="AW139" s="327">
        <v>200</v>
      </c>
      <c r="AX139" s="327">
        <v>200</v>
      </c>
      <c r="AY139" s="327">
        <v>200</v>
      </c>
      <c r="AZ139" s="327"/>
      <c r="BA139" s="327">
        <v>300</v>
      </c>
      <c r="BB139" s="327"/>
      <c r="BC139" s="327">
        <f t="shared" si="34"/>
        <v>723875</v>
      </c>
      <c r="BD139" s="479">
        <f t="shared" si="39"/>
        <v>0.0143</v>
      </c>
      <c r="BE139" s="327"/>
      <c r="BF139" s="327"/>
      <c r="BG139" s="327"/>
      <c r="BH139" s="327">
        <v>723875</v>
      </c>
      <c r="BI139" s="327"/>
      <c r="BJ139" s="327"/>
      <c r="BK139" s="327"/>
      <c r="BL139" s="327"/>
      <c r="BM139" s="327"/>
      <c r="BN139" s="327"/>
      <c r="BO139" s="327"/>
      <c r="BP139" s="327"/>
      <c r="BQ139" s="327"/>
      <c r="BR139" s="327"/>
      <c r="BS139" s="327"/>
      <c r="BT139" s="327"/>
      <c r="BU139" s="327"/>
      <c r="BV139" s="327"/>
      <c r="BW139" s="327"/>
      <c r="BX139" s="172"/>
      <c r="BZ139" s="323" t="s">
        <v>496</v>
      </c>
      <c r="CA139" s="323" t="s">
        <v>506</v>
      </c>
    </row>
    <row r="140" s="323" customFormat="1" customHeight="1" spans="1:79">
      <c r="A140" s="172">
        <v>133</v>
      </c>
      <c r="C140" s="323" t="s">
        <v>1008</v>
      </c>
      <c r="D140" s="323">
        <v>20230006200</v>
      </c>
      <c r="E140" s="833" t="s">
        <v>1127</v>
      </c>
      <c r="F140" s="338" t="s">
        <v>1035</v>
      </c>
      <c r="G140" s="339" t="s">
        <v>1036</v>
      </c>
      <c r="H140" s="135"/>
      <c r="I140" s="323" t="s">
        <v>492</v>
      </c>
      <c r="J140" s="323">
        <v>20</v>
      </c>
      <c r="K140" s="323">
        <v>42.7</v>
      </c>
      <c r="L140" s="323">
        <v>42.7</v>
      </c>
      <c r="M140" s="323">
        <v>16942.67</v>
      </c>
      <c r="N140" s="392">
        <v>723452</v>
      </c>
      <c r="O140" s="327">
        <v>16842.67</v>
      </c>
      <c r="Q140" s="323">
        <v>663717.43</v>
      </c>
      <c r="R140" s="833" t="s">
        <v>1128</v>
      </c>
      <c r="S140" s="323" t="s">
        <v>379</v>
      </c>
      <c r="T140" s="327"/>
      <c r="U140" s="379"/>
      <c r="V140" s="379"/>
      <c r="W140" s="379" t="s">
        <v>1129</v>
      </c>
      <c r="X140" s="327">
        <f>100000</f>
        <v>100000</v>
      </c>
      <c r="Y140" s="379" t="s">
        <v>567</v>
      </c>
      <c r="Z140" s="327">
        <v>623283</v>
      </c>
      <c r="AA140" s="379" t="s">
        <v>1033</v>
      </c>
      <c r="AB140" s="327"/>
      <c r="AC140" s="365"/>
      <c r="AL140" s="327">
        <f t="shared" si="38"/>
        <v>723283</v>
      </c>
      <c r="AO140" s="390">
        <f t="shared" si="35"/>
        <v>169</v>
      </c>
      <c r="AP140" s="323">
        <v>15209968666</v>
      </c>
      <c r="AT140" s="398">
        <f t="shared" si="33"/>
        <v>1200</v>
      </c>
      <c r="AU140" s="398">
        <f>200</f>
        <v>200</v>
      </c>
      <c r="AV140" s="327">
        <v>200</v>
      </c>
      <c r="AW140" s="327">
        <v>200</v>
      </c>
      <c r="AX140" s="327"/>
      <c r="AY140" s="327"/>
      <c r="AZ140" s="327"/>
      <c r="BA140" s="327">
        <f>300+300</f>
        <v>600</v>
      </c>
      <c r="BB140" s="327"/>
      <c r="BC140" s="327">
        <f t="shared" si="34"/>
        <v>723283</v>
      </c>
      <c r="BD140" s="479">
        <f>1%+0.25%</f>
        <v>0.0125</v>
      </c>
      <c r="BE140" s="327">
        <v>723283</v>
      </c>
      <c r="BF140" s="327"/>
      <c r="BG140" s="327"/>
      <c r="BH140" s="327"/>
      <c r="BI140" s="327"/>
      <c r="BJ140" s="327"/>
      <c r="BK140" s="327"/>
      <c r="BL140" s="327"/>
      <c r="BM140" s="327"/>
      <c r="BN140" s="327"/>
      <c r="BO140" s="327"/>
      <c r="BP140" s="327"/>
      <c r="BQ140" s="327"/>
      <c r="BR140" s="327"/>
      <c r="BS140" s="327"/>
      <c r="BT140" s="327"/>
      <c r="BU140" s="327"/>
      <c r="BV140" s="327"/>
      <c r="BW140" s="327"/>
      <c r="BX140" s="172"/>
      <c r="BZ140" s="323" t="s">
        <v>496</v>
      </c>
      <c r="CA140" s="323" t="s">
        <v>506</v>
      </c>
    </row>
    <row r="141" s="323" customFormat="1" ht="54" customHeight="1" spans="1:79">
      <c r="A141" s="172">
        <v>134</v>
      </c>
      <c r="C141" s="323" t="s">
        <v>1008</v>
      </c>
      <c r="D141" s="323">
        <v>20230006190</v>
      </c>
      <c r="E141" s="833" t="s">
        <v>1130</v>
      </c>
      <c r="F141" s="338" t="s">
        <v>1029</v>
      </c>
      <c r="G141" s="518" t="s">
        <v>1131</v>
      </c>
      <c r="H141" s="135"/>
      <c r="I141" s="323" t="s">
        <v>492</v>
      </c>
      <c r="J141" s="323">
        <v>21</v>
      </c>
      <c r="K141" s="323">
        <v>42.7</v>
      </c>
      <c r="L141" s="323">
        <v>42.7</v>
      </c>
      <c r="M141" s="323">
        <v>16849.62</v>
      </c>
      <c r="N141" s="392">
        <v>719479</v>
      </c>
      <c r="O141" s="327">
        <v>16749.62</v>
      </c>
      <c r="Q141" s="323">
        <v>660072.48</v>
      </c>
      <c r="R141" s="833" t="s">
        <v>1132</v>
      </c>
      <c r="S141" s="323" t="s">
        <v>379</v>
      </c>
      <c r="T141" s="327"/>
      <c r="U141" s="380"/>
      <c r="V141" s="379"/>
      <c r="W141" s="379" t="s">
        <v>1032</v>
      </c>
      <c r="X141" s="327">
        <v>100000</v>
      </c>
      <c r="Y141" s="379" t="s">
        <v>567</v>
      </c>
      <c r="Z141" s="327">
        <v>619310</v>
      </c>
      <c r="AA141" s="380" t="s">
        <v>1033</v>
      </c>
      <c r="AB141" s="327"/>
      <c r="AC141" s="365"/>
      <c r="AL141" s="327">
        <f t="shared" si="38"/>
        <v>719310</v>
      </c>
      <c r="AO141" s="390">
        <f t="shared" si="35"/>
        <v>169</v>
      </c>
      <c r="AP141" s="323">
        <v>1520998666</v>
      </c>
      <c r="AT141" s="398">
        <f t="shared" si="33"/>
        <v>200</v>
      </c>
      <c r="AU141" s="398"/>
      <c r="AV141" s="327"/>
      <c r="AW141" s="327">
        <v>200</v>
      </c>
      <c r="AX141" s="327"/>
      <c r="AY141" s="327"/>
      <c r="AZ141" s="327"/>
      <c r="BA141" s="327"/>
      <c r="BB141" s="327"/>
      <c r="BC141" s="327">
        <f t="shared" si="34"/>
        <v>719310</v>
      </c>
      <c r="BD141" s="479">
        <f>1%+0.25%</f>
        <v>0.0125</v>
      </c>
      <c r="BE141" s="327">
        <v>719310</v>
      </c>
      <c r="BF141" s="327"/>
      <c r="BG141" s="327"/>
      <c r="BH141" s="327"/>
      <c r="BI141" s="327"/>
      <c r="BJ141" s="327"/>
      <c r="BK141" s="327"/>
      <c r="BL141" s="327"/>
      <c r="BM141" s="327"/>
      <c r="BN141" s="327"/>
      <c r="BO141" s="327"/>
      <c r="BP141" s="327"/>
      <c r="BQ141" s="327"/>
      <c r="BR141" s="327"/>
      <c r="BS141" s="327"/>
      <c r="BT141" s="327"/>
      <c r="BU141" s="327"/>
      <c r="BV141" s="327"/>
      <c r="BW141" s="327"/>
      <c r="BX141" s="172"/>
      <c r="BZ141" s="323" t="s">
        <v>496</v>
      </c>
      <c r="CA141" s="323" t="s">
        <v>506</v>
      </c>
    </row>
    <row r="142" s="323" customFormat="1" customHeight="1" spans="1:79">
      <c r="A142" s="172">
        <v>135</v>
      </c>
      <c r="C142" s="323" t="s">
        <v>1019</v>
      </c>
      <c r="D142" s="323">
        <v>20230006850</v>
      </c>
      <c r="E142" s="833" t="s">
        <v>1133</v>
      </c>
      <c r="F142" s="338" t="s">
        <v>1021</v>
      </c>
      <c r="G142" s="517" t="s">
        <v>1022</v>
      </c>
      <c r="H142" s="135"/>
      <c r="I142" s="323" t="s">
        <v>492</v>
      </c>
      <c r="J142" s="323">
        <v>22</v>
      </c>
      <c r="K142" s="323">
        <v>42.7</v>
      </c>
      <c r="L142" s="323">
        <v>42.7</v>
      </c>
      <c r="M142" s="323">
        <v>17135</v>
      </c>
      <c r="N142" s="392">
        <v>731665</v>
      </c>
      <c r="O142" s="327">
        <v>16935.72</v>
      </c>
      <c r="T142" s="327"/>
      <c r="U142" s="380"/>
      <c r="V142" s="380"/>
      <c r="W142" s="379" t="s">
        <v>1024</v>
      </c>
      <c r="X142" s="327">
        <v>100000</v>
      </c>
      <c r="Y142" s="379" t="s">
        <v>567</v>
      </c>
      <c r="Z142" s="327">
        <f>120000+151493</f>
        <v>271493</v>
      </c>
      <c r="AA142" s="380" t="s">
        <v>1019</v>
      </c>
      <c r="AB142" s="327">
        <v>360000</v>
      </c>
      <c r="AC142" s="380" t="s">
        <v>968</v>
      </c>
      <c r="AL142" s="327">
        <f t="shared" si="38"/>
        <v>731493</v>
      </c>
      <c r="AO142" s="390">
        <f t="shared" si="35"/>
        <v>172</v>
      </c>
      <c r="AT142" s="398">
        <f t="shared" si="33"/>
        <v>200</v>
      </c>
      <c r="AU142" s="398"/>
      <c r="AV142" s="327"/>
      <c r="AW142" s="327">
        <v>200</v>
      </c>
      <c r="AX142" s="327"/>
      <c r="AY142" s="327"/>
      <c r="AZ142" s="327"/>
      <c r="BA142" s="327"/>
      <c r="BB142" s="327"/>
      <c r="BC142" s="327">
        <f t="shared" si="34"/>
        <v>731493</v>
      </c>
      <c r="BD142" s="479">
        <f>1%+0.25%</f>
        <v>0.0125</v>
      </c>
      <c r="BE142" s="327"/>
      <c r="BF142" s="327">
        <v>371493</v>
      </c>
      <c r="BG142" s="327">
        <v>360000</v>
      </c>
      <c r="BH142" s="327"/>
      <c r="BI142" s="327"/>
      <c r="BJ142" s="327"/>
      <c r="BK142" s="327"/>
      <c r="BL142" s="327"/>
      <c r="BM142" s="327"/>
      <c r="BN142" s="327"/>
      <c r="BO142" s="327"/>
      <c r="BP142" s="327"/>
      <c r="BQ142" s="327"/>
      <c r="BR142" s="327"/>
      <c r="BS142" s="327"/>
      <c r="BT142" s="327"/>
      <c r="BU142" s="327"/>
      <c r="BV142" s="327"/>
      <c r="BW142" s="327"/>
      <c r="BX142" s="172"/>
      <c r="BZ142" s="323" t="s">
        <v>496</v>
      </c>
      <c r="CA142" s="323" t="s">
        <v>506</v>
      </c>
    </row>
    <row r="143" s="323" customFormat="1" ht="68" customHeight="1" spans="1:79">
      <c r="A143" s="172">
        <v>136</v>
      </c>
      <c r="C143" s="323" t="s">
        <v>1019</v>
      </c>
      <c r="D143" s="323">
        <v>20230006852</v>
      </c>
      <c r="E143" s="833" t="s">
        <v>1134</v>
      </c>
      <c r="F143" s="338" t="s">
        <v>1021</v>
      </c>
      <c r="G143" s="517" t="s">
        <v>1022</v>
      </c>
      <c r="H143" s="135"/>
      <c r="I143" s="323" t="s">
        <v>492</v>
      </c>
      <c r="J143" s="323">
        <v>23</v>
      </c>
      <c r="K143" s="323">
        <v>41.69</v>
      </c>
      <c r="L143" s="323">
        <v>41.69</v>
      </c>
      <c r="M143" s="323">
        <v>17201.58</v>
      </c>
      <c r="N143" s="392">
        <v>717134</v>
      </c>
      <c r="O143" s="327">
        <v>17121.41</v>
      </c>
      <c r="T143" s="327"/>
      <c r="U143" s="380"/>
      <c r="V143" s="337"/>
      <c r="W143" s="337" t="s">
        <v>1135</v>
      </c>
      <c r="X143" s="327">
        <f>5000-5000+100000</f>
        <v>100000</v>
      </c>
      <c r="Y143" s="379" t="s">
        <v>1136</v>
      </c>
      <c r="Z143" s="327">
        <f>165537+1425</f>
        <v>166962</v>
      </c>
      <c r="AA143" s="380" t="s">
        <v>1025</v>
      </c>
      <c r="AB143" s="327">
        <v>100000</v>
      </c>
      <c r="AC143" s="380" t="s">
        <v>1019</v>
      </c>
      <c r="AD143" s="327">
        <v>350000</v>
      </c>
      <c r="AE143" s="380" t="s">
        <v>968</v>
      </c>
      <c r="AL143" s="327">
        <f t="shared" si="38"/>
        <v>716962</v>
      </c>
      <c r="AO143" s="390">
        <f t="shared" si="35"/>
        <v>172</v>
      </c>
      <c r="AT143" s="398">
        <f t="shared" si="33"/>
        <v>400</v>
      </c>
      <c r="AU143" s="398"/>
      <c r="AV143" s="327"/>
      <c r="AW143" s="327">
        <f>200+200</f>
        <v>400</v>
      </c>
      <c r="AX143" s="327"/>
      <c r="AY143" s="327"/>
      <c r="AZ143" s="327"/>
      <c r="BA143" s="327"/>
      <c r="BB143" s="327"/>
      <c r="BC143" s="327">
        <f t="shared" si="34"/>
        <v>716962</v>
      </c>
      <c r="BD143" s="479">
        <f>1%+0.25%</f>
        <v>0.0125</v>
      </c>
      <c r="BE143" s="327"/>
      <c r="BF143" s="327">
        <v>366962</v>
      </c>
      <c r="BG143" s="327">
        <v>350000</v>
      </c>
      <c r="BH143" s="327"/>
      <c r="BI143" s="327"/>
      <c r="BJ143" s="327"/>
      <c r="BK143" s="327"/>
      <c r="BL143" s="327"/>
      <c r="BM143" s="327"/>
      <c r="BN143" s="327"/>
      <c r="BO143" s="327"/>
      <c r="BP143" s="327"/>
      <c r="BQ143" s="327"/>
      <c r="BR143" s="327"/>
      <c r="BS143" s="327"/>
      <c r="BT143" s="327"/>
      <c r="BU143" s="327"/>
      <c r="BV143" s="327"/>
      <c r="BW143" s="327"/>
      <c r="BX143" s="172"/>
      <c r="BZ143" s="323" t="s">
        <v>496</v>
      </c>
      <c r="CA143" s="323" t="s">
        <v>506</v>
      </c>
    </row>
    <row r="144" s="323" customFormat="1" customHeight="1" spans="1:79">
      <c r="A144" s="172">
        <v>137</v>
      </c>
      <c r="C144" s="323" t="s">
        <v>1008</v>
      </c>
      <c r="D144" s="323">
        <v>20230006202</v>
      </c>
      <c r="E144" s="833" t="s">
        <v>1137</v>
      </c>
      <c r="F144" s="338" t="s">
        <v>1010</v>
      </c>
      <c r="G144" s="337" t="s">
        <v>1138</v>
      </c>
      <c r="H144" s="135"/>
      <c r="I144" s="323" t="s">
        <v>492</v>
      </c>
      <c r="J144" s="323">
        <v>24</v>
      </c>
      <c r="K144" s="323">
        <v>58.46</v>
      </c>
      <c r="L144" s="323">
        <v>58.46</v>
      </c>
      <c r="M144" s="323">
        <v>19436.81</v>
      </c>
      <c r="N144" s="392">
        <v>1136276</v>
      </c>
      <c r="O144" s="327">
        <v>19336.81</v>
      </c>
      <c r="Q144" s="323">
        <v>1042455.05</v>
      </c>
      <c r="R144" s="833" t="s">
        <v>1139</v>
      </c>
      <c r="S144" s="380">
        <v>45621</v>
      </c>
      <c r="T144" s="327"/>
      <c r="U144" s="379"/>
      <c r="V144" s="380"/>
      <c r="W144" s="379" t="s">
        <v>1140</v>
      </c>
      <c r="X144" s="327">
        <v>100000</v>
      </c>
      <c r="Y144" s="379" t="s">
        <v>1017</v>
      </c>
      <c r="Z144" s="327">
        <v>1036082</v>
      </c>
      <c r="AA144" s="379" t="s">
        <v>1018</v>
      </c>
      <c r="AB144" s="327"/>
      <c r="AC144" s="365"/>
      <c r="AL144" s="327">
        <f t="shared" si="38"/>
        <v>1136082</v>
      </c>
      <c r="AO144" s="390">
        <f t="shared" si="35"/>
        <v>194</v>
      </c>
      <c r="AT144" s="398">
        <f t="shared" si="33"/>
        <v>200</v>
      </c>
      <c r="AU144" s="398"/>
      <c r="AV144" s="327"/>
      <c r="AW144" s="327"/>
      <c r="AX144" s="327"/>
      <c r="AY144" s="327"/>
      <c r="AZ144" s="327">
        <v>200</v>
      </c>
      <c r="BA144" s="327"/>
      <c r="BB144" s="327"/>
      <c r="BC144" s="327">
        <f t="shared" si="34"/>
        <v>1136082</v>
      </c>
      <c r="BD144" s="479">
        <f t="shared" ref="BD144:BD146" si="40">1%+0.18%+0.25%</f>
        <v>0.0143</v>
      </c>
      <c r="BE144" s="327">
        <v>1136082</v>
      </c>
      <c r="BF144" s="327"/>
      <c r="BG144" s="327"/>
      <c r="BH144" s="327"/>
      <c r="BI144" s="327"/>
      <c r="BJ144" s="327"/>
      <c r="BK144" s="327"/>
      <c r="BL144" s="327"/>
      <c r="BM144" s="327"/>
      <c r="BN144" s="327"/>
      <c r="BO144" s="327"/>
      <c r="BP144" s="327"/>
      <c r="BQ144" s="327"/>
      <c r="BR144" s="327"/>
      <c r="BS144" s="327"/>
      <c r="BT144" s="327"/>
      <c r="BU144" s="327"/>
      <c r="BV144" s="327"/>
      <c r="BW144" s="327"/>
      <c r="BX144" s="172"/>
      <c r="BZ144" s="323" t="s">
        <v>496</v>
      </c>
      <c r="CA144" s="323" t="s">
        <v>506</v>
      </c>
    </row>
    <row r="145" s="323" customFormat="1" customHeight="1" spans="1:78">
      <c r="A145" s="172">
        <v>138</v>
      </c>
      <c r="C145" s="365" t="s">
        <v>88</v>
      </c>
      <c r="D145" s="323">
        <v>20240005476</v>
      </c>
      <c r="F145" s="338" t="s">
        <v>1141</v>
      </c>
      <c r="G145" s="323" t="s">
        <v>1142</v>
      </c>
      <c r="H145" s="135"/>
      <c r="I145" s="323" t="s">
        <v>585</v>
      </c>
      <c r="J145" s="323">
        <v>1</v>
      </c>
      <c r="K145" s="323">
        <v>351.53</v>
      </c>
      <c r="L145" s="323">
        <v>351.53</v>
      </c>
      <c r="M145" s="323">
        <v>9925</v>
      </c>
      <c r="N145" s="392">
        <v>3488935</v>
      </c>
      <c r="O145" s="327">
        <v>9439.37</v>
      </c>
      <c r="Q145" s="365">
        <v>3200857.8</v>
      </c>
      <c r="R145" s="833" t="s">
        <v>1143</v>
      </c>
      <c r="S145" s="524">
        <v>45590</v>
      </c>
      <c r="T145" s="327"/>
      <c r="U145" s="380"/>
      <c r="V145" s="380"/>
      <c r="W145" s="380"/>
      <c r="X145" s="327">
        <v>10000</v>
      </c>
      <c r="Y145" s="380" t="s">
        <v>1144</v>
      </c>
      <c r="Z145" s="327">
        <v>30000</v>
      </c>
      <c r="AA145" s="380" t="s">
        <v>1145</v>
      </c>
      <c r="AB145" s="327">
        <v>1720298</v>
      </c>
      <c r="AC145" s="380">
        <v>45538</v>
      </c>
      <c r="AD145" s="327">
        <v>900000</v>
      </c>
      <c r="AE145" s="380">
        <v>45563</v>
      </c>
      <c r="AF145" s="327">
        <v>860000</v>
      </c>
      <c r="AG145" s="380" t="s">
        <v>1146</v>
      </c>
      <c r="AH145" s="327"/>
      <c r="AI145" s="380"/>
      <c r="AL145" s="327">
        <f t="shared" si="38"/>
        <v>3520298</v>
      </c>
      <c r="AO145" s="390">
        <f t="shared" si="35"/>
        <v>-31363</v>
      </c>
      <c r="AT145" s="398">
        <f t="shared" si="33"/>
        <v>0</v>
      </c>
      <c r="AU145" s="398"/>
      <c r="AV145" s="327"/>
      <c r="AW145" s="327"/>
      <c r="AX145" s="327"/>
      <c r="AY145" s="327"/>
      <c r="AZ145" s="327"/>
      <c r="BA145" s="327"/>
      <c r="BB145" s="327"/>
      <c r="BC145" s="327">
        <f t="shared" si="34"/>
        <v>3488935</v>
      </c>
      <c r="BD145" s="479">
        <f>1%+0.18%+0.2%</f>
        <v>0.0138</v>
      </c>
      <c r="BE145" s="327"/>
      <c r="BF145" s="327"/>
      <c r="BG145" s="327"/>
      <c r="BH145" s="327"/>
      <c r="BI145" s="327"/>
      <c r="BJ145" s="327"/>
      <c r="BK145" s="327"/>
      <c r="BL145" s="327"/>
      <c r="BM145" s="327"/>
      <c r="BN145" s="327"/>
      <c r="BO145" s="327"/>
      <c r="BP145" s="327"/>
      <c r="BQ145" s="327"/>
      <c r="BR145" s="327"/>
      <c r="BS145" s="327"/>
      <c r="BT145" s="327">
        <v>3488935</v>
      </c>
      <c r="BU145" s="327"/>
      <c r="BV145" s="327"/>
      <c r="BW145" s="327"/>
      <c r="BX145" s="323"/>
      <c r="BZ145" s="323" t="s">
        <v>496</v>
      </c>
    </row>
    <row r="146" s="172" customFormat="1" ht="39" customHeight="1" spans="1:78">
      <c r="A146" s="172">
        <v>139</v>
      </c>
      <c r="F146" s="415"/>
      <c r="G146" s="336"/>
      <c r="H146" s="132"/>
      <c r="I146" s="172" t="s">
        <v>585</v>
      </c>
      <c r="J146" s="172">
        <v>2</v>
      </c>
      <c r="K146" s="172">
        <v>312.83</v>
      </c>
      <c r="N146" s="455"/>
      <c r="O146" s="358">
        <v>9439.46</v>
      </c>
      <c r="T146" s="358"/>
      <c r="U146" s="423"/>
      <c r="W146" s="336"/>
      <c r="X146" s="358"/>
      <c r="Y146" s="423"/>
      <c r="Z146" s="358"/>
      <c r="AA146" s="423"/>
      <c r="AC146" s="388"/>
      <c r="AL146" s="358">
        <f t="shared" si="38"/>
        <v>0</v>
      </c>
      <c r="AO146" s="513">
        <f t="shared" si="35"/>
        <v>0</v>
      </c>
      <c r="AT146" s="397">
        <f t="shared" si="33"/>
        <v>200</v>
      </c>
      <c r="AU146" s="397"/>
      <c r="AV146" s="358">
        <v>200</v>
      </c>
      <c r="AW146" s="358"/>
      <c r="AX146" s="358"/>
      <c r="AY146" s="358"/>
      <c r="AZ146" s="358"/>
      <c r="BA146" s="358"/>
      <c r="BB146" s="358"/>
      <c r="BC146" s="358">
        <f t="shared" si="34"/>
        <v>0</v>
      </c>
      <c r="BD146" s="543">
        <f t="shared" si="40"/>
        <v>0.0143</v>
      </c>
      <c r="BE146" s="358"/>
      <c r="BF146" s="358"/>
      <c r="BG146" s="358"/>
      <c r="BH146" s="358"/>
      <c r="BI146" s="358"/>
      <c r="BJ146" s="358"/>
      <c r="BK146" s="358"/>
      <c r="BL146" s="358"/>
      <c r="BM146" s="358"/>
      <c r="BN146" s="358"/>
      <c r="BO146" s="358"/>
      <c r="BP146" s="358"/>
      <c r="BQ146" s="358"/>
      <c r="BR146" s="358"/>
      <c r="BS146" s="358"/>
      <c r="BT146" s="358"/>
      <c r="BU146" s="358"/>
      <c r="BV146" s="358"/>
      <c r="BW146" s="358"/>
      <c r="BZ146" s="172" t="s">
        <v>496</v>
      </c>
    </row>
    <row r="147" s="172" customFormat="1" customHeight="1" spans="1:55">
      <c r="A147" s="172">
        <v>140</v>
      </c>
      <c r="F147" s="415"/>
      <c r="G147" s="481"/>
      <c r="H147" s="135"/>
      <c r="I147" s="172" t="s">
        <v>585</v>
      </c>
      <c r="J147" s="172">
        <v>3</v>
      </c>
      <c r="K147" s="172">
        <v>312.6</v>
      </c>
      <c r="N147" s="455"/>
      <c r="O147" s="358">
        <v>9994.46</v>
      </c>
      <c r="T147" s="358"/>
      <c r="U147" s="423"/>
      <c r="V147" s="423"/>
      <c r="W147" s="423"/>
      <c r="X147" s="358"/>
      <c r="Y147" s="423"/>
      <c r="Z147" s="358"/>
      <c r="AA147" s="388"/>
      <c r="AC147" s="388"/>
      <c r="AL147" s="358">
        <f t="shared" si="38"/>
        <v>0</v>
      </c>
      <c r="AO147" s="513">
        <f t="shared" si="35"/>
        <v>0</v>
      </c>
      <c r="AT147" s="397">
        <f t="shared" si="33"/>
        <v>0</v>
      </c>
      <c r="AU147" s="336"/>
      <c r="BC147" s="358">
        <f t="shared" si="34"/>
        <v>0</v>
      </c>
    </row>
    <row r="148" s="323" customFormat="1" customHeight="1" spans="1:75">
      <c r="A148" s="323">
        <v>141</v>
      </c>
      <c r="B148" s="323">
        <v>1</v>
      </c>
      <c r="F148" s="338" t="s">
        <v>1147</v>
      </c>
      <c r="G148" s="337" t="s">
        <v>1148</v>
      </c>
      <c r="H148" s="135"/>
      <c r="I148" s="323" t="s">
        <v>585</v>
      </c>
      <c r="J148" s="323">
        <v>4</v>
      </c>
      <c r="K148" s="323">
        <v>346.53</v>
      </c>
      <c r="L148" s="323">
        <v>346.53</v>
      </c>
      <c r="M148" s="323">
        <v>11000</v>
      </c>
      <c r="N148" s="392">
        <v>3811830</v>
      </c>
      <c r="O148" s="327">
        <v>11031</v>
      </c>
      <c r="P148" s="323" t="s">
        <v>593</v>
      </c>
      <c r="T148" s="327">
        <v>213551</v>
      </c>
      <c r="U148" s="380" t="s">
        <v>1149</v>
      </c>
      <c r="V148" s="342"/>
      <c r="W148" s="380" t="s">
        <v>825</v>
      </c>
      <c r="X148" s="327">
        <v>213551</v>
      </c>
      <c r="Y148" s="380" t="s">
        <v>1149</v>
      </c>
      <c r="Z148" s="327"/>
      <c r="AA148" s="365"/>
      <c r="AC148" s="365"/>
      <c r="AL148" s="327">
        <f t="shared" si="38"/>
        <v>213551</v>
      </c>
      <c r="AO148" s="513">
        <f t="shared" si="35"/>
        <v>3598279</v>
      </c>
      <c r="AP148" s="323">
        <v>17799966228</v>
      </c>
      <c r="AT148" s="398">
        <f t="shared" si="33"/>
        <v>200</v>
      </c>
      <c r="AU148" s="398"/>
      <c r="AV148" s="327"/>
      <c r="AW148" s="327"/>
      <c r="AX148" s="327"/>
      <c r="AY148" s="327">
        <v>200</v>
      </c>
      <c r="AZ148" s="327"/>
      <c r="BA148" s="327"/>
      <c r="BB148" s="327"/>
      <c r="BC148" s="327">
        <f t="shared" si="34"/>
        <v>0</v>
      </c>
      <c r="BD148" s="478">
        <f>1%+0.25%+0.03%</f>
        <v>0.0128</v>
      </c>
      <c r="BE148" s="327"/>
      <c r="BF148" s="327"/>
      <c r="BG148" s="327"/>
      <c r="BH148" s="327"/>
      <c r="BI148" s="327"/>
      <c r="BJ148" s="327"/>
      <c r="BK148" s="327"/>
      <c r="BL148" s="327"/>
      <c r="BM148" s="327"/>
      <c r="BN148" s="327"/>
      <c r="BO148" s="327"/>
      <c r="BP148" s="327"/>
      <c r="BQ148" s="327"/>
      <c r="BR148" s="327"/>
      <c r="BS148" s="327"/>
      <c r="BT148" s="327"/>
      <c r="BU148" s="327"/>
      <c r="BV148" s="327"/>
      <c r="BW148" s="327"/>
    </row>
    <row r="149" s="172" customFormat="1" customHeight="1" spans="6:55">
      <c r="F149" s="415"/>
      <c r="G149" s="336"/>
      <c r="H149" s="172">
        <v>19</v>
      </c>
      <c r="I149" s="172">
        <v>1</v>
      </c>
      <c r="J149" s="415"/>
      <c r="N149" s="455"/>
      <c r="O149" s="358"/>
      <c r="T149" s="358"/>
      <c r="U149" s="423"/>
      <c r="V149" s="423"/>
      <c r="W149" s="423"/>
      <c r="X149" s="358"/>
      <c r="Y149" s="423"/>
      <c r="Z149" s="358"/>
      <c r="AA149" s="423"/>
      <c r="AB149" s="358"/>
      <c r="AC149" s="423"/>
      <c r="AL149" s="358">
        <f t="shared" si="38"/>
        <v>0</v>
      </c>
      <c r="AO149" s="513"/>
      <c r="AT149" s="397">
        <f t="shared" si="33"/>
        <v>0</v>
      </c>
      <c r="AU149" s="336"/>
      <c r="BC149" s="358">
        <f t="shared" si="34"/>
        <v>0</v>
      </c>
    </row>
    <row r="150" s="172" customFormat="1" customHeight="1" spans="6:75">
      <c r="F150" s="415"/>
      <c r="H150" s="172">
        <v>19</v>
      </c>
      <c r="I150" s="172">
        <v>1</v>
      </c>
      <c r="J150" s="416"/>
      <c r="K150" s="172" t="s">
        <v>1150</v>
      </c>
      <c r="N150" s="455"/>
      <c r="O150" s="358"/>
      <c r="T150" s="358"/>
      <c r="U150" s="423"/>
      <c r="X150" s="358"/>
      <c r="Y150" s="423"/>
      <c r="Z150" s="358"/>
      <c r="AA150" s="388"/>
      <c r="AC150" s="388"/>
      <c r="AL150" s="358">
        <f t="shared" si="38"/>
        <v>0</v>
      </c>
      <c r="AO150" s="513"/>
      <c r="AT150" s="397">
        <f t="shared" si="33"/>
        <v>200</v>
      </c>
      <c r="AU150" s="397"/>
      <c r="AV150" s="358"/>
      <c r="AW150" s="358">
        <v>200</v>
      </c>
      <c r="AX150" s="358"/>
      <c r="AY150" s="358"/>
      <c r="AZ150" s="358"/>
      <c r="BA150" s="358"/>
      <c r="BB150" s="358"/>
      <c r="BC150" s="358">
        <f t="shared" si="34"/>
        <v>0</v>
      </c>
      <c r="BD150" s="543"/>
      <c r="BE150" s="358"/>
      <c r="BF150" s="358"/>
      <c r="BG150" s="358"/>
      <c r="BH150" s="358"/>
      <c r="BI150" s="358"/>
      <c r="BJ150" s="358"/>
      <c r="BK150" s="358"/>
      <c r="BL150" s="358"/>
      <c r="BM150" s="358"/>
      <c r="BN150" s="358"/>
      <c r="BO150" s="358"/>
      <c r="BP150" s="358"/>
      <c r="BQ150" s="358"/>
      <c r="BR150" s="358"/>
      <c r="BS150" s="358"/>
      <c r="BT150" s="358"/>
      <c r="BU150" s="358"/>
      <c r="BV150" s="358"/>
      <c r="BW150" s="358"/>
    </row>
    <row r="151" s="324" customFormat="1" customHeight="1" spans="1:82">
      <c r="A151" s="512" t="s">
        <v>59</v>
      </c>
      <c r="B151" s="324">
        <f>SUM(B4:B150)</f>
        <v>3</v>
      </c>
      <c r="F151" s="538"/>
      <c r="J151" s="538"/>
      <c r="K151" s="324">
        <f>SUM(K4:K150)</f>
        <v>15319.5</v>
      </c>
      <c r="L151" s="324">
        <f>SUM(L4:L150)</f>
        <v>10769.82</v>
      </c>
      <c r="N151" s="539">
        <f>SUM(N4:N150)</f>
        <v>165714080</v>
      </c>
      <c r="O151" s="492"/>
      <c r="Q151" s="540">
        <f>SUM(Q4:Q150)</f>
        <v>32417713.75</v>
      </c>
      <c r="T151" s="492">
        <f>SUM(T4:T150)</f>
        <v>4092229</v>
      </c>
      <c r="X151" s="492">
        <f>SUM(X4:X150)</f>
        <v>11409184</v>
      </c>
      <c r="Z151" s="492">
        <f t="shared" ref="Z151:AE151" si="41">SUM(Z4:Z150)</f>
        <v>44478155</v>
      </c>
      <c r="AB151" s="492">
        <f t="shared" si="41"/>
        <v>51423620</v>
      </c>
      <c r="AD151" s="324">
        <f t="shared" si="41"/>
        <v>25567246</v>
      </c>
      <c r="AF151" s="324">
        <f t="shared" ref="AF151:AJ151" si="42">SUM(AF4:AF150)</f>
        <v>8823788</v>
      </c>
      <c r="AH151" s="324">
        <f t="shared" si="42"/>
        <v>3996477</v>
      </c>
      <c r="AJ151" s="324">
        <f t="shared" si="42"/>
        <v>5765813</v>
      </c>
      <c r="AL151" s="492">
        <f>SUM(AL4:AL150)</f>
        <v>151464283</v>
      </c>
      <c r="AM151" s="324">
        <f>SUM(AM4:AM150)</f>
        <v>0</v>
      </c>
      <c r="AN151" s="324">
        <f>SUM(AN4:AN150)</f>
        <v>0</v>
      </c>
      <c r="AO151" s="542">
        <f>SUM(AO4:AO150)</f>
        <v>14249797</v>
      </c>
      <c r="AS151" s="324">
        <f t="shared" ref="AS151:BC151" si="43">SUM(AS4:AS150)</f>
        <v>0</v>
      </c>
      <c r="AT151" s="492">
        <f t="shared" si="43"/>
        <v>52000</v>
      </c>
      <c r="AU151" s="492">
        <f t="shared" si="43"/>
        <v>7400</v>
      </c>
      <c r="AV151" s="492">
        <f t="shared" si="43"/>
        <v>11400</v>
      </c>
      <c r="AW151" s="492">
        <f t="shared" si="43"/>
        <v>8200</v>
      </c>
      <c r="AX151" s="492">
        <f t="shared" si="43"/>
        <v>2600</v>
      </c>
      <c r="AY151" s="492">
        <f t="shared" si="43"/>
        <v>7600</v>
      </c>
      <c r="AZ151" s="492">
        <f t="shared" si="43"/>
        <v>2200</v>
      </c>
      <c r="BA151" s="492">
        <f t="shared" si="43"/>
        <v>9900</v>
      </c>
      <c r="BB151" s="492">
        <f t="shared" si="43"/>
        <v>2700</v>
      </c>
      <c r="BC151" s="492">
        <f t="shared" si="43"/>
        <v>141519753</v>
      </c>
      <c r="BD151" s="544"/>
      <c r="BE151" s="492">
        <f t="shared" ref="BE151:BV151" si="44">SUM(BE4:BE150)</f>
        <v>17730216</v>
      </c>
      <c r="BF151" s="492">
        <f t="shared" si="44"/>
        <v>4111918</v>
      </c>
      <c r="BG151" s="492">
        <f t="shared" si="44"/>
        <v>4770516</v>
      </c>
      <c r="BH151" s="492">
        <f t="shared" si="44"/>
        <v>13604163</v>
      </c>
      <c r="BI151" s="492">
        <f t="shared" si="44"/>
        <v>3089045</v>
      </c>
      <c r="BJ151" s="492">
        <f t="shared" si="44"/>
        <v>8641180</v>
      </c>
      <c r="BK151" s="492">
        <f t="shared" si="44"/>
        <v>5030501</v>
      </c>
      <c r="BL151" s="492">
        <f t="shared" si="44"/>
        <v>2121800</v>
      </c>
      <c r="BM151" s="492">
        <f t="shared" si="44"/>
        <v>5955540</v>
      </c>
      <c r="BN151" s="492">
        <f t="shared" si="44"/>
        <v>4557422</v>
      </c>
      <c r="BO151" s="492">
        <f t="shared" si="44"/>
        <v>7398416</v>
      </c>
      <c r="BP151" s="492">
        <f t="shared" si="44"/>
        <v>4449700</v>
      </c>
      <c r="BQ151" s="492">
        <f t="shared" si="44"/>
        <v>10016139</v>
      </c>
      <c r="BR151" s="492">
        <f t="shared" si="44"/>
        <v>6940511</v>
      </c>
      <c r="BS151" s="492">
        <f t="shared" si="44"/>
        <v>13722598</v>
      </c>
      <c r="BT151" s="492">
        <f t="shared" si="44"/>
        <v>9258296</v>
      </c>
      <c r="BU151" s="492">
        <f t="shared" si="44"/>
        <v>15515679</v>
      </c>
      <c r="BV151" s="492">
        <f t="shared" si="44"/>
        <v>4606113</v>
      </c>
      <c r="BW151" s="492"/>
      <c r="BX151" s="492">
        <f>SUM(BX4:BX150)</f>
        <v>59562.0873</v>
      </c>
      <c r="CC151" s="492">
        <f>SUM(CC4:CC150)</f>
        <v>0</v>
      </c>
      <c r="CD151" s="492">
        <f>SUM(CD4:CD150)</f>
        <v>0</v>
      </c>
    </row>
    <row r="152" s="172" customFormat="1" customHeight="1" spans="6:75">
      <c r="F152" s="415"/>
      <c r="J152" s="415"/>
      <c r="N152" s="455"/>
      <c r="O152" s="358"/>
      <c r="P152" s="513"/>
      <c r="Q152" s="359"/>
      <c r="R152" s="513"/>
      <c r="S152" s="513" t="s">
        <v>1151</v>
      </c>
      <c r="T152" s="358"/>
      <c r="X152" s="358"/>
      <c r="Z152" s="358"/>
      <c r="AA152" s="388"/>
      <c r="AC152" s="388"/>
      <c r="AL152" s="358"/>
      <c r="AO152" s="513"/>
      <c r="AT152" s="358"/>
      <c r="AU152" s="358"/>
      <c r="AV152" s="358"/>
      <c r="AW152" s="358"/>
      <c r="AX152" s="358"/>
      <c r="AY152" s="358"/>
      <c r="AZ152" s="358"/>
      <c r="BA152" s="358"/>
      <c r="BB152" s="358"/>
      <c r="BC152" s="358"/>
      <c r="BD152" s="543"/>
      <c r="BE152" s="358"/>
      <c r="BF152" s="358"/>
      <c r="BG152" s="358"/>
      <c r="BH152" s="358"/>
      <c r="BI152" s="358"/>
      <c r="BJ152" s="358"/>
      <c r="BK152" s="358"/>
      <c r="BL152" s="358"/>
      <c r="BM152" s="358"/>
      <c r="BN152" s="358"/>
      <c r="BO152" s="358"/>
      <c r="BP152" s="358"/>
      <c r="BQ152" s="358"/>
      <c r="BR152" s="358"/>
      <c r="BS152" s="358"/>
      <c r="BT152" s="358"/>
      <c r="BU152" s="358"/>
      <c r="BV152" s="358"/>
      <c r="BW152" s="358"/>
    </row>
    <row r="153" s="172" customFormat="1" customHeight="1" spans="6:75">
      <c r="F153" s="415"/>
      <c r="J153" s="415"/>
      <c r="N153" s="455"/>
      <c r="O153" s="358"/>
      <c r="P153" s="513"/>
      <c r="Q153" s="513"/>
      <c r="R153" s="513"/>
      <c r="S153" s="513" t="s">
        <v>1152</v>
      </c>
      <c r="T153" s="358">
        <f>T151-T152</f>
        <v>4092229</v>
      </c>
      <c r="X153" s="358"/>
      <c r="Z153" s="358"/>
      <c r="AA153" s="388"/>
      <c r="AC153" s="388"/>
      <c r="AL153" s="358"/>
      <c r="AO153" s="513"/>
      <c r="AT153" s="358"/>
      <c r="AU153" s="358"/>
      <c r="AV153" s="358"/>
      <c r="AW153" s="358"/>
      <c r="AX153" s="358"/>
      <c r="AY153" s="358"/>
      <c r="AZ153" s="358"/>
      <c r="BA153" s="358"/>
      <c r="BB153" s="358"/>
      <c r="BC153" s="358"/>
      <c r="BD153" s="543"/>
      <c r="BE153" s="358"/>
      <c r="BF153" s="358"/>
      <c r="BG153" s="358"/>
      <c r="BH153" s="358"/>
      <c r="BI153" s="358"/>
      <c r="BJ153" s="358"/>
      <c r="BK153" s="358"/>
      <c r="BL153" s="358"/>
      <c r="BM153" s="358"/>
      <c r="BN153" s="358"/>
      <c r="BO153" s="358"/>
      <c r="BP153" s="358"/>
      <c r="BQ153" s="358"/>
      <c r="BR153" s="358"/>
      <c r="BS153" s="358"/>
      <c r="BT153" s="358"/>
      <c r="BU153" s="358"/>
      <c r="BV153" s="358"/>
      <c r="BW153" s="358"/>
    </row>
    <row r="154" s="172" customFormat="1" customHeight="1" spans="6:75">
      <c r="F154" s="415"/>
      <c r="J154" s="415"/>
      <c r="K154" s="172" t="s">
        <v>1153</v>
      </c>
      <c r="N154" s="455"/>
      <c r="O154" s="358"/>
      <c r="P154" s="513"/>
      <c r="Q154" s="513"/>
      <c r="R154" s="513"/>
      <c r="S154" s="172" t="s">
        <v>63</v>
      </c>
      <c r="T154" s="455"/>
      <c r="X154" s="441"/>
      <c r="Z154" s="358"/>
      <c r="AA154" s="388"/>
      <c r="AC154" s="388"/>
      <c r="AL154" s="358"/>
      <c r="AO154" s="513"/>
      <c r="AT154" s="358"/>
      <c r="AU154" s="358"/>
      <c r="AV154" s="358"/>
      <c r="AW154" s="358"/>
      <c r="AX154" s="358"/>
      <c r="AY154" s="358"/>
      <c r="AZ154" s="358"/>
      <c r="BA154" s="358"/>
      <c r="BB154" s="358"/>
      <c r="BC154" s="358"/>
      <c r="BD154" s="543"/>
      <c r="BE154" s="358"/>
      <c r="BF154" s="358"/>
      <c r="BG154" s="358"/>
      <c r="BH154" s="358"/>
      <c r="BI154" s="358"/>
      <c r="BJ154" s="358"/>
      <c r="BK154" s="358"/>
      <c r="BL154" s="358"/>
      <c r="BM154" s="358"/>
      <c r="BN154" s="358"/>
      <c r="BO154" s="358"/>
      <c r="BP154" s="358"/>
      <c r="BQ154" s="358"/>
      <c r="BR154" s="358"/>
      <c r="BS154" s="358"/>
      <c r="BT154" s="358"/>
      <c r="BU154" s="358"/>
      <c r="BV154" s="358"/>
      <c r="BW154" s="358"/>
    </row>
    <row r="155" s="172" customFormat="1" customHeight="1" spans="6:75">
      <c r="F155" s="415"/>
      <c r="J155" s="415"/>
      <c r="N155" s="455"/>
      <c r="O155" s="358"/>
      <c r="P155" s="513"/>
      <c r="Q155" s="513"/>
      <c r="R155" s="513"/>
      <c r="S155" s="358"/>
      <c r="T155" s="172">
        <f>T153+T154</f>
        <v>4092229</v>
      </c>
      <c r="X155" s="358"/>
      <c r="Z155" s="358"/>
      <c r="AA155" s="388"/>
      <c r="AB155" s="358"/>
      <c r="AC155" s="388"/>
      <c r="AL155" s="358"/>
      <c r="AO155" s="513"/>
      <c r="AT155" s="358"/>
      <c r="AU155" s="358"/>
      <c r="AV155" s="358"/>
      <c r="AW155" s="358"/>
      <c r="AX155" s="358"/>
      <c r="AY155" s="358"/>
      <c r="AZ155" s="358"/>
      <c r="BA155" s="358"/>
      <c r="BB155" s="358"/>
      <c r="BC155" s="358"/>
      <c r="BD155" s="543"/>
      <c r="BE155" s="358"/>
      <c r="BF155" s="358"/>
      <c r="BG155" s="358"/>
      <c r="BH155" s="358"/>
      <c r="BI155" s="358"/>
      <c r="BJ155" s="358"/>
      <c r="BK155" s="358"/>
      <c r="BL155" s="358"/>
      <c r="BM155" s="358"/>
      <c r="BN155" s="358"/>
      <c r="BO155" s="358"/>
      <c r="BP155" s="358"/>
      <c r="BQ155" s="358"/>
      <c r="BR155" s="358"/>
      <c r="BS155" s="358"/>
      <c r="BT155" s="358"/>
      <c r="BU155" s="358"/>
      <c r="BV155" s="358"/>
      <c r="BW155" s="358"/>
    </row>
    <row r="156" customHeight="1" spans="19:56">
      <c r="S156" s="358"/>
      <c r="T156" s="172"/>
      <c r="BD156" s="543"/>
    </row>
    <row r="157" customHeight="1" spans="19:56">
      <c r="S157" s="358"/>
      <c r="T157" s="172"/>
      <c r="U157" s="541"/>
      <c r="BD157" s="543"/>
    </row>
    <row r="158" customHeight="1" spans="19:56">
      <c r="S158" s="358"/>
      <c r="T158" s="172"/>
      <c r="BD158" s="543"/>
    </row>
    <row r="159" customHeight="1" spans="19:20">
      <c r="S159" s="358"/>
      <c r="T159" s="172"/>
    </row>
    <row r="160" customHeight="1" spans="19:20">
      <c r="S160" s="358"/>
      <c r="T160" s="172"/>
    </row>
    <row r="161" customHeight="1" spans="19:20">
      <c r="S161" s="358"/>
      <c r="T161" s="172"/>
    </row>
    <row r="162" customHeight="1" spans="19:20">
      <c r="S162" s="358"/>
      <c r="T162" s="172"/>
    </row>
    <row r="163" customHeight="1" spans="19:20">
      <c r="S163" s="358"/>
      <c r="T163" s="172"/>
    </row>
    <row r="164" customHeight="1" spans="19:20">
      <c r="S164" s="358"/>
      <c r="T164" s="172"/>
    </row>
    <row r="165" customHeight="1" spans="19:20">
      <c r="S165" s="358"/>
      <c r="T165" s="172"/>
    </row>
    <row r="166" customHeight="1" spans="19:20">
      <c r="S166" s="358"/>
      <c r="T166" s="172"/>
    </row>
  </sheetData>
  <autoFilter xmlns:etc="http://www.wps.cn/officeDocument/2017/etCustomData" ref="A3:CE155" etc:filterBottomFollowUsedRange="0">
    <extLst/>
  </autoFilter>
  <mergeCells count="7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X2:BX3"/>
    <mergeCell ref="BZ2:BZ3"/>
    <mergeCell ref="CA2:CA3"/>
    <mergeCell ref="CB2:CB3"/>
    <mergeCell ref="CC2:CC3"/>
    <mergeCell ref="CD2:CD3"/>
    <mergeCell ref="CE2:CE3"/>
  </mergeCells>
  <pageMargins left="0.275" right="0.196527777777778" top="0.156944444444444" bottom="0.0388888888888889" header="0.236111111111111" footer="0.0784722222222222"/>
  <pageSetup paperSize="8" scale="70" orientation="landscape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 t="e">
        <v>#N/A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 t="e">
        <v>#N/A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1154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 t="e">
        <v>#N/A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03" t="s">
        <v>1167</v>
      </c>
    </row>
    <row r="2" ht="15" spans="1:1">
      <c r="A2" s="503" t="s">
        <v>1155</v>
      </c>
    </row>
    <row r="3" ht="15" spans="1:3">
      <c r="A3" s="504" t="s">
        <v>1156</v>
      </c>
      <c r="C3" s="505" t="s">
        <v>1157</v>
      </c>
    </row>
    <row r="4" spans="1:1">
      <c r="A4" s="504">
        <v>3</v>
      </c>
    </row>
    <row r="6" ht="15"/>
    <row r="7" spans="1:1">
      <c r="A7" s="506" t="s">
        <v>1158</v>
      </c>
    </row>
    <row r="8" spans="1:1">
      <c r="A8" s="507" t="s">
        <v>1159</v>
      </c>
    </row>
    <row r="9" spans="1:1">
      <c r="A9" s="508" t="s">
        <v>1160</v>
      </c>
    </row>
    <row r="10" spans="1:1">
      <c r="A10" s="507" t="s">
        <v>1161</v>
      </c>
    </row>
    <row r="11" ht="15" spans="1:1">
      <c r="A11" s="509" t="s">
        <v>1162</v>
      </c>
    </row>
    <row r="13" ht="15"/>
    <row r="14" ht="15" spans="1:1">
      <c r="A14" s="505" t="s">
        <v>1163</v>
      </c>
    </row>
    <row r="16" ht="15"/>
    <row r="17" ht="15" spans="3:3">
      <c r="C17" s="505" t="s">
        <v>1164</v>
      </c>
    </row>
    <row r="20" spans="1:1">
      <c r="A20" s="510" t="s">
        <v>1165</v>
      </c>
    </row>
    <row r="26" ht="15" spans="3:3">
      <c r="C26" s="511" t="s">
        <v>1166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55"/>
  <sheetViews>
    <sheetView workbookViewId="0">
      <pane ySplit="3" topLeftCell="A328" activePane="bottomLeft" state="frozen"/>
      <selection/>
      <selection pane="bottomLeft" activeCell="J338" sqref="J338"/>
    </sheetView>
  </sheetViews>
  <sheetFormatPr defaultColWidth="9" defaultRowHeight="34" customHeight="1"/>
  <cols>
    <col min="1" max="2" width="6.55833333333333" style="323" customWidth="1"/>
    <col min="3" max="3" width="16.4083333333333" style="323" customWidth="1"/>
    <col min="4" max="4" width="16.025" style="323" customWidth="1"/>
    <col min="5" max="5" width="15.5" style="323" customWidth="1"/>
    <col min="6" max="6" width="25.6166666666667" style="323" customWidth="1"/>
    <col min="7" max="7" width="26.75" style="323" customWidth="1"/>
    <col min="8" max="8" width="13.25" style="323" customWidth="1"/>
    <col min="9" max="9" width="13.125" style="323" customWidth="1"/>
    <col min="10" max="10" width="11.3" style="323" customWidth="1"/>
    <col min="11" max="11" width="12.75" style="323" customWidth="1"/>
    <col min="12" max="12" width="10" style="323" customWidth="1"/>
    <col min="13" max="13" width="20.25" style="326" customWidth="1"/>
    <col min="14" max="14" width="13.125" style="327" customWidth="1"/>
    <col min="15" max="15" width="16.125" style="328" customWidth="1"/>
    <col min="16" max="16" width="19.125" style="329" customWidth="1"/>
    <col min="17" max="17" width="13.5" style="329" customWidth="1"/>
    <col min="18" max="18" width="18.75" style="327" customWidth="1"/>
    <col min="19" max="19" width="14.625" style="330" customWidth="1"/>
    <col min="20" max="20" width="22.1833333333333" style="331" customWidth="1"/>
    <col min="21" max="21" width="24.85" style="330" customWidth="1"/>
    <col min="22" max="22" width="20.1333333333333" style="327" customWidth="1"/>
    <col min="23" max="23" width="13.4333333333333" style="323" customWidth="1"/>
    <col min="24" max="24" width="18.0583333333333" style="327" customWidth="1"/>
    <col min="25" max="25" width="16.5" style="323" customWidth="1"/>
    <col min="26" max="26" width="18.25" style="327" customWidth="1"/>
    <col min="27" max="27" width="15.0166666666667" style="323" customWidth="1"/>
    <col min="28" max="28" width="17.375" style="327" customWidth="1"/>
    <col min="29" max="29" width="14.25" style="323" customWidth="1"/>
    <col min="30" max="30" width="17.5" style="323" customWidth="1"/>
    <col min="31" max="31" width="14.25" style="323" customWidth="1"/>
    <col min="32" max="32" width="17.875" style="323" customWidth="1"/>
    <col min="33" max="33" width="14.25" style="323" customWidth="1"/>
    <col min="34" max="34" width="18.875" style="327" customWidth="1"/>
    <col min="35" max="35" width="15.4" style="323" customWidth="1"/>
    <col min="36" max="36" width="13.6" style="323" customWidth="1"/>
    <col min="37" max="37" width="20.4666666666667" style="328" customWidth="1"/>
    <col min="38" max="38" width="26" style="323" customWidth="1"/>
    <col min="39" max="39" width="24.375" style="323" customWidth="1"/>
    <col min="40" max="42" width="17.9416666666667" style="323" customWidth="1"/>
    <col min="43" max="43" width="16.025" style="332" customWidth="1"/>
    <col min="44" max="44" width="19.25" style="327" customWidth="1"/>
    <col min="45" max="45" width="15.125" style="327" customWidth="1"/>
    <col min="46" max="46" width="15.75" style="327" customWidth="1"/>
    <col min="47" max="47" width="17.75" style="327" customWidth="1"/>
    <col min="48" max="48" width="19.5333333333333" style="327" customWidth="1"/>
    <col min="49" max="49" width="17" style="327" customWidth="1"/>
    <col min="50" max="50" width="16.75" style="327" customWidth="1"/>
    <col min="51" max="51" width="18" style="184" customWidth="1"/>
    <col min="52" max="52" width="18.125" style="135" customWidth="1"/>
    <col min="53" max="57" width="18.125" style="327" customWidth="1"/>
    <col min="58" max="70" width="16.7166666666667" style="323" customWidth="1"/>
    <col min="71" max="71" width="14.125" style="323" customWidth="1"/>
    <col min="72" max="72" width="11.5" style="323" customWidth="1"/>
    <col min="73" max="73" width="9.6" style="323" customWidth="1"/>
    <col min="74" max="75" width="9" style="323" customWidth="1"/>
    <col min="76" max="76" width="7.65833333333333" style="323" customWidth="1"/>
    <col min="77" max="77" width="9" style="323"/>
    <col min="78" max="79" width="9.375" style="323"/>
    <col min="80" max="84" width="9" style="323"/>
    <col min="85" max="86" width="9" style="134"/>
    <col min="87" max="16384" width="9" style="134" hidden="1" customWidth="1"/>
  </cols>
  <sheetData>
    <row r="1" s="321" customFormat="1" customHeight="1" spans="1:69">
      <c r="A1" s="321" t="s">
        <v>1168</v>
      </c>
      <c r="H1" s="333"/>
      <c r="J1" s="345"/>
      <c r="M1" s="346"/>
      <c r="N1" s="347"/>
      <c r="O1" s="348"/>
      <c r="P1" s="329"/>
      <c r="Q1" s="329"/>
      <c r="R1" s="347"/>
      <c r="S1" s="370"/>
      <c r="T1" s="371"/>
      <c r="U1" s="370"/>
      <c r="V1" s="347"/>
      <c r="X1" s="347"/>
      <c r="Y1" s="385"/>
      <c r="Z1" s="347"/>
      <c r="AB1" s="347"/>
      <c r="AH1" s="347"/>
      <c r="AI1" s="333"/>
      <c r="AJ1" s="333"/>
      <c r="AK1" s="348"/>
      <c r="AQ1" s="394"/>
      <c r="AR1" s="347"/>
      <c r="AS1" s="347"/>
      <c r="AT1" s="347"/>
      <c r="AU1" s="347"/>
      <c r="AV1" s="347"/>
      <c r="AW1" s="347"/>
      <c r="AX1" s="347"/>
      <c r="AY1" s="399"/>
      <c r="AZ1" s="400"/>
      <c r="BA1" s="347"/>
      <c r="BB1" s="347"/>
      <c r="BC1" s="347"/>
      <c r="BD1" s="347"/>
      <c r="BE1" s="347"/>
      <c r="BG1" s="407"/>
      <c r="BH1" s="407"/>
      <c r="BI1" s="407"/>
      <c r="BJ1" s="407"/>
      <c r="BK1" s="407"/>
      <c r="BL1" s="407"/>
      <c r="BM1" s="407"/>
      <c r="BN1" s="407"/>
      <c r="BO1" s="407"/>
      <c r="BP1" s="407"/>
      <c r="BQ1" s="407"/>
    </row>
    <row r="2" s="322" customFormat="1" ht="24" customHeight="1" spans="1:75">
      <c r="A2" s="322" t="s">
        <v>21</v>
      </c>
      <c r="B2" s="322" t="s">
        <v>422</v>
      </c>
      <c r="C2" s="334" t="s">
        <v>423</v>
      </c>
      <c r="D2" s="322" t="s">
        <v>424</v>
      </c>
      <c r="F2" s="322" t="s">
        <v>426</v>
      </c>
      <c r="G2" s="322" t="s">
        <v>427</v>
      </c>
      <c r="H2" s="335" t="s">
        <v>425</v>
      </c>
      <c r="I2" s="322" t="s">
        <v>429</v>
      </c>
      <c r="J2" s="349" t="s">
        <v>1169</v>
      </c>
      <c r="K2" s="322" t="s">
        <v>431</v>
      </c>
      <c r="L2" s="322" t="s">
        <v>432</v>
      </c>
      <c r="M2" s="350" t="s">
        <v>433</v>
      </c>
      <c r="N2" s="351" t="s">
        <v>1170</v>
      </c>
      <c r="O2" s="352" t="s">
        <v>436</v>
      </c>
      <c r="P2" s="353"/>
      <c r="Q2" s="353"/>
      <c r="R2" s="372" t="s">
        <v>437</v>
      </c>
      <c r="S2" s="373" t="s">
        <v>438</v>
      </c>
      <c r="T2" s="374" t="s">
        <v>439</v>
      </c>
      <c r="U2" s="374" t="s">
        <v>440</v>
      </c>
      <c r="V2" s="375" t="s">
        <v>441</v>
      </c>
      <c r="W2" s="375"/>
      <c r="X2" s="375"/>
      <c r="Y2" s="375"/>
      <c r="Z2" s="375"/>
      <c r="AA2" s="375"/>
      <c r="AB2" s="375"/>
      <c r="AC2" s="375"/>
      <c r="AD2" s="375"/>
      <c r="AE2" s="375"/>
      <c r="AF2" s="375"/>
      <c r="AG2" s="375"/>
      <c r="AH2" s="376" t="s">
        <v>442</v>
      </c>
      <c r="AI2" s="334" t="s">
        <v>39</v>
      </c>
      <c r="AJ2" s="322" t="s">
        <v>444</v>
      </c>
      <c r="AK2" s="355" t="s">
        <v>42</v>
      </c>
      <c r="AL2" s="322" t="s">
        <v>445</v>
      </c>
      <c r="AM2" s="322" t="s">
        <v>30</v>
      </c>
      <c r="AN2" s="322" t="s">
        <v>1171</v>
      </c>
      <c r="AQ2" s="395" t="s">
        <v>456</v>
      </c>
      <c r="AR2" s="372" t="s">
        <v>455</v>
      </c>
      <c r="AS2" s="351" t="s">
        <v>1172</v>
      </c>
      <c r="AT2" s="351" t="s">
        <v>1173</v>
      </c>
      <c r="AU2" s="351" t="s">
        <v>1174</v>
      </c>
      <c r="AV2" s="351" t="s">
        <v>1175</v>
      </c>
      <c r="AW2" s="351" t="s">
        <v>1176</v>
      </c>
      <c r="AX2" s="351" t="s">
        <v>1177</v>
      </c>
      <c r="AY2" s="351" t="s">
        <v>1178</v>
      </c>
      <c r="AZ2" s="351" t="s">
        <v>1179</v>
      </c>
      <c r="BA2" s="351" t="s">
        <v>1180</v>
      </c>
      <c r="BB2" s="351" t="s">
        <v>1181</v>
      </c>
      <c r="BC2" s="351" t="s">
        <v>1182</v>
      </c>
      <c r="BD2" s="351" t="s">
        <v>1183</v>
      </c>
      <c r="BE2" s="351" t="s">
        <v>1184</v>
      </c>
      <c r="BF2" s="351" t="s">
        <v>1185</v>
      </c>
      <c r="BG2" s="408" t="s">
        <v>1186</v>
      </c>
      <c r="BH2" s="408" t="s">
        <v>1187</v>
      </c>
      <c r="BI2" s="408" t="s">
        <v>1188</v>
      </c>
      <c r="BJ2" s="408" t="s">
        <v>1189</v>
      </c>
      <c r="BK2" s="408" t="s">
        <v>1190</v>
      </c>
      <c r="BL2" s="408" t="s">
        <v>1191</v>
      </c>
      <c r="BM2" s="408" t="s">
        <v>1192</v>
      </c>
      <c r="BN2" s="408" t="s">
        <v>1193</v>
      </c>
      <c r="BO2" s="408" t="s">
        <v>1194</v>
      </c>
      <c r="BP2" s="408" t="s">
        <v>1195</v>
      </c>
      <c r="BQ2" s="408" t="s">
        <v>1196</v>
      </c>
      <c r="BR2" s="351"/>
      <c r="BW2" s="322" t="s">
        <v>149</v>
      </c>
    </row>
    <row r="3" s="322" customFormat="1" ht="25" customHeight="1" spans="3:79">
      <c r="C3" s="334"/>
      <c r="E3" s="322" t="s">
        <v>1197</v>
      </c>
      <c r="H3" s="335"/>
      <c r="J3" s="354"/>
      <c r="M3" s="350"/>
      <c r="N3" s="351"/>
      <c r="O3" s="355" t="s">
        <v>478</v>
      </c>
      <c r="P3" s="356" t="s">
        <v>1198</v>
      </c>
      <c r="Q3" s="356" t="s">
        <v>1199</v>
      </c>
      <c r="R3" s="376"/>
      <c r="S3" s="373"/>
      <c r="T3" s="374"/>
      <c r="U3" s="374"/>
      <c r="V3" s="376" t="s">
        <v>480</v>
      </c>
      <c r="W3" s="322" t="s">
        <v>481</v>
      </c>
      <c r="X3" s="376" t="s">
        <v>482</v>
      </c>
      <c r="Y3" s="386" t="s">
        <v>481</v>
      </c>
      <c r="Z3" s="376" t="s">
        <v>483</v>
      </c>
      <c r="AA3" s="354" t="s">
        <v>481</v>
      </c>
      <c r="AB3" s="376" t="s">
        <v>484</v>
      </c>
      <c r="AC3" s="322" t="s">
        <v>481</v>
      </c>
      <c r="AD3" s="322" t="s">
        <v>485</v>
      </c>
      <c r="AE3" s="322" t="s">
        <v>481</v>
      </c>
      <c r="AF3" s="322" t="s">
        <v>486</v>
      </c>
      <c r="AG3" s="322" t="s">
        <v>481</v>
      </c>
      <c r="AH3" s="376"/>
      <c r="AK3" s="355"/>
      <c r="AQ3" s="395"/>
      <c r="AR3" s="372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351"/>
      <c r="BS3" s="322" t="s">
        <v>475</v>
      </c>
      <c r="BT3" s="409"/>
      <c r="BU3" s="409"/>
      <c r="BV3" s="409"/>
      <c r="BY3" s="412"/>
      <c r="BZ3" s="412"/>
      <c r="CA3" s="412"/>
    </row>
    <row r="4" s="172" customFormat="1" customHeight="1" spans="3:85">
      <c r="C4" s="336"/>
      <c r="I4" s="172" t="s">
        <v>1200</v>
      </c>
      <c r="J4" s="172">
        <v>4.49</v>
      </c>
      <c r="M4" s="357"/>
      <c r="N4" s="358"/>
      <c r="O4" s="359"/>
      <c r="P4" s="360"/>
      <c r="Q4" s="360"/>
      <c r="R4" s="358"/>
      <c r="S4" s="377"/>
      <c r="T4" s="377"/>
      <c r="U4" s="377"/>
      <c r="V4" s="358"/>
      <c r="X4" s="358"/>
      <c r="Y4" s="387"/>
      <c r="Z4" s="358"/>
      <c r="AA4" s="388"/>
      <c r="AB4" s="358"/>
      <c r="AH4" s="358">
        <f>V4+X4+Z4+AB4+AD4+AF4</f>
        <v>0</v>
      </c>
      <c r="AK4" s="359">
        <f>M4-AH4</f>
        <v>0</v>
      </c>
      <c r="AQ4" s="396">
        <v>0.02</v>
      </c>
      <c r="AR4" s="397">
        <f>SUM(AU4:BR4)</f>
        <v>0</v>
      </c>
      <c r="AS4" s="358"/>
      <c r="AT4" s="358"/>
      <c r="AU4" s="358"/>
      <c r="AV4" s="358"/>
      <c r="AW4" s="358"/>
      <c r="AX4" s="358"/>
      <c r="AY4" s="215"/>
      <c r="AZ4" s="132"/>
      <c r="BA4" s="358"/>
      <c r="BB4" s="358"/>
      <c r="BC4" s="358"/>
      <c r="BD4" s="358"/>
      <c r="BE4" s="358"/>
      <c r="BT4" s="410"/>
      <c r="BU4" s="410"/>
      <c r="BV4" s="410"/>
      <c r="CG4" s="137"/>
    </row>
    <row r="5" s="172" customFormat="1" customHeight="1" spans="3:85">
      <c r="C5" s="336"/>
      <c r="G5" s="172" t="s">
        <v>1201</v>
      </c>
      <c r="I5" s="172" t="s">
        <v>1202</v>
      </c>
      <c r="J5" s="172">
        <v>46.24</v>
      </c>
      <c r="L5" s="172">
        <f>M5/J5</f>
        <v>1730.10380622837</v>
      </c>
      <c r="M5" s="357">
        <v>80000</v>
      </c>
      <c r="N5" s="358"/>
      <c r="O5" s="359"/>
      <c r="P5" s="360"/>
      <c r="Q5" s="360"/>
      <c r="R5" s="358"/>
      <c r="S5" s="377"/>
      <c r="T5" s="377"/>
      <c r="U5" s="377"/>
      <c r="V5" s="358">
        <v>2000</v>
      </c>
      <c r="W5" s="377">
        <v>45542</v>
      </c>
      <c r="X5" s="358">
        <v>78000</v>
      </c>
      <c r="Y5" s="377">
        <v>45573</v>
      </c>
      <c r="Z5" s="358"/>
      <c r="AA5" s="388"/>
      <c r="AB5" s="358"/>
      <c r="AH5" s="358">
        <f t="shared" ref="AH5:AH34" si="0">V5+X5+Z5+AB5+AD5+AF5</f>
        <v>80000</v>
      </c>
      <c r="AK5" s="359">
        <f t="shared" ref="AK5:AK23" si="1">M5-AH5</f>
        <v>0</v>
      </c>
      <c r="AQ5" s="396">
        <v>0.02</v>
      </c>
      <c r="AR5" s="397">
        <f t="shared" ref="AR5:AR68" si="2">SUM(AU5:BR5)</f>
        <v>80000</v>
      </c>
      <c r="AS5" s="358"/>
      <c r="AT5" s="358"/>
      <c r="AU5" s="358"/>
      <c r="AV5" s="358"/>
      <c r="AW5" s="358"/>
      <c r="AX5" s="358"/>
      <c r="AY5" s="215"/>
      <c r="AZ5" s="132"/>
      <c r="BA5" s="358"/>
      <c r="BB5" s="358"/>
      <c r="BC5" s="358"/>
      <c r="BD5" s="358"/>
      <c r="BE5" s="358"/>
      <c r="BP5" s="172">
        <v>80000</v>
      </c>
      <c r="CG5" s="137"/>
    </row>
    <row r="6" s="172" customFormat="1" customHeight="1" spans="3:85">
      <c r="C6" s="336"/>
      <c r="G6" s="172" t="s">
        <v>1203</v>
      </c>
      <c r="I6" s="172" t="s">
        <v>1204</v>
      </c>
      <c r="J6" s="172">
        <v>15.03</v>
      </c>
      <c r="L6" s="172">
        <v>2059.88</v>
      </c>
      <c r="M6" s="357">
        <v>30960</v>
      </c>
      <c r="N6" s="358"/>
      <c r="O6" s="359"/>
      <c r="P6" s="360"/>
      <c r="Q6" s="360"/>
      <c r="R6" s="358"/>
      <c r="S6" s="377"/>
      <c r="T6" s="377"/>
      <c r="U6" s="377"/>
      <c r="V6" s="358">
        <v>5000</v>
      </c>
      <c r="W6" s="377">
        <v>45538</v>
      </c>
      <c r="X6" s="358">
        <v>25960</v>
      </c>
      <c r="Y6" s="387" t="s">
        <v>1205</v>
      </c>
      <c r="Z6" s="358"/>
      <c r="AA6" s="388"/>
      <c r="AB6" s="358"/>
      <c r="AH6" s="358">
        <f t="shared" si="0"/>
        <v>30960</v>
      </c>
      <c r="AK6" s="359">
        <f t="shared" si="1"/>
        <v>0</v>
      </c>
      <c r="AQ6" s="396">
        <v>0.02</v>
      </c>
      <c r="AR6" s="397">
        <f t="shared" si="2"/>
        <v>30960</v>
      </c>
      <c r="AS6" s="358"/>
      <c r="AT6" s="358"/>
      <c r="AU6" s="358"/>
      <c r="AV6" s="358"/>
      <c r="AW6" s="358"/>
      <c r="AX6" s="358"/>
      <c r="AY6" s="215"/>
      <c r="AZ6" s="132"/>
      <c r="BA6" s="358"/>
      <c r="BB6" s="358"/>
      <c r="BC6" s="358"/>
      <c r="BD6" s="358"/>
      <c r="BE6" s="358"/>
      <c r="BN6" s="172">
        <v>30960</v>
      </c>
      <c r="CG6" s="137"/>
    </row>
    <row r="7" s="172" customFormat="1" customHeight="1" spans="3:85">
      <c r="C7" s="336"/>
      <c r="G7" s="172" t="s">
        <v>1206</v>
      </c>
      <c r="I7" s="172" t="s">
        <v>1207</v>
      </c>
      <c r="J7" s="172">
        <v>22.01</v>
      </c>
      <c r="L7" s="172">
        <v>2059.06</v>
      </c>
      <c r="M7" s="357">
        <v>45320</v>
      </c>
      <c r="N7" s="358"/>
      <c r="O7" s="359"/>
      <c r="P7" s="360"/>
      <c r="Q7" s="360"/>
      <c r="R7" s="358"/>
      <c r="S7" s="377"/>
      <c r="T7" s="377"/>
      <c r="U7" s="377"/>
      <c r="V7" s="358">
        <v>2000</v>
      </c>
      <c r="W7" s="377">
        <v>45538</v>
      </c>
      <c r="X7" s="358">
        <v>43320</v>
      </c>
      <c r="Y7" s="377" t="s">
        <v>1208</v>
      </c>
      <c r="Z7" s="358"/>
      <c r="AA7" s="388"/>
      <c r="AB7" s="358"/>
      <c r="AH7" s="358">
        <f t="shared" si="0"/>
        <v>45320</v>
      </c>
      <c r="AK7" s="359">
        <f t="shared" si="1"/>
        <v>0</v>
      </c>
      <c r="AQ7" s="396">
        <v>0.02</v>
      </c>
      <c r="AR7" s="397">
        <f t="shared" si="2"/>
        <v>45320</v>
      </c>
      <c r="AS7" s="358"/>
      <c r="AT7" s="358"/>
      <c r="AU7" s="358"/>
      <c r="AV7" s="358"/>
      <c r="AW7" s="358"/>
      <c r="AX7" s="358"/>
      <c r="AY7" s="215"/>
      <c r="AZ7" s="132"/>
      <c r="BA7" s="358"/>
      <c r="BB7" s="358"/>
      <c r="BC7" s="358"/>
      <c r="BD7" s="358"/>
      <c r="BE7" s="358"/>
      <c r="BP7" s="172">
        <v>45320</v>
      </c>
      <c r="CG7" s="137"/>
    </row>
    <row r="8" s="172" customFormat="1" customHeight="1" spans="3:85">
      <c r="C8" s="336"/>
      <c r="I8" s="172" t="s">
        <v>1209</v>
      </c>
      <c r="J8" s="172">
        <v>70.72</v>
      </c>
      <c r="M8" s="357"/>
      <c r="N8" s="358"/>
      <c r="O8" s="359"/>
      <c r="P8" s="360"/>
      <c r="Q8" s="360"/>
      <c r="R8" s="358"/>
      <c r="S8" s="377"/>
      <c r="T8" s="377"/>
      <c r="U8" s="377"/>
      <c r="V8" s="358"/>
      <c r="X8" s="358"/>
      <c r="Y8" s="387"/>
      <c r="Z8" s="358"/>
      <c r="AA8" s="388"/>
      <c r="AB8" s="358"/>
      <c r="AH8" s="358">
        <f t="shared" si="0"/>
        <v>0</v>
      </c>
      <c r="AK8" s="359">
        <f t="shared" si="1"/>
        <v>0</v>
      </c>
      <c r="AQ8" s="396">
        <v>0.02</v>
      </c>
      <c r="AR8" s="397">
        <f t="shared" si="2"/>
        <v>0</v>
      </c>
      <c r="AS8" s="358"/>
      <c r="AT8" s="358"/>
      <c r="AU8" s="358"/>
      <c r="AV8" s="358"/>
      <c r="AW8" s="358"/>
      <c r="AX8" s="358"/>
      <c r="AY8" s="215"/>
      <c r="AZ8" s="132"/>
      <c r="BA8" s="358"/>
      <c r="BB8" s="358"/>
      <c r="BC8" s="358"/>
      <c r="BD8" s="358"/>
      <c r="BE8" s="358"/>
      <c r="CG8" s="137"/>
    </row>
    <row r="9" s="172" customFormat="1" customHeight="1" spans="3:85">
      <c r="C9" s="336"/>
      <c r="I9" s="172" t="s">
        <v>1210</v>
      </c>
      <c r="J9" s="172">
        <v>67.3</v>
      </c>
      <c r="M9" s="357"/>
      <c r="N9" s="358"/>
      <c r="O9" s="359"/>
      <c r="P9" s="360"/>
      <c r="Q9" s="360"/>
      <c r="R9" s="358"/>
      <c r="S9" s="377"/>
      <c r="T9" s="377"/>
      <c r="U9" s="377"/>
      <c r="V9" s="358"/>
      <c r="X9" s="358"/>
      <c r="Y9" s="387"/>
      <c r="Z9" s="358"/>
      <c r="AA9" s="388"/>
      <c r="AB9" s="358"/>
      <c r="AH9" s="358">
        <f t="shared" si="0"/>
        <v>0</v>
      </c>
      <c r="AK9" s="359">
        <f t="shared" si="1"/>
        <v>0</v>
      </c>
      <c r="AQ9" s="396">
        <v>0.02</v>
      </c>
      <c r="AR9" s="397">
        <f t="shared" si="2"/>
        <v>0</v>
      </c>
      <c r="AS9" s="358"/>
      <c r="AT9" s="358"/>
      <c r="AU9" s="358"/>
      <c r="AV9" s="358"/>
      <c r="AW9" s="358"/>
      <c r="AX9" s="358"/>
      <c r="AY9" s="215"/>
      <c r="AZ9" s="132"/>
      <c r="BA9" s="358"/>
      <c r="BB9" s="358"/>
      <c r="BC9" s="358"/>
      <c r="BD9" s="358"/>
      <c r="BE9" s="358"/>
      <c r="CG9" s="137"/>
    </row>
    <row r="10" s="172" customFormat="1" customHeight="1" spans="3:85">
      <c r="C10" s="336"/>
      <c r="G10" s="172" t="s">
        <v>1211</v>
      </c>
      <c r="I10" s="172" t="s">
        <v>1212</v>
      </c>
      <c r="J10" s="172">
        <v>22.45</v>
      </c>
      <c r="L10" s="172">
        <v>2059.69</v>
      </c>
      <c r="M10" s="357">
        <v>46240</v>
      </c>
      <c r="N10" s="358"/>
      <c r="O10" s="359"/>
      <c r="P10" s="360"/>
      <c r="Q10" s="360"/>
      <c r="R10" s="358"/>
      <c r="S10" s="377"/>
      <c r="T10" s="377"/>
      <c r="U10" s="377"/>
      <c r="V10" s="358">
        <v>5000</v>
      </c>
      <c r="W10" s="377">
        <v>45537</v>
      </c>
      <c r="X10" s="358">
        <v>41240</v>
      </c>
      <c r="Y10" s="387">
        <v>45552</v>
      </c>
      <c r="Z10" s="358"/>
      <c r="AA10" s="388"/>
      <c r="AB10" s="358"/>
      <c r="AH10" s="358">
        <f t="shared" si="0"/>
        <v>46240</v>
      </c>
      <c r="AK10" s="359">
        <f t="shared" si="1"/>
        <v>0</v>
      </c>
      <c r="AQ10" s="396">
        <v>0.02</v>
      </c>
      <c r="AR10" s="397">
        <f t="shared" si="2"/>
        <v>46240</v>
      </c>
      <c r="AS10" s="358"/>
      <c r="AT10" s="358"/>
      <c r="AU10" s="358"/>
      <c r="AV10" s="358"/>
      <c r="AW10" s="358"/>
      <c r="AX10" s="358"/>
      <c r="AY10" s="215"/>
      <c r="AZ10" s="132"/>
      <c r="BA10" s="358"/>
      <c r="BB10" s="358"/>
      <c r="BC10" s="358"/>
      <c r="BD10" s="358"/>
      <c r="BE10" s="358"/>
      <c r="BN10" s="172">
        <v>46240</v>
      </c>
      <c r="CG10" s="137"/>
    </row>
    <row r="11" s="172" customFormat="1" customHeight="1" spans="3:85">
      <c r="C11" s="336"/>
      <c r="G11" s="172" t="s">
        <v>1213</v>
      </c>
      <c r="I11" s="172" t="s">
        <v>1214</v>
      </c>
      <c r="J11" s="172">
        <v>11.28</v>
      </c>
      <c r="L11" s="172">
        <v>2060.28</v>
      </c>
      <c r="M11" s="357">
        <v>23240</v>
      </c>
      <c r="N11" s="358"/>
      <c r="O11" s="359"/>
      <c r="P11" s="360"/>
      <c r="Q11" s="360"/>
      <c r="R11" s="358"/>
      <c r="S11" s="377"/>
      <c r="T11" s="377"/>
      <c r="U11" s="377"/>
      <c r="V11" s="358">
        <v>23240</v>
      </c>
      <c r="W11" s="377">
        <v>45540</v>
      </c>
      <c r="X11" s="358"/>
      <c r="Y11" s="387"/>
      <c r="Z11" s="358"/>
      <c r="AA11" s="388"/>
      <c r="AB11" s="358"/>
      <c r="AH11" s="358">
        <f t="shared" si="0"/>
        <v>23240</v>
      </c>
      <c r="AK11" s="359">
        <f t="shared" si="1"/>
        <v>0</v>
      </c>
      <c r="AQ11" s="396">
        <v>0.02</v>
      </c>
      <c r="AR11" s="397">
        <f t="shared" si="2"/>
        <v>23240</v>
      </c>
      <c r="AS11" s="358"/>
      <c r="AT11" s="358"/>
      <c r="AU11" s="358"/>
      <c r="AV11" s="358"/>
      <c r="AW11" s="358"/>
      <c r="AX11" s="358"/>
      <c r="AY11" s="215"/>
      <c r="AZ11" s="132"/>
      <c r="BA11" s="358"/>
      <c r="BB11" s="358"/>
      <c r="BC11" s="358"/>
      <c r="BD11" s="358"/>
      <c r="BE11" s="358"/>
      <c r="BN11" s="172">
        <v>23240</v>
      </c>
      <c r="CG11" s="137"/>
    </row>
    <row r="12" s="172" customFormat="1" customHeight="1" spans="3:85">
      <c r="C12" s="336"/>
      <c r="I12" s="172" t="s">
        <v>1215</v>
      </c>
      <c r="J12" s="172">
        <v>7.57</v>
      </c>
      <c r="L12" s="172">
        <v>2060.77</v>
      </c>
      <c r="M12" s="357">
        <v>15600</v>
      </c>
      <c r="N12" s="358"/>
      <c r="O12" s="359"/>
      <c r="P12" s="360"/>
      <c r="Q12" s="360"/>
      <c r="R12" s="358"/>
      <c r="S12" s="377"/>
      <c r="T12" s="377"/>
      <c r="U12" s="377"/>
      <c r="V12" s="358"/>
      <c r="X12" s="358"/>
      <c r="Y12" s="387"/>
      <c r="Z12" s="358"/>
      <c r="AA12" s="388"/>
      <c r="AB12" s="358"/>
      <c r="AH12" s="358">
        <f t="shared" si="0"/>
        <v>0</v>
      </c>
      <c r="AK12" s="359">
        <f t="shared" si="1"/>
        <v>15600</v>
      </c>
      <c r="AQ12" s="396">
        <v>0.02</v>
      </c>
      <c r="AR12" s="397">
        <f t="shared" si="2"/>
        <v>0</v>
      </c>
      <c r="AS12" s="358"/>
      <c r="AT12" s="358"/>
      <c r="AU12" s="358"/>
      <c r="AV12" s="358"/>
      <c r="AW12" s="358"/>
      <c r="AX12" s="358"/>
      <c r="AY12" s="215"/>
      <c r="AZ12" s="132"/>
      <c r="BA12" s="358"/>
      <c r="BB12" s="358"/>
      <c r="BC12" s="358"/>
      <c r="BD12" s="358"/>
      <c r="BE12" s="358"/>
      <c r="CG12" s="137"/>
    </row>
    <row r="13" s="172" customFormat="1" customHeight="1" spans="3:85">
      <c r="C13" s="336"/>
      <c r="I13" s="172" t="s">
        <v>1216</v>
      </c>
      <c r="J13" s="172">
        <v>23.09</v>
      </c>
      <c r="L13" s="172">
        <v>2059.77</v>
      </c>
      <c r="M13" s="357">
        <v>47560</v>
      </c>
      <c r="N13" s="358"/>
      <c r="O13" s="359"/>
      <c r="P13" s="360"/>
      <c r="Q13" s="360"/>
      <c r="R13" s="358"/>
      <c r="S13" s="377"/>
      <c r="T13" s="377"/>
      <c r="U13" s="377"/>
      <c r="V13" s="358"/>
      <c r="X13" s="358"/>
      <c r="Y13" s="387"/>
      <c r="Z13" s="358"/>
      <c r="AA13" s="388"/>
      <c r="AB13" s="358"/>
      <c r="AH13" s="358">
        <f t="shared" si="0"/>
        <v>0</v>
      </c>
      <c r="AK13" s="359">
        <f t="shared" si="1"/>
        <v>47560</v>
      </c>
      <c r="AQ13" s="396">
        <v>0.02</v>
      </c>
      <c r="AR13" s="397">
        <f t="shared" si="2"/>
        <v>0</v>
      </c>
      <c r="AS13" s="358"/>
      <c r="AT13" s="358"/>
      <c r="AU13" s="358"/>
      <c r="AV13" s="358"/>
      <c r="AW13" s="358"/>
      <c r="AX13" s="358"/>
      <c r="AY13" s="215"/>
      <c r="AZ13" s="132"/>
      <c r="BA13" s="358"/>
      <c r="BB13" s="358"/>
      <c r="BC13" s="358"/>
      <c r="BD13" s="358"/>
      <c r="BE13" s="358"/>
      <c r="CG13" s="137"/>
    </row>
    <row r="14" s="172" customFormat="1" customHeight="1" spans="3:85">
      <c r="C14" s="336"/>
      <c r="G14" s="172" t="s">
        <v>1217</v>
      </c>
      <c r="I14" s="172" t="s">
        <v>1218</v>
      </c>
      <c r="J14" s="172">
        <v>19.17</v>
      </c>
      <c r="L14" s="172">
        <v>2059.47</v>
      </c>
      <c r="M14" s="357">
        <v>39480</v>
      </c>
      <c r="N14" s="358"/>
      <c r="O14" s="359"/>
      <c r="P14" s="360"/>
      <c r="Q14" s="360"/>
      <c r="R14" s="358"/>
      <c r="S14" s="377"/>
      <c r="T14" s="377"/>
      <c r="U14" s="377"/>
      <c r="V14" s="358">
        <v>2000</v>
      </c>
      <c r="W14" s="377">
        <v>45542</v>
      </c>
      <c r="X14" s="358">
        <v>37480</v>
      </c>
      <c r="Y14" s="387" t="s">
        <v>1219</v>
      </c>
      <c r="Z14" s="358"/>
      <c r="AA14" s="388"/>
      <c r="AB14" s="358"/>
      <c r="AH14" s="358">
        <f t="shared" si="0"/>
        <v>39480</v>
      </c>
      <c r="AK14" s="359">
        <f t="shared" si="1"/>
        <v>0</v>
      </c>
      <c r="AQ14" s="396">
        <v>0.02</v>
      </c>
      <c r="AR14" s="397">
        <f t="shared" si="2"/>
        <v>39480</v>
      </c>
      <c r="AS14" s="358"/>
      <c r="AT14" s="358"/>
      <c r="AU14" s="358"/>
      <c r="AV14" s="358"/>
      <c r="AW14" s="358"/>
      <c r="AX14" s="358"/>
      <c r="AY14" s="215"/>
      <c r="AZ14" s="132"/>
      <c r="BA14" s="358"/>
      <c r="BB14" s="358"/>
      <c r="BC14" s="358"/>
      <c r="BD14" s="358"/>
      <c r="BE14" s="358"/>
      <c r="BN14" s="172">
        <v>39480</v>
      </c>
      <c r="CG14" s="137"/>
    </row>
    <row r="15" s="172" customFormat="1" customHeight="1" spans="3:85">
      <c r="C15" s="336"/>
      <c r="G15" s="172" t="s">
        <v>1220</v>
      </c>
      <c r="I15" s="172" t="s">
        <v>1221</v>
      </c>
      <c r="J15" s="172">
        <v>14.41</v>
      </c>
      <c r="L15" s="172">
        <v>2059.68</v>
      </c>
      <c r="M15" s="357">
        <v>29680</v>
      </c>
      <c r="N15" s="358"/>
      <c r="O15" s="359"/>
      <c r="P15" s="360"/>
      <c r="Q15" s="360"/>
      <c r="R15" s="358"/>
      <c r="S15" s="377"/>
      <c r="T15" s="377"/>
      <c r="U15" s="377"/>
      <c r="V15" s="358">
        <v>2000</v>
      </c>
      <c r="W15" s="377">
        <v>45537</v>
      </c>
      <c r="X15" s="358">
        <v>27680</v>
      </c>
      <c r="Y15" s="387">
        <v>45546</v>
      </c>
      <c r="Z15" s="358"/>
      <c r="AA15" s="388"/>
      <c r="AB15" s="358"/>
      <c r="AH15" s="358">
        <f t="shared" si="0"/>
        <v>29680</v>
      </c>
      <c r="AK15" s="359">
        <f t="shared" si="1"/>
        <v>0</v>
      </c>
      <c r="AQ15" s="396">
        <v>0.02</v>
      </c>
      <c r="AR15" s="397">
        <f t="shared" si="2"/>
        <v>29680</v>
      </c>
      <c r="AS15" s="358"/>
      <c r="AT15" s="358"/>
      <c r="AU15" s="358"/>
      <c r="AV15" s="358"/>
      <c r="AW15" s="358"/>
      <c r="AX15" s="358"/>
      <c r="AY15" s="215"/>
      <c r="AZ15" s="132"/>
      <c r="BA15" s="358"/>
      <c r="BB15" s="358"/>
      <c r="BC15" s="358"/>
      <c r="BD15" s="358"/>
      <c r="BE15" s="358"/>
      <c r="BN15" s="172">
        <v>29680</v>
      </c>
      <c r="CG15" s="137"/>
    </row>
    <row r="16" s="172" customFormat="1" customHeight="1" spans="3:85">
      <c r="C16" s="336"/>
      <c r="G16" s="172" t="s">
        <v>1222</v>
      </c>
      <c r="I16" s="172" t="s">
        <v>1223</v>
      </c>
      <c r="J16" s="172">
        <v>11.28</v>
      </c>
      <c r="L16" s="172">
        <v>2060.28</v>
      </c>
      <c r="M16" s="357">
        <v>23240</v>
      </c>
      <c r="N16" s="358"/>
      <c r="O16" s="359"/>
      <c r="P16" s="360"/>
      <c r="Q16" s="360"/>
      <c r="R16" s="358"/>
      <c r="S16" s="377"/>
      <c r="T16" s="377"/>
      <c r="U16" s="377"/>
      <c r="V16" s="358">
        <v>23240</v>
      </c>
      <c r="W16" s="377" t="s">
        <v>1224</v>
      </c>
      <c r="X16" s="358"/>
      <c r="Y16" s="387"/>
      <c r="Z16" s="358"/>
      <c r="AA16" s="388"/>
      <c r="AB16" s="358"/>
      <c r="AH16" s="358">
        <f t="shared" si="0"/>
        <v>23240</v>
      </c>
      <c r="AK16" s="359">
        <f t="shared" si="1"/>
        <v>0</v>
      </c>
      <c r="AQ16" s="396">
        <v>0.02</v>
      </c>
      <c r="AR16" s="397">
        <f t="shared" si="2"/>
        <v>23240</v>
      </c>
      <c r="AS16" s="358"/>
      <c r="AT16" s="358"/>
      <c r="AU16" s="358"/>
      <c r="AV16" s="358"/>
      <c r="AW16" s="358"/>
      <c r="AX16" s="358"/>
      <c r="AY16" s="215"/>
      <c r="AZ16" s="132"/>
      <c r="BA16" s="358"/>
      <c r="BB16" s="358"/>
      <c r="BC16" s="358"/>
      <c r="BD16" s="358"/>
      <c r="BE16" s="358"/>
      <c r="BN16" s="172">
        <v>23240</v>
      </c>
      <c r="CG16" s="137"/>
    </row>
    <row r="17" s="172" customFormat="1" customHeight="1" spans="3:85">
      <c r="C17" s="336"/>
      <c r="G17" s="172" t="s">
        <v>1225</v>
      </c>
      <c r="I17" s="172" t="s">
        <v>1226</v>
      </c>
      <c r="J17" s="172">
        <v>22.45</v>
      </c>
      <c r="L17" s="172">
        <v>2059.69</v>
      </c>
      <c r="M17" s="357">
        <v>46240</v>
      </c>
      <c r="N17" s="358"/>
      <c r="O17" s="359"/>
      <c r="P17" s="360"/>
      <c r="Q17" s="360"/>
      <c r="R17" s="358"/>
      <c r="S17" s="377"/>
      <c r="T17" s="377"/>
      <c r="U17" s="377"/>
      <c r="V17" s="358">
        <v>2000</v>
      </c>
      <c r="W17" s="377">
        <v>45537</v>
      </c>
      <c r="X17" s="358">
        <v>44240</v>
      </c>
      <c r="Y17" s="387">
        <v>45547</v>
      </c>
      <c r="Z17" s="358"/>
      <c r="AA17" s="388"/>
      <c r="AB17" s="358"/>
      <c r="AH17" s="358">
        <f t="shared" si="0"/>
        <v>46240</v>
      </c>
      <c r="AK17" s="359">
        <f t="shared" si="1"/>
        <v>0</v>
      </c>
      <c r="AQ17" s="396">
        <v>0.02</v>
      </c>
      <c r="AR17" s="397">
        <f t="shared" si="2"/>
        <v>46240</v>
      </c>
      <c r="AS17" s="358"/>
      <c r="AT17" s="358"/>
      <c r="AU17" s="358"/>
      <c r="AV17" s="358"/>
      <c r="AW17" s="358"/>
      <c r="AX17" s="358"/>
      <c r="AY17" s="215"/>
      <c r="AZ17" s="132"/>
      <c r="BA17" s="358"/>
      <c r="BB17" s="358"/>
      <c r="BC17" s="358"/>
      <c r="BD17" s="358"/>
      <c r="BE17" s="358"/>
      <c r="BN17" s="172">
        <v>46240</v>
      </c>
      <c r="CG17" s="137"/>
    </row>
    <row r="18" s="172" customFormat="1" customHeight="1" spans="3:85">
      <c r="C18" s="336"/>
      <c r="I18" s="172" t="s">
        <v>1227</v>
      </c>
      <c r="J18" s="172">
        <v>67.3</v>
      </c>
      <c r="M18" s="357"/>
      <c r="N18" s="358"/>
      <c r="O18" s="359"/>
      <c r="P18" s="360"/>
      <c r="Q18" s="360"/>
      <c r="R18" s="358"/>
      <c r="S18" s="377"/>
      <c r="T18" s="377"/>
      <c r="U18" s="377"/>
      <c r="V18" s="358"/>
      <c r="X18" s="358"/>
      <c r="Y18" s="387"/>
      <c r="Z18" s="358"/>
      <c r="AA18" s="388"/>
      <c r="AB18" s="358"/>
      <c r="AH18" s="358">
        <f t="shared" si="0"/>
        <v>0</v>
      </c>
      <c r="AK18" s="359">
        <f t="shared" si="1"/>
        <v>0</v>
      </c>
      <c r="AQ18" s="396">
        <v>0.02</v>
      </c>
      <c r="AR18" s="397">
        <f t="shared" si="2"/>
        <v>0</v>
      </c>
      <c r="AS18" s="358"/>
      <c r="AT18" s="358"/>
      <c r="AU18" s="358"/>
      <c r="AV18" s="358"/>
      <c r="AW18" s="358"/>
      <c r="AX18" s="358"/>
      <c r="AY18" s="215"/>
      <c r="AZ18" s="132"/>
      <c r="BA18" s="358"/>
      <c r="BB18" s="358"/>
      <c r="BC18" s="358"/>
      <c r="BD18" s="358"/>
      <c r="BE18" s="358"/>
      <c r="CG18" s="137"/>
    </row>
    <row r="19" s="172" customFormat="1" customHeight="1" spans="3:85">
      <c r="C19" s="336"/>
      <c r="I19" s="172" t="s">
        <v>1228</v>
      </c>
      <c r="J19" s="172">
        <v>67.3</v>
      </c>
      <c r="M19" s="357"/>
      <c r="N19" s="358"/>
      <c r="O19" s="359"/>
      <c r="P19" s="360"/>
      <c r="Q19" s="360"/>
      <c r="R19" s="358"/>
      <c r="S19" s="377"/>
      <c r="T19" s="377"/>
      <c r="U19" s="377"/>
      <c r="V19" s="358"/>
      <c r="X19" s="358"/>
      <c r="Y19" s="387"/>
      <c r="Z19" s="358"/>
      <c r="AA19" s="388"/>
      <c r="AB19" s="358"/>
      <c r="AH19" s="358">
        <f t="shared" si="0"/>
        <v>0</v>
      </c>
      <c r="AK19" s="359">
        <f t="shared" si="1"/>
        <v>0</v>
      </c>
      <c r="AQ19" s="396">
        <v>0.02</v>
      </c>
      <c r="AR19" s="397">
        <f t="shared" si="2"/>
        <v>0</v>
      </c>
      <c r="AS19" s="358"/>
      <c r="AT19" s="358"/>
      <c r="AU19" s="358"/>
      <c r="AV19" s="358"/>
      <c r="AW19" s="358"/>
      <c r="AX19" s="358"/>
      <c r="AY19" s="215"/>
      <c r="AZ19" s="132"/>
      <c r="BA19" s="358"/>
      <c r="BB19" s="358"/>
      <c r="BC19" s="358"/>
      <c r="BD19" s="358"/>
      <c r="BE19" s="358"/>
      <c r="CG19" s="137"/>
    </row>
    <row r="20" s="172" customFormat="1" customHeight="1" spans="3:85">
      <c r="C20" s="336"/>
      <c r="I20" s="172" t="s">
        <v>1229</v>
      </c>
      <c r="J20" s="172">
        <v>10.47</v>
      </c>
      <c r="L20" s="172">
        <v>2059.22</v>
      </c>
      <c r="M20" s="357">
        <v>21560</v>
      </c>
      <c r="N20" s="358"/>
      <c r="O20" s="359"/>
      <c r="P20" s="360"/>
      <c r="Q20" s="360"/>
      <c r="R20" s="358"/>
      <c r="S20" s="377"/>
      <c r="T20" s="377"/>
      <c r="U20" s="377"/>
      <c r="V20" s="358"/>
      <c r="X20" s="358"/>
      <c r="Y20" s="387"/>
      <c r="Z20" s="358"/>
      <c r="AA20" s="388"/>
      <c r="AB20" s="358"/>
      <c r="AH20" s="358">
        <f t="shared" si="0"/>
        <v>0</v>
      </c>
      <c r="AK20" s="359">
        <f t="shared" si="1"/>
        <v>21560</v>
      </c>
      <c r="AQ20" s="396">
        <v>0.02</v>
      </c>
      <c r="AR20" s="397">
        <f t="shared" si="2"/>
        <v>0</v>
      </c>
      <c r="AS20" s="358"/>
      <c r="AT20" s="358"/>
      <c r="AU20" s="358"/>
      <c r="AV20" s="358"/>
      <c r="AW20" s="358"/>
      <c r="AX20" s="358"/>
      <c r="AY20" s="215"/>
      <c r="AZ20" s="132"/>
      <c r="BA20" s="358"/>
      <c r="BB20" s="358"/>
      <c r="BC20" s="358"/>
      <c r="BD20" s="358"/>
      <c r="BE20" s="358"/>
      <c r="CG20" s="137"/>
    </row>
    <row r="21" s="172" customFormat="1" customHeight="1" spans="3:85">
      <c r="C21" s="336"/>
      <c r="G21" s="172" t="s">
        <v>1230</v>
      </c>
      <c r="I21" s="172" t="s">
        <v>1231</v>
      </c>
      <c r="J21" s="172">
        <v>10.8</v>
      </c>
      <c r="L21" s="172">
        <v>2059.26</v>
      </c>
      <c r="M21" s="357">
        <v>22240</v>
      </c>
      <c r="N21" s="358"/>
      <c r="O21" s="359"/>
      <c r="P21" s="360"/>
      <c r="Q21" s="360"/>
      <c r="R21" s="358"/>
      <c r="S21" s="377"/>
      <c r="T21" s="377"/>
      <c r="U21" s="377"/>
      <c r="V21" s="358">
        <v>2000</v>
      </c>
      <c r="W21" s="377">
        <v>45539</v>
      </c>
      <c r="X21" s="358">
        <v>20240</v>
      </c>
      <c r="Y21" s="387">
        <v>45543</v>
      </c>
      <c r="Z21" s="358"/>
      <c r="AA21" s="388"/>
      <c r="AB21" s="358"/>
      <c r="AH21" s="358">
        <f t="shared" si="0"/>
        <v>22240</v>
      </c>
      <c r="AK21" s="359">
        <f t="shared" si="1"/>
        <v>0</v>
      </c>
      <c r="AQ21" s="396">
        <v>0.02</v>
      </c>
      <c r="AR21" s="397">
        <f t="shared" si="2"/>
        <v>22240</v>
      </c>
      <c r="AS21" s="358"/>
      <c r="AT21" s="358"/>
      <c r="AU21" s="358"/>
      <c r="AV21" s="358"/>
      <c r="AW21" s="358"/>
      <c r="AX21" s="358"/>
      <c r="AY21" s="215"/>
      <c r="AZ21" s="132"/>
      <c r="BA21" s="358"/>
      <c r="BB21" s="358"/>
      <c r="BC21" s="358"/>
      <c r="BD21" s="358"/>
      <c r="BE21" s="358"/>
      <c r="BN21" s="172">
        <v>22240</v>
      </c>
      <c r="CG21" s="137"/>
    </row>
    <row r="22" s="172" customFormat="1" customHeight="1" spans="3:85">
      <c r="C22" s="336"/>
      <c r="G22" s="172" t="s">
        <v>1232</v>
      </c>
      <c r="I22" s="172" t="s">
        <v>1233</v>
      </c>
      <c r="J22" s="172">
        <v>39.37</v>
      </c>
      <c r="L22" s="172">
        <v>2059.44</v>
      </c>
      <c r="M22" s="357">
        <v>81080</v>
      </c>
      <c r="N22" s="358"/>
      <c r="O22" s="359"/>
      <c r="P22" s="360"/>
      <c r="Q22" s="360"/>
      <c r="R22" s="358"/>
      <c r="S22" s="377"/>
      <c r="T22" s="377"/>
      <c r="U22" s="377"/>
      <c r="V22" s="358">
        <v>5000</v>
      </c>
      <c r="W22" s="377">
        <v>45537</v>
      </c>
      <c r="X22" s="358">
        <v>76080</v>
      </c>
      <c r="Y22" s="387" t="s">
        <v>1082</v>
      </c>
      <c r="Z22" s="358"/>
      <c r="AA22" s="388"/>
      <c r="AB22" s="358"/>
      <c r="AH22" s="358">
        <f t="shared" si="0"/>
        <v>81080</v>
      </c>
      <c r="AK22" s="359">
        <f t="shared" si="1"/>
        <v>0</v>
      </c>
      <c r="AQ22" s="396">
        <v>0.02</v>
      </c>
      <c r="AR22" s="397">
        <f t="shared" si="2"/>
        <v>81080</v>
      </c>
      <c r="AS22" s="358"/>
      <c r="AT22" s="358"/>
      <c r="AU22" s="358"/>
      <c r="AV22" s="358"/>
      <c r="AW22" s="358"/>
      <c r="AX22" s="358"/>
      <c r="AY22" s="215"/>
      <c r="AZ22" s="132"/>
      <c r="BA22" s="358"/>
      <c r="BB22" s="358"/>
      <c r="BC22" s="358"/>
      <c r="BD22" s="358"/>
      <c r="BE22" s="358"/>
      <c r="BN22" s="172">
        <v>81080</v>
      </c>
      <c r="CG22" s="137"/>
    </row>
    <row r="23" s="323" customFormat="1" ht="40" customHeight="1" spans="1:75">
      <c r="A23" s="323">
        <v>1</v>
      </c>
      <c r="C23" s="337"/>
      <c r="G23" s="337" t="s">
        <v>1234</v>
      </c>
      <c r="H23" s="337"/>
      <c r="I23" s="361" t="s">
        <v>1235</v>
      </c>
      <c r="J23" s="323">
        <v>149.84</v>
      </c>
      <c r="K23" s="323">
        <v>149.84</v>
      </c>
      <c r="M23" s="326">
        <v>1182000</v>
      </c>
      <c r="N23" s="327">
        <v>7873</v>
      </c>
      <c r="O23" s="328"/>
      <c r="P23" s="362"/>
      <c r="Q23" s="362"/>
      <c r="R23" s="327"/>
      <c r="S23" s="378"/>
      <c r="T23" s="378" t="s">
        <v>1236</v>
      </c>
      <c r="U23" s="378" t="s">
        <v>577</v>
      </c>
      <c r="V23" s="327">
        <v>20000</v>
      </c>
      <c r="W23" s="365" t="s">
        <v>906</v>
      </c>
      <c r="X23" s="327"/>
      <c r="Y23" s="365"/>
      <c r="Z23" s="327"/>
      <c r="AA23" s="365"/>
      <c r="AB23" s="327"/>
      <c r="AH23" s="327">
        <f t="shared" si="0"/>
        <v>20000</v>
      </c>
      <c r="AK23" s="328">
        <f t="shared" si="1"/>
        <v>1162000</v>
      </c>
      <c r="AN23" s="390"/>
      <c r="AO23" s="390"/>
      <c r="AP23" s="390"/>
      <c r="AQ23" s="332">
        <f>0.6%+0.06%+0.14%</f>
        <v>0.008</v>
      </c>
      <c r="AR23" s="398">
        <f t="shared" si="2"/>
        <v>0</v>
      </c>
      <c r="AS23" s="327">
        <f>100</f>
        <v>100</v>
      </c>
      <c r="AT23" s="327">
        <f>100+100</f>
        <v>200</v>
      </c>
      <c r="AU23" s="327"/>
      <c r="AV23" s="327"/>
      <c r="AW23" s="327"/>
      <c r="AX23" s="327"/>
      <c r="AY23" s="184"/>
      <c r="BA23" s="327"/>
      <c r="BB23" s="327"/>
      <c r="BC23" s="327"/>
      <c r="BD23" s="327"/>
      <c r="BE23" s="327"/>
      <c r="BS23" s="59"/>
      <c r="BW23" s="323" t="s">
        <v>496</v>
      </c>
    </row>
    <row r="24" s="323" customFormat="1" ht="55" customHeight="1" spans="1:76">
      <c r="A24" s="323">
        <v>2</v>
      </c>
      <c r="C24" s="337" t="s">
        <v>1237</v>
      </c>
      <c r="D24" s="323">
        <v>20230001464</v>
      </c>
      <c r="F24" s="833" t="s">
        <v>1238</v>
      </c>
      <c r="G24" s="337" t="s">
        <v>1239</v>
      </c>
      <c r="H24" s="839" t="s">
        <v>1240</v>
      </c>
      <c r="I24" s="361" t="s">
        <v>1241</v>
      </c>
      <c r="J24" s="323">
        <v>140.29</v>
      </c>
      <c r="K24" s="323">
        <v>140.29</v>
      </c>
      <c r="L24" s="323">
        <v>7863</v>
      </c>
      <c r="M24" s="326">
        <v>1103100</v>
      </c>
      <c r="N24" s="327"/>
      <c r="O24" s="328">
        <v>1012018.35</v>
      </c>
      <c r="P24" s="363" t="s">
        <v>1242</v>
      </c>
      <c r="Q24" s="362" t="s">
        <v>903</v>
      </c>
      <c r="R24" s="327"/>
      <c r="S24" s="378"/>
      <c r="T24" s="378" t="s">
        <v>1243</v>
      </c>
      <c r="U24" s="378" t="s">
        <v>1244</v>
      </c>
      <c r="V24" s="327">
        <f>20000+2000-2000</f>
        <v>20000</v>
      </c>
      <c r="W24" s="379" t="s">
        <v>1245</v>
      </c>
      <c r="X24" s="327">
        <v>20000</v>
      </c>
      <c r="Y24" s="365" t="s">
        <v>1237</v>
      </c>
      <c r="Z24" s="327">
        <v>793100</v>
      </c>
      <c r="AA24" s="365" t="s">
        <v>1246</v>
      </c>
      <c r="AB24" s="327">
        <v>270000</v>
      </c>
      <c r="AC24" s="323" t="s">
        <v>1247</v>
      </c>
      <c r="AH24" s="327">
        <f t="shared" si="0"/>
        <v>1103100</v>
      </c>
      <c r="AK24" s="328">
        <f t="shared" ref="AK24:AK87" si="3">M24-AH24</f>
        <v>0</v>
      </c>
      <c r="AL24" s="323">
        <v>13309963919</v>
      </c>
      <c r="AN24" s="390"/>
      <c r="AO24" s="390"/>
      <c r="AP24" s="390"/>
      <c r="AQ24" s="332">
        <f>0.4%+0.06%+0.14%</f>
        <v>0.006</v>
      </c>
      <c r="AR24" s="398">
        <f t="shared" si="2"/>
        <v>1103100</v>
      </c>
      <c r="AS24" s="327">
        <f>100+100+100</f>
        <v>300</v>
      </c>
      <c r="AT24" s="327"/>
      <c r="AU24" s="327"/>
      <c r="AV24" s="327">
        <v>833100</v>
      </c>
      <c r="AW24" s="327">
        <v>270000</v>
      </c>
      <c r="AX24" s="327"/>
      <c r="AY24" s="401"/>
      <c r="AZ24" s="402"/>
      <c r="BA24" s="327"/>
      <c r="BB24" s="327"/>
      <c r="BC24" s="327"/>
      <c r="BD24" s="327"/>
      <c r="BE24" s="327"/>
      <c r="BW24" s="323" t="s">
        <v>496</v>
      </c>
      <c r="BX24" s="323" t="s">
        <v>506</v>
      </c>
    </row>
    <row r="25" s="323" customFormat="1" customHeight="1" spans="1:76">
      <c r="A25" s="323">
        <v>3</v>
      </c>
      <c r="C25" s="337" t="s">
        <v>1248</v>
      </c>
      <c r="D25" s="323">
        <v>20230004789</v>
      </c>
      <c r="F25" s="833" t="s">
        <v>1249</v>
      </c>
      <c r="G25" s="323" t="s">
        <v>1213</v>
      </c>
      <c r="H25" s="833" t="s">
        <v>1250</v>
      </c>
      <c r="I25" s="364" t="s">
        <v>1251</v>
      </c>
      <c r="J25" s="323">
        <v>146.97</v>
      </c>
      <c r="K25" s="323">
        <v>146.97</v>
      </c>
      <c r="L25" s="323">
        <v>5270</v>
      </c>
      <c r="M25" s="326">
        <v>774532</v>
      </c>
      <c r="N25" s="327">
        <v>5259.93</v>
      </c>
      <c r="O25" s="328">
        <v>710579.82</v>
      </c>
      <c r="P25" s="363" t="s">
        <v>1252</v>
      </c>
      <c r="Q25" s="362" t="s">
        <v>1253</v>
      </c>
      <c r="R25" s="327"/>
      <c r="U25" s="323" t="s">
        <v>515</v>
      </c>
      <c r="V25" s="327">
        <v>20000</v>
      </c>
      <c r="W25" s="323" t="s">
        <v>906</v>
      </c>
      <c r="X25" s="327">
        <v>255532</v>
      </c>
      <c r="Y25" s="365" t="s">
        <v>1248</v>
      </c>
      <c r="Z25" s="327">
        <v>499000</v>
      </c>
      <c r="AA25" s="323" t="s">
        <v>743</v>
      </c>
      <c r="AB25" s="327"/>
      <c r="AH25" s="327">
        <f t="shared" si="0"/>
        <v>774532</v>
      </c>
      <c r="AK25" s="328">
        <f t="shared" si="3"/>
        <v>0</v>
      </c>
      <c r="AL25" s="323">
        <v>18999000976</v>
      </c>
      <c r="AN25" s="390"/>
      <c r="AO25" s="390"/>
      <c r="AP25" s="390"/>
      <c r="AQ25" s="332">
        <f>0.4%+0.04%+0.14%</f>
        <v>0.0058</v>
      </c>
      <c r="AR25" s="398">
        <f t="shared" si="2"/>
        <v>774532</v>
      </c>
      <c r="AS25" s="327"/>
      <c r="AT25" s="327"/>
      <c r="AU25" s="327"/>
      <c r="AV25" s="327"/>
      <c r="AW25" s="327"/>
      <c r="AX25" s="327"/>
      <c r="AY25" s="184"/>
      <c r="AZ25" s="268">
        <v>275532</v>
      </c>
      <c r="BA25" s="327"/>
      <c r="BB25" s="327"/>
      <c r="BC25" s="327"/>
      <c r="BD25" s="327"/>
      <c r="BE25" s="327"/>
      <c r="BH25" s="323">
        <v>499000</v>
      </c>
      <c r="BW25" s="323" t="s">
        <v>496</v>
      </c>
      <c r="BX25" s="323" t="s">
        <v>506</v>
      </c>
    </row>
    <row r="26" s="323" customFormat="1" customHeight="1" spans="1:76">
      <c r="A26" s="323">
        <v>4</v>
      </c>
      <c r="C26" s="337" t="s">
        <v>1254</v>
      </c>
      <c r="D26" s="323">
        <v>20230006624</v>
      </c>
      <c r="F26" s="833" t="s">
        <v>1255</v>
      </c>
      <c r="G26" s="323" t="s">
        <v>1256</v>
      </c>
      <c r="H26" s="833" t="s">
        <v>1257</v>
      </c>
      <c r="I26" s="361" t="s">
        <v>1258</v>
      </c>
      <c r="J26" s="323">
        <v>137.77</v>
      </c>
      <c r="K26" s="323">
        <v>137.77</v>
      </c>
      <c r="L26" s="323">
        <v>5334.97</v>
      </c>
      <c r="M26" s="326">
        <v>735000</v>
      </c>
      <c r="N26" s="327">
        <v>5273.09</v>
      </c>
      <c r="O26" s="328"/>
      <c r="P26" s="362"/>
      <c r="Q26" s="362"/>
      <c r="R26" s="327"/>
      <c r="S26" s="330"/>
      <c r="T26" s="330"/>
      <c r="U26" s="330" t="s">
        <v>709</v>
      </c>
      <c r="V26" s="327">
        <v>20000</v>
      </c>
      <c r="W26" s="380" t="s">
        <v>906</v>
      </c>
      <c r="X26" s="327">
        <v>7000</v>
      </c>
      <c r="Y26" s="330" t="s">
        <v>1254</v>
      </c>
      <c r="Z26" s="327">
        <v>140000</v>
      </c>
      <c r="AA26" s="330" t="s">
        <v>1259</v>
      </c>
      <c r="AB26" s="327">
        <v>568000</v>
      </c>
      <c r="AC26" s="330" t="s">
        <v>717</v>
      </c>
      <c r="AH26" s="327">
        <f t="shared" si="0"/>
        <v>735000</v>
      </c>
      <c r="AK26" s="328">
        <f t="shared" si="3"/>
        <v>0</v>
      </c>
      <c r="AL26" s="323">
        <v>15899013512</v>
      </c>
      <c r="AN26" s="390"/>
      <c r="AO26" s="390"/>
      <c r="AP26" s="390"/>
      <c r="AQ26" s="332">
        <f>0.4%+0.08%</f>
        <v>0.0048</v>
      </c>
      <c r="AR26" s="398">
        <f t="shared" si="2"/>
        <v>735000</v>
      </c>
      <c r="AS26" s="327"/>
      <c r="AT26" s="327">
        <v>100</v>
      </c>
      <c r="AU26" s="327"/>
      <c r="AV26" s="327"/>
      <c r="AW26" s="327"/>
      <c r="AX26" s="327"/>
      <c r="AY26" s="184"/>
      <c r="AZ26" s="403"/>
      <c r="BA26" s="327"/>
      <c r="BB26" s="327"/>
      <c r="BC26" s="327"/>
      <c r="BD26" s="327"/>
      <c r="BE26" s="327"/>
      <c r="BJ26" s="323">
        <v>167000</v>
      </c>
      <c r="BK26" s="323">
        <v>568000</v>
      </c>
      <c r="BW26" s="323" t="s">
        <v>496</v>
      </c>
      <c r="BX26" s="323" t="s">
        <v>506</v>
      </c>
    </row>
    <row r="27" s="323" customFormat="1" customHeight="1" spans="1:76">
      <c r="A27" s="323">
        <v>5</v>
      </c>
      <c r="C27" s="337" t="s">
        <v>1260</v>
      </c>
      <c r="D27" s="323">
        <v>20230001743</v>
      </c>
      <c r="F27" s="323" t="s">
        <v>1261</v>
      </c>
      <c r="G27" s="323" t="s">
        <v>1262</v>
      </c>
      <c r="I27" s="364" t="s">
        <v>1263</v>
      </c>
      <c r="J27" s="323">
        <v>146.97</v>
      </c>
      <c r="K27" s="323">
        <v>146.97</v>
      </c>
      <c r="L27" s="323">
        <v>5245.55</v>
      </c>
      <c r="M27" s="326">
        <v>770939</v>
      </c>
      <c r="N27" s="327"/>
      <c r="O27" s="328">
        <v>707283.49</v>
      </c>
      <c r="P27" s="363" t="s">
        <v>1264</v>
      </c>
      <c r="Q27" s="362" t="s">
        <v>1253</v>
      </c>
      <c r="R27" s="327"/>
      <c r="T27" s="323" t="s">
        <v>1262</v>
      </c>
      <c r="U27" s="323" t="s">
        <v>1262</v>
      </c>
      <c r="V27" s="327">
        <v>770939</v>
      </c>
      <c r="W27" s="323" t="s">
        <v>1260</v>
      </c>
      <c r="X27" s="327"/>
      <c r="Y27" s="365"/>
      <c r="Z27" s="327"/>
      <c r="AA27" s="365"/>
      <c r="AB27" s="327"/>
      <c r="AH27" s="327">
        <f t="shared" si="0"/>
        <v>770939</v>
      </c>
      <c r="AK27" s="328">
        <f t="shared" si="3"/>
        <v>0</v>
      </c>
      <c r="AL27" s="323">
        <v>13667521555</v>
      </c>
      <c r="AN27" s="390"/>
      <c r="AO27" s="390"/>
      <c r="AP27" s="390"/>
      <c r="AQ27" s="332">
        <f>0.5%+0.06%+0.14%</f>
        <v>0.007</v>
      </c>
      <c r="AR27" s="398">
        <f t="shared" si="2"/>
        <v>770939</v>
      </c>
      <c r="AS27" s="327"/>
      <c r="AT27" s="327"/>
      <c r="AU27" s="327"/>
      <c r="AV27" s="327">
        <v>770939</v>
      </c>
      <c r="AW27" s="327"/>
      <c r="AX27" s="327"/>
      <c r="AY27" s="401"/>
      <c r="AZ27" s="402"/>
      <c r="BA27" s="327"/>
      <c r="BB27" s="327"/>
      <c r="BC27" s="327"/>
      <c r="BD27" s="327"/>
      <c r="BE27" s="327"/>
      <c r="BW27" s="323" t="s">
        <v>496</v>
      </c>
      <c r="BX27" s="323" t="s">
        <v>506</v>
      </c>
    </row>
    <row r="28" s="323" customFormat="1" customHeight="1" spans="1:76">
      <c r="A28" s="323">
        <v>6</v>
      </c>
      <c r="C28" s="337" t="s">
        <v>1245</v>
      </c>
      <c r="D28" s="323">
        <v>20230001404</v>
      </c>
      <c r="F28" s="833" t="s">
        <v>1265</v>
      </c>
      <c r="G28" s="337" t="s">
        <v>1266</v>
      </c>
      <c r="H28" s="839" t="s">
        <v>1267</v>
      </c>
      <c r="I28" s="361" t="s">
        <v>1268</v>
      </c>
      <c r="J28" s="323">
        <v>137.77</v>
      </c>
      <c r="K28" s="323">
        <v>137.77</v>
      </c>
      <c r="L28" s="365">
        <v>5140.96</v>
      </c>
      <c r="M28" s="326">
        <v>708270</v>
      </c>
      <c r="N28" s="327"/>
      <c r="O28" s="328">
        <v>649788.99</v>
      </c>
      <c r="P28" s="363" t="s">
        <v>1269</v>
      </c>
      <c r="Q28" s="362" t="s">
        <v>1253</v>
      </c>
      <c r="R28" s="327"/>
      <c r="S28" s="378"/>
      <c r="T28" s="381" t="s">
        <v>1270</v>
      </c>
      <c r="U28" s="378" t="s">
        <v>1271</v>
      </c>
      <c r="V28" s="327">
        <v>308270</v>
      </c>
      <c r="W28" s="365" t="s">
        <v>1245</v>
      </c>
      <c r="X28" s="327">
        <v>400000</v>
      </c>
      <c r="Y28" s="365" t="s">
        <v>939</v>
      </c>
      <c r="Z28" s="327"/>
      <c r="AA28" s="365"/>
      <c r="AB28" s="327"/>
      <c r="AH28" s="327">
        <f t="shared" si="0"/>
        <v>708270</v>
      </c>
      <c r="AK28" s="328">
        <f t="shared" si="3"/>
        <v>0</v>
      </c>
      <c r="AL28" s="323">
        <v>13779646868</v>
      </c>
      <c r="AN28" s="390"/>
      <c r="AO28" s="390"/>
      <c r="AP28" s="390"/>
      <c r="AQ28" s="332">
        <f>0.6%+0.04%+0.1%</f>
        <v>0.0074</v>
      </c>
      <c r="AR28" s="398">
        <f t="shared" si="2"/>
        <v>708270</v>
      </c>
      <c r="AS28" s="327">
        <f t="shared" ref="AS28:AS34" si="4">100</f>
        <v>100</v>
      </c>
      <c r="AT28" s="327">
        <v>100</v>
      </c>
      <c r="AU28" s="327"/>
      <c r="AV28" s="327">
        <v>308270</v>
      </c>
      <c r="AW28" s="327"/>
      <c r="AX28" s="327">
        <v>400000</v>
      </c>
      <c r="AY28" s="401"/>
      <c r="AZ28" s="402"/>
      <c r="BA28" s="327"/>
      <c r="BB28" s="327"/>
      <c r="BC28" s="327"/>
      <c r="BD28" s="327"/>
      <c r="BE28" s="327"/>
      <c r="BW28" s="323" t="s">
        <v>496</v>
      </c>
      <c r="BX28" s="323" t="s">
        <v>506</v>
      </c>
    </row>
    <row r="29" s="323" customFormat="1" customHeight="1" spans="1:76">
      <c r="A29" s="323">
        <v>7</v>
      </c>
      <c r="C29" s="337" t="s">
        <v>1237</v>
      </c>
      <c r="D29" s="323">
        <v>20230001431</v>
      </c>
      <c r="F29" s="833" t="s">
        <v>1272</v>
      </c>
      <c r="G29" s="323" t="s">
        <v>1222</v>
      </c>
      <c r="H29" s="833" t="s">
        <v>1273</v>
      </c>
      <c r="I29" s="364" t="s">
        <v>1274</v>
      </c>
      <c r="J29" s="323">
        <v>146.97</v>
      </c>
      <c r="K29" s="323">
        <v>146.97</v>
      </c>
      <c r="L29" s="323">
        <v>5300</v>
      </c>
      <c r="M29" s="326">
        <v>778941</v>
      </c>
      <c r="N29" s="327"/>
      <c r="O29" s="328">
        <v>714624.77</v>
      </c>
      <c r="P29" s="363" t="s">
        <v>1275</v>
      </c>
      <c r="Q29" s="362" t="s">
        <v>1253</v>
      </c>
      <c r="R29" s="327"/>
      <c r="T29" s="323" t="s">
        <v>1222</v>
      </c>
      <c r="U29" s="323" t="s">
        <v>1222</v>
      </c>
      <c r="V29" s="327">
        <v>20000</v>
      </c>
      <c r="W29" s="323" t="s">
        <v>1276</v>
      </c>
      <c r="X29" s="327">
        <v>218941</v>
      </c>
      <c r="Y29" s="365" t="s">
        <v>1237</v>
      </c>
      <c r="Z29" s="327">
        <v>540000</v>
      </c>
      <c r="AA29" s="323" t="s">
        <v>968</v>
      </c>
      <c r="AB29" s="327"/>
      <c r="AH29" s="327">
        <f t="shared" si="0"/>
        <v>778941</v>
      </c>
      <c r="AK29" s="328">
        <f t="shared" si="3"/>
        <v>0</v>
      </c>
      <c r="AL29" s="323">
        <v>18799823394</v>
      </c>
      <c r="AN29" s="390"/>
      <c r="AO29" s="390"/>
      <c r="AP29" s="390"/>
      <c r="AQ29" s="332">
        <f>0.6%+0.05%+0.14%+0.06%</f>
        <v>0.0085</v>
      </c>
      <c r="AR29" s="398">
        <f t="shared" si="2"/>
        <v>778941</v>
      </c>
      <c r="AS29" s="327"/>
      <c r="AT29" s="327"/>
      <c r="AU29" s="327"/>
      <c r="AV29" s="327">
        <v>238941</v>
      </c>
      <c r="AW29" s="327"/>
      <c r="AX29" s="327"/>
      <c r="AY29" s="401"/>
      <c r="AZ29" s="402"/>
      <c r="BA29" s="327"/>
      <c r="BB29" s="327"/>
      <c r="BC29" s="327">
        <v>540000</v>
      </c>
      <c r="BD29" s="327"/>
      <c r="BE29" s="327"/>
      <c r="BW29" s="323" t="s">
        <v>496</v>
      </c>
      <c r="BX29" s="323" t="s">
        <v>506</v>
      </c>
    </row>
    <row r="30" s="323" customFormat="1" customHeight="1" spans="1:76">
      <c r="A30" s="323">
        <v>8</v>
      </c>
      <c r="C30" s="337" t="s">
        <v>1277</v>
      </c>
      <c r="D30" s="323">
        <v>20230000706</v>
      </c>
      <c r="F30" s="833" t="s">
        <v>1278</v>
      </c>
      <c r="G30" s="337" t="s">
        <v>1279</v>
      </c>
      <c r="H30" s="337"/>
      <c r="I30" s="361" t="s">
        <v>1280</v>
      </c>
      <c r="J30" s="323">
        <v>137.77</v>
      </c>
      <c r="K30" s="323">
        <v>137.77</v>
      </c>
      <c r="L30" s="323">
        <v>5320</v>
      </c>
      <c r="M30" s="326">
        <v>732936</v>
      </c>
      <c r="N30" s="327"/>
      <c r="O30" s="328">
        <v>672418.35</v>
      </c>
      <c r="P30" s="363" t="s">
        <v>1281</v>
      </c>
      <c r="Q30" s="362" t="s">
        <v>1253</v>
      </c>
      <c r="R30" s="327"/>
      <c r="S30" s="378"/>
      <c r="T30" s="378" t="s">
        <v>1282</v>
      </c>
      <c r="U30" s="378" t="s">
        <v>1282</v>
      </c>
      <c r="V30" s="327">
        <v>300936</v>
      </c>
      <c r="W30" s="382" t="s">
        <v>1277</v>
      </c>
      <c r="X30" s="327">
        <v>432000</v>
      </c>
      <c r="Y30" s="365" t="s">
        <v>1283</v>
      </c>
      <c r="Z30" s="327"/>
      <c r="AA30" s="365"/>
      <c r="AB30" s="327"/>
      <c r="AH30" s="327">
        <f t="shared" si="0"/>
        <v>732936</v>
      </c>
      <c r="AK30" s="328">
        <f t="shared" si="3"/>
        <v>0</v>
      </c>
      <c r="AL30" s="323">
        <v>18139632621</v>
      </c>
      <c r="AN30" s="390"/>
      <c r="AO30" s="390"/>
      <c r="AP30" s="390"/>
      <c r="AQ30" s="332">
        <f>0.5%+0.05%+0.14%</f>
        <v>0.0069</v>
      </c>
      <c r="AR30" s="398">
        <f t="shared" si="2"/>
        <v>732936</v>
      </c>
      <c r="AS30" s="327">
        <v>100</v>
      </c>
      <c r="AT30" s="327">
        <v>100</v>
      </c>
      <c r="AU30" s="327"/>
      <c r="AV30" s="327">
        <v>732936</v>
      </c>
      <c r="AW30" s="327"/>
      <c r="AX30" s="327"/>
      <c r="AY30" s="401"/>
      <c r="AZ30" s="402"/>
      <c r="BA30" s="327"/>
      <c r="BB30" s="327"/>
      <c r="BC30" s="327"/>
      <c r="BD30" s="327"/>
      <c r="BE30" s="327"/>
      <c r="BW30" s="323" t="s">
        <v>496</v>
      </c>
      <c r="BX30" s="323" t="s">
        <v>506</v>
      </c>
    </row>
    <row r="31" s="323" customFormat="1" customHeight="1" spans="1:76">
      <c r="A31" s="323">
        <v>9</v>
      </c>
      <c r="C31" s="337" t="s">
        <v>1245</v>
      </c>
      <c r="D31" s="323">
        <v>20230001400</v>
      </c>
      <c r="F31" s="323" t="s">
        <v>1284</v>
      </c>
      <c r="G31" s="337" t="s">
        <v>1285</v>
      </c>
      <c r="H31" s="839" t="s">
        <v>1286</v>
      </c>
      <c r="I31" s="364" t="s">
        <v>1287</v>
      </c>
      <c r="J31" s="323">
        <v>146.97</v>
      </c>
      <c r="K31" s="323">
        <v>146.97</v>
      </c>
      <c r="L31" s="323">
        <v>5208.96</v>
      </c>
      <c r="M31" s="326">
        <v>765561</v>
      </c>
      <c r="N31" s="327"/>
      <c r="O31" s="328">
        <v>702349.54</v>
      </c>
      <c r="P31" s="363" t="s">
        <v>1288</v>
      </c>
      <c r="Q31" s="362" t="s">
        <v>1253</v>
      </c>
      <c r="R31" s="327"/>
      <c r="S31" s="378"/>
      <c r="T31" s="381" t="s">
        <v>1289</v>
      </c>
      <c r="U31" s="378" t="s">
        <v>1290</v>
      </c>
      <c r="V31" s="327">
        <v>725561</v>
      </c>
      <c r="W31" s="365" t="s">
        <v>1245</v>
      </c>
      <c r="X31" s="327">
        <v>40000</v>
      </c>
      <c r="Y31" s="365" t="s">
        <v>873</v>
      </c>
      <c r="Z31" s="327"/>
      <c r="AA31" s="365"/>
      <c r="AB31" s="327"/>
      <c r="AH31" s="327">
        <f t="shared" si="0"/>
        <v>765561</v>
      </c>
      <c r="AK31" s="328">
        <f t="shared" si="3"/>
        <v>0</v>
      </c>
      <c r="AL31" s="323">
        <v>18167705590</v>
      </c>
      <c r="AN31" s="390"/>
      <c r="AO31" s="390"/>
      <c r="AP31" s="390"/>
      <c r="AQ31" s="332">
        <f>0.6%+0.04%+0.1%</f>
        <v>0.0074</v>
      </c>
      <c r="AR31" s="398">
        <f t="shared" si="2"/>
        <v>765561</v>
      </c>
      <c r="AS31" s="327">
        <f t="shared" si="4"/>
        <v>100</v>
      </c>
      <c r="AT31" s="327"/>
      <c r="AU31" s="327"/>
      <c r="AV31" s="327">
        <v>725561</v>
      </c>
      <c r="AW31" s="327"/>
      <c r="AX31" s="327">
        <v>40000</v>
      </c>
      <c r="AY31" s="401"/>
      <c r="AZ31" s="404"/>
      <c r="BA31" s="327"/>
      <c r="BB31" s="327"/>
      <c r="BC31" s="327"/>
      <c r="BD31" s="327"/>
      <c r="BE31" s="327"/>
      <c r="BW31" s="323" t="s">
        <v>496</v>
      </c>
      <c r="BX31" s="323" t="s">
        <v>506</v>
      </c>
    </row>
    <row r="32" s="323" customFormat="1" customHeight="1" spans="1:76">
      <c r="A32" s="323">
        <v>10</v>
      </c>
      <c r="C32" s="337" t="s">
        <v>772</v>
      </c>
      <c r="D32" s="323">
        <v>20230003790</v>
      </c>
      <c r="F32" s="833" t="s">
        <v>1291</v>
      </c>
      <c r="G32" s="337" t="s">
        <v>1292</v>
      </c>
      <c r="H32" s="839" t="s">
        <v>1293</v>
      </c>
      <c r="I32" s="361" t="s">
        <v>1294</v>
      </c>
      <c r="J32" s="323">
        <v>137.77</v>
      </c>
      <c r="K32" s="323">
        <v>137.77</v>
      </c>
      <c r="L32" s="323">
        <v>5421.94</v>
      </c>
      <c r="M32" s="326">
        <v>746980</v>
      </c>
      <c r="N32" s="327"/>
      <c r="O32" s="328">
        <v>685302.75</v>
      </c>
      <c r="P32" s="363" t="s">
        <v>1295</v>
      </c>
      <c r="Q32" s="362" t="s">
        <v>1253</v>
      </c>
      <c r="R32" s="327"/>
      <c r="S32" s="378"/>
      <c r="T32" s="381" t="s">
        <v>1292</v>
      </c>
      <c r="U32" s="378" t="s">
        <v>1296</v>
      </c>
      <c r="V32" s="327">
        <f>2000-2000</f>
        <v>0</v>
      </c>
      <c r="W32" s="379">
        <v>44761</v>
      </c>
      <c r="X32" s="327">
        <f>18000-18000</f>
        <v>0</v>
      </c>
      <c r="Y32" s="365" t="s">
        <v>1297</v>
      </c>
      <c r="Z32" s="327">
        <v>20000</v>
      </c>
      <c r="AA32" s="365" t="s">
        <v>1298</v>
      </c>
      <c r="AB32" s="327">
        <v>206980</v>
      </c>
      <c r="AC32" s="323" t="s">
        <v>906</v>
      </c>
      <c r="AD32" s="323">
        <v>520000</v>
      </c>
      <c r="AE32" s="323" t="s">
        <v>1299</v>
      </c>
      <c r="AH32" s="327">
        <f t="shared" si="0"/>
        <v>746980</v>
      </c>
      <c r="AK32" s="328">
        <f t="shared" si="3"/>
        <v>0</v>
      </c>
      <c r="AL32" s="323">
        <v>18599180069</v>
      </c>
      <c r="AN32" s="390"/>
      <c r="AO32" s="390"/>
      <c r="AP32" s="390"/>
      <c r="AQ32" s="332">
        <f>0.4%+0.1%</f>
        <v>0.005</v>
      </c>
      <c r="AR32" s="398">
        <f t="shared" si="2"/>
        <v>746980</v>
      </c>
      <c r="AS32" s="327">
        <f>100+100</f>
        <v>200</v>
      </c>
      <c r="AT32" s="327"/>
      <c r="AU32" s="327"/>
      <c r="AV32" s="327"/>
      <c r="AW32" s="327"/>
      <c r="AX32" s="327"/>
      <c r="AY32" s="401">
        <v>746980</v>
      </c>
      <c r="AZ32" s="402"/>
      <c r="BA32" s="327"/>
      <c r="BB32" s="327"/>
      <c r="BC32" s="327"/>
      <c r="BD32" s="327"/>
      <c r="BE32" s="327"/>
      <c r="BW32" s="323" t="s">
        <v>496</v>
      </c>
      <c r="BX32" s="323" t="s">
        <v>506</v>
      </c>
    </row>
    <row r="33" s="323" customFormat="1" customHeight="1" spans="1:76">
      <c r="A33" s="323">
        <v>11</v>
      </c>
      <c r="C33" s="337">
        <v>2023.6</v>
      </c>
      <c r="D33" s="323">
        <v>20230004864</v>
      </c>
      <c r="F33" s="338" t="s">
        <v>1300</v>
      </c>
      <c r="G33" s="323" t="s">
        <v>1301</v>
      </c>
      <c r="H33" s="833" t="s">
        <v>1302</v>
      </c>
      <c r="I33" s="364" t="s">
        <v>1303</v>
      </c>
      <c r="J33" s="323">
        <v>146.97</v>
      </c>
      <c r="K33" s="323">
        <v>146.97</v>
      </c>
      <c r="L33" s="365">
        <f>M33/K33</f>
        <v>5877.22664489352</v>
      </c>
      <c r="M33" s="326">
        <v>863776</v>
      </c>
      <c r="N33" s="327"/>
      <c r="O33" s="328">
        <v>792455.05</v>
      </c>
      <c r="P33" s="363" t="s">
        <v>1304</v>
      </c>
      <c r="Q33" s="362" t="s">
        <v>1253</v>
      </c>
      <c r="R33" s="327"/>
      <c r="S33" s="378"/>
      <c r="T33" s="381"/>
      <c r="U33" s="378" t="s">
        <v>590</v>
      </c>
      <c r="V33" s="327">
        <v>20000</v>
      </c>
      <c r="W33" s="330" t="s">
        <v>989</v>
      </c>
      <c r="X33" s="327">
        <v>343776</v>
      </c>
      <c r="Y33" s="365" t="s">
        <v>1305</v>
      </c>
      <c r="Z33" s="327">
        <v>500000</v>
      </c>
      <c r="AA33" s="378" t="s">
        <v>541</v>
      </c>
      <c r="AB33" s="327"/>
      <c r="AH33" s="327">
        <f t="shared" si="0"/>
        <v>863776</v>
      </c>
      <c r="AK33" s="328">
        <f t="shared" si="3"/>
        <v>0</v>
      </c>
      <c r="AL33" s="338" t="s">
        <v>1306</v>
      </c>
      <c r="AN33" s="390"/>
      <c r="AO33" s="390"/>
      <c r="AP33" s="390"/>
      <c r="AQ33" s="332">
        <f>0.6%+0.06%+0.14%</f>
        <v>0.008</v>
      </c>
      <c r="AR33" s="398">
        <f t="shared" si="2"/>
        <v>863776</v>
      </c>
      <c r="AS33" s="327">
        <f t="shared" si="4"/>
        <v>100</v>
      </c>
      <c r="AT33" s="327">
        <f>100+100</f>
        <v>200</v>
      </c>
      <c r="AU33" s="327"/>
      <c r="AV33" s="327"/>
      <c r="AW33" s="327"/>
      <c r="AX33" s="327"/>
      <c r="AY33" s="401"/>
      <c r="AZ33" s="405">
        <v>363776</v>
      </c>
      <c r="BA33" s="327"/>
      <c r="BB33" s="327"/>
      <c r="BC33" s="327"/>
      <c r="BD33" s="327">
        <v>500000</v>
      </c>
      <c r="BE33" s="327"/>
      <c r="BT33" s="411" t="s">
        <v>1307</v>
      </c>
      <c r="BW33" s="323" t="s">
        <v>496</v>
      </c>
      <c r="BX33" s="323" t="s">
        <v>506</v>
      </c>
    </row>
    <row r="34" s="323" customFormat="1" customHeight="1" spans="1:76">
      <c r="A34" s="323">
        <v>12</v>
      </c>
      <c r="C34" s="337" t="s">
        <v>1308</v>
      </c>
      <c r="D34" s="323">
        <v>20230000730</v>
      </c>
      <c r="F34" s="833" t="s">
        <v>1309</v>
      </c>
      <c r="G34" s="337" t="s">
        <v>1310</v>
      </c>
      <c r="H34" s="839" t="s">
        <v>1311</v>
      </c>
      <c r="I34" s="361" t="s">
        <v>1312</v>
      </c>
      <c r="J34" s="323">
        <v>137.77</v>
      </c>
      <c r="K34" s="323">
        <v>137.77</v>
      </c>
      <c r="L34" s="323">
        <v>5265.96</v>
      </c>
      <c r="M34" s="326">
        <v>725492</v>
      </c>
      <c r="N34" s="327"/>
      <c r="O34" s="328">
        <v>665588.99</v>
      </c>
      <c r="P34" s="363" t="s">
        <v>1313</v>
      </c>
      <c r="Q34" s="362" t="s">
        <v>1253</v>
      </c>
      <c r="R34" s="327"/>
      <c r="S34" s="378"/>
      <c r="T34" s="381" t="s">
        <v>1314</v>
      </c>
      <c r="U34" s="378" t="s">
        <v>1315</v>
      </c>
      <c r="V34" s="327">
        <v>426492</v>
      </c>
      <c r="W34" s="379" t="s">
        <v>1316</v>
      </c>
      <c r="X34" s="327">
        <v>299000</v>
      </c>
      <c r="Y34" s="378" t="s">
        <v>896</v>
      </c>
      <c r="Z34" s="327"/>
      <c r="AA34" s="365"/>
      <c r="AB34" s="327"/>
      <c r="AH34" s="327">
        <f t="shared" si="0"/>
        <v>725492</v>
      </c>
      <c r="AK34" s="328">
        <f t="shared" si="3"/>
        <v>0</v>
      </c>
      <c r="AL34" s="323">
        <v>17717779640</v>
      </c>
      <c r="AN34" s="390"/>
      <c r="AO34" s="390"/>
      <c r="AP34" s="390"/>
      <c r="AQ34" s="332">
        <f>0.4%+0.04%+0.1%+0.04%</f>
        <v>0.0058</v>
      </c>
      <c r="AR34" s="398">
        <f t="shared" si="2"/>
        <v>725492</v>
      </c>
      <c r="AS34" s="327">
        <f t="shared" si="4"/>
        <v>100</v>
      </c>
      <c r="AT34" s="327">
        <f>100+100</f>
        <v>200</v>
      </c>
      <c r="AU34" s="327"/>
      <c r="AV34" s="327">
        <v>426492</v>
      </c>
      <c r="AW34" s="327"/>
      <c r="AX34" s="327"/>
      <c r="AY34" s="401"/>
      <c r="AZ34" s="402"/>
      <c r="BA34" s="327"/>
      <c r="BB34" s="327">
        <v>299000</v>
      </c>
      <c r="BC34" s="327"/>
      <c r="BD34" s="327"/>
      <c r="BE34" s="327"/>
      <c r="BW34" s="323" t="s">
        <v>496</v>
      </c>
      <c r="BX34" s="323" t="s">
        <v>506</v>
      </c>
    </row>
    <row r="35" s="323" customFormat="1" ht="33" customHeight="1" spans="1:76">
      <c r="A35" s="323">
        <v>13</v>
      </c>
      <c r="C35" s="337" t="s">
        <v>1277</v>
      </c>
      <c r="D35" s="323">
        <v>20230000725</v>
      </c>
      <c r="F35" s="833" t="s">
        <v>1317</v>
      </c>
      <c r="G35" s="337" t="s">
        <v>1318</v>
      </c>
      <c r="H35" s="839" t="s">
        <v>1319</v>
      </c>
      <c r="I35" s="364" t="s">
        <v>1320</v>
      </c>
      <c r="J35" s="323">
        <v>146.97</v>
      </c>
      <c r="K35" s="323">
        <v>146.97</v>
      </c>
      <c r="L35" s="323">
        <v>5298.97</v>
      </c>
      <c r="M35" s="326">
        <v>778789</v>
      </c>
      <c r="N35" s="327"/>
      <c r="O35" s="328">
        <v>714485.32</v>
      </c>
      <c r="P35" s="363" t="s">
        <v>1321</v>
      </c>
      <c r="Q35" s="362" t="s">
        <v>1253</v>
      </c>
      <c r="R35" s="327"/>
      <c r="S35" s="378"/>
      <c r="T35" s="381" t="s">
        <v>1322</v>
      </c>
      <c r="U35" s="378" t="s">
        <v>1323</v>
      </c>
      <c r="V35" s="327">
        <f>2000-2000</f>
        <v>0</v>
      </c>
      <c r="W35" s="379">
        <v>44753</v>
      </c>
      <c r="X35" s="327">
        <v>102789</v>
      </c>
      <c r="Y35" s="365" t="s">
        <v>1277</v>
      </c>
      <c r="Z35" s="327">
        <v>112000</v>
      </c>
      <c r="AA35" s="365" t="s">
        <v>1305</v>
      </c>
      <c r="AB35" s="327">
        <v>65000</v>
      </c>
      <c r="AC35" s="323" t="s">
        <v>1324</v>
      </c>
      <c r="AD35" s="327">
        <v>499000</v>
      </c>
      <c r="AE35" s="378" t="s">
        <v>866</v>
      </c>
      <c r="AH35" s="327">
        <f t="shared" ref="AH35:AH40" si="5">V35+X35+Z35+AB35+AD35+AF35</f>
        <v>778789</v>
      </c>
      <c r="AK35" s="328">
        <f t="shared" si="3"/>
        <v>0</v>
      </c>
      <c r="AL35" s="323">
        <v>13139737559</v>
      </c>
      <c r="AN35" s="390"/>
      <c r="AO35" s="390"/>
      <c r="AP35" s="390"/>
      <c r="AQ35" s="332">
        <f>0.6%+0.1%</f>
        <v>0.007</v>
      </c>
      <c r="AR35" s="398">
        <f t="shared" si="2"/>
        <v>778789</v>
      </c>
      <c r="AS35" s="327">
        <f>100+100</f>
        <v>200</v>
      </c>
      <c r="AT35" s="327"/>
      <c r="AU35" s="327"/>
      <c r="AV35" s="327"/>
      <c r="AW35" s="327"/>
      <c r="AX35" s="327"/>
      <c r="AY35" s="401"/>
      <c r="AZ35" s="405">
        <v>167789</v>
      </c>
      <c r="BA35" s="327">
        <v>611000</v>
      </c>
      <c r="BB35" s="327"/>
      <c r="BC35" s="327"/>
      <c r="BD35" s="327"/>
      <c r="BE35" s="327"/>
      <c r="BU35" s="413"/>
      <c r="BW35" s="323" t="s">
        <v>496</v>
      </c>
      <c r="BX35" s="323" t="s">
        <v>506</v>
      </c>
    </row>
    <row r="36" s="323" customFormat="1" customHeight="1" spans="1:76">
      <c r="A36" s="323">
        <v>14</v>
      </c>
      <c r="C36" s="337" t="s">
        <v>1325</v>
      </c>
      <c r="D36" s="323">
        <v>20230000142</v>
      </c>
      <c r="F36" s="833" t="s">
        <v>1326</v>
      </c>
      <c r="G36" s="337" t="s">
        <v>1327</v>
      </c>
      <c r="H36" s="839" t="s">
        <v>1328</v>
      </c>
      <c r="I36" s="361" t="s">
        <v>1329</v>
      </c>
      <c r="J36" s="323">
        <v>137.77</v>
      </c>
      <c r="K36" s="323">
        <v>137.77</v>
      </c>
      <c r="L36" s="323">
        <v>5310.96</v>
      </c>
      <c r="M36" s="326">
        <v>731691</v>
      </c>
      <c r="N36" s="327"/>
      <c r="O36" s="328">
        <v>671276.15</v>
      </c>
      <c r="P36" s="363" t="s">
        <v>1330</v>
      </c>
      <c r="Q36" s="362" t="s">
        <v>1253</v>
      </c>
      <c r="R36" s="327"/>
      <c r="S36" s="330"/>
      <c r="T36" s="381" t="s">
        <v>1331</v>
      </c>
      <c r="U36" s="378" t="s">
        <v>1332</v>
      </c>
      <c r="V36" s="327">
        <f>2000</f>
        <v>2000</v>
      </c>
      <c r="W36" s="379">
        <v>44760</v>
      </c>
      <c r="X36" s="327">
        <v>18000</v>
      </c>
      <c r="Y36" s="365" t="s">
        <v>1297</v>
      </c>
      <c r="Z36" s="327">
        <v>163691</v>
      </c>
      <c r="AA36" s="365" t="s">
        <v>1333</v>
      </c>
      <c r="AB36" s="327">
        <v>348000</v>
      </c>
      <c r="AC36" s="323" t="s">
        <v>1334</v>
      </c>
      <c r="AD36" s="323">
        <v>200000</v>
      </c>
      <c r="AE36" s="323" t="s">
        <v>1335</v>
      </c>
      <c r="AH36" s="327">
        <f t="shared" si="5"/>
        <v>731691</v>
      </c>
      <c r="AK36" s="328">
        <f t="shared" si="3"/>
        <v>0</v>
      </c>
      <c r="AL36" s="323">
        <v>13369967520</v>
      </c>
      <c r="AN36" s="390"/>
      <c r="AO36" s="390"/>
      <c r="AP36" s="390"/>
      <c r="AQ36" s="332">
        <f t="shared" ref="AQ36:AQ38" si="6">0.6%+0.04%+0.1%</f>
        <v>0.0074</v>
      </c>
      <c r="AR36" s="398">
        <f t="shared" si="2"/>
        <v>731691</v>
      </c>
      <c r="AS36" s="327"/>
      <c r="AT36" s="327">
        <v>100</v>
      </c>
      <c r="AU36" s="327">
        <v>183691</v>
      </c>
      <c r="AV36" s="327">
        <v>348000</v>
      </c>
      <c r="AW36" s="327"/>
      <c r="AX36" s="327"/>
      <c r="AY36" s="401"/>
      <c r="AZ36" s="406">
        <v>200000</v>
      </c>
      <c r="BA36" s="327"/>
      <c r="BB36" s="327"/>
      <c r="BC36" s="327"/>
      <c r="BD36" s="327"/>
      <c r="BE36" s="327"/>
      <c r="BU36" s="413"/>
      <c r="BW36" s="323" t="s">
        <v>496</v>
      </c>
      <c r="BX36" s="323" t="s">
        <v>506</v>
      </c>
    </row>
    <row r="37" s="323" customFormat="1" customHeight="1" spans="1:76">
      <c r="A37" s="323">
        <v>15</v>
      </c>
      <c r="C37" s="337" t="s">
        <v>1336</v>
      </c>
      <c r="D37" s="323">
        <v>20230000953</v>
      </c>
      <c r="F37" s="833" t="s">
        <v>1337</v>
      </c>
      <c r="G37" s="323" t="s">
        <v>1338</v>
      </c>
      <c r="H37" s="833" t="s">
        <v>1339</v>
      </c>
      <c r="I37" s="361" t="s">
        <v>1340</v>
      </c>
      <c r="J37" s="323">
        <v>146.97</v>
      </c>
      <c r="K37" s="323">
        <v>146.97</v>
      </c>
      <c r="L37" s="323">
        <v>5323.96</v>
      </c>
      <c r="M37" s="326">
        <v>782463</v>
      </c>
      <c r="N37" s="327"/>
      <c r="O37" s="328">
        <v>717855.96</v>
      </c>
      <c r="P37" s="363" t="s">
        <v>1341</v>
      </c>
      <c r="Q37" s="362" t="s">
        <v>1253</v>
      </c>
      <c r="R37" s="327"/>
      <c r="T37" s="383" t="s">
        <v>1342</v>
      </c>
      <c r="U37" s="323" t="s">
        <v>1343</v>
      </c>
      <c r="V37" s="327">
        <v>77463</v>
      </c>
      <c r="W37" s="365" t="s">
        <v>1344</v>
      </c>
      <c r="X37" s="327">
        <v>80000</v>
      </c>
      <c r="Y37" s="365" t="s">
        <v>1334</v>
      </c>
      <c r="Z37" s="327">
        <v>12000</v>
      </c>
      <c r="AA37" s="323" t="s">
        <v>1345</v>
      </c>
      <c r="AB37" s="327">
        <v>613000</v>
      </c>
      <c r="AC37" s="323" t="s">
        <v>540</v>
      </c>
      <c r="AH37" s="327">
        <f t="shared" si="5"/>
        <v>782463</v>
      </c>
      <c r="AK37" s="328">
        <f t="shared" si="3"/>
        <v>0</v>
      </c>
      <c r="AL37" s="323">
        <v>13999627205</v>
      </c>
      <c r="AN37" s="390"/>
      <c r="AO37" s="390"/>
      <c r="AP37" s="390"/>
      <c r="AQ37" s="332">
        <f>0.6%+0.04%+0.1%+0.04%</f>
        <v>0.0078</v>
      </c>
      <c r="AR37" s="398">
        <f t="shared" si="2"/>
        <v>782463</v>
      </c>
      <c r="AS37" s="327"/>
      <c r="AT37" s="327"/>
      <c r="AU37" s="327"/>
      <c r="AV37" s="327">
        <v>157463</v>
      </c>
      <c r="AW37" s="327"/>
      <c r="AX37" s="327"/>
      <c r="AY37" s="401"/>
      <c r="AZ37" s="402"/>
      <c r="BA37" s="327"/>
      <c r="BB37" s="327"/>
      <c r="BC37" s="327">
        <v>625000</v>
      </c>
      <c r="BD37" s="327"/>
      <c r="BE37" s="327"/>
      <c r="BU37" s="413"/>
      <c r="BW37" s="323" t="s">
        <v>496</v>
      </c>
      <c r="BX37" s="323" t="s">
        <v>506</v>
      </c>
    </row>
    <row r="38" s="323" customFormat="1" customHeight="1" spans="1:76">
      <c r="A38" s="323">
        <v>16</v>
      </c>
      <c r="C38" s="337" t="s">
        <v>1245</v>
      </c>
      <c r="D38" s="323">
        <v>20230001308</v>
      </c>
      <c r="F38" s="323" t="s">
        <v>1346</v>
      </c>
      <c r="G38" s="337" t="s">
        <v>1347</v>
      </c>
      <c r="H38" s="839" t="s">
        <v>1348</v>
      </c>
      <c r="I38" s="361" t="s">
        <v>1349</v>
      </c>
      <c r="J38" s="323">
        <v>137.77</v>
      </c>
      <c r="K38" s="323">
        <v>137.77</v>
      </c>
      <c r="L38" s="323">
        <v>5335.96</v>
      </c>
      <c r="M38" s="326">
        <v>735136</v>
      </c>
      <c r="N38" s="327"/>
      <c r="O38" s="328">
        <v>674436.7</v>
      </c>
      <c r="P38" s="363" t="s">
        <v>1350</v>
      </c>
      <c r="Q38" s="363" t="s">
        <v>1351</v>
      </c>
      <c r="R38" s="327"/>
      <c r="S38" s="330"/>
      <c r="T38" s="331" t="s">
        <v>1352</v>
      </c>
      <c r="U38" s="330" t="s">
        <v>1353</v>
      </c>
      <c r="V38" s="327">
        <v>192136</v>
      </c>
      <c r="W38" s="365" t="s">
        <v>1245</v>
      </c>
      <c r="X38" s="327">
        <v>43000</v>
      </c>
      <c r="Y38" s="323" t="s">
        <v>1333</v>
      </c>
      <c r="Z38" s="327">
        <v>500000</v>
      </c>
      <c r="AA38" s="365" t="s">
        <v>1336</v>
      </c>
      <c r="AB38" s="327"/>
      <c r="AH38" s="327">
        <f t="shared" si="5"/>
        <v>735136</v>
      </c>
      <c r="AK38" s="328">
        <f t="shared" si="3"/>
        <v>0</v>
      </c>
      <c r="AL38" s="323">
        <v>18794759920</v>
      </c>
      <c r="AN38" s="390"/>
      <c r="AO38" s="390"/>
      <c r="AP38" s="390"/>
      <c r="AQ38" s="332">
        <f t="shared" si="6"/>
        <v>0.0074</v>
      </c>
      <c r="AR38" s="398">
        <f t="shared" si="2"/>
        <v>735136</v>
      </c>
      <c r="AS38" s="327">
        <v>100</v>
      </c>
      <c r="AT38" s="327">
        <v>100</v>
      </c>
      <c r="AU38" s="327"/>
      <c r="AV38" s="327">
        <v>235136</v>
      </c>
      <c r="AW38" s="327">
        <v>500000</v>
      </c>
      <c r="AX38" s="327"/>
      <c r="AY38" s="401"/>
      <c r="AZ38" s="402"/>
      <c r="BA38" s="327"/>
      <c r="BB38" s="327"/>
      <c r="BC38" s="327"/>
      <c r="BD38" s="327"/>
      <c r="BE38" s="327"/>
      <c r="BU38" s="413"/>
      <c r="BW38" s="323" t="s">
        <v>496</v>
      </c>
      <c r="BX38" s="323" t="s">
        <v>506</v>
      </c>
    </row>
    <row r="39" s="323" customFormat="1" customHeight="1" spans="1:76">
      <c r="A39" s="323">
        <v>17</v>
      </c>
      <c r="C39" s="337" t="s">
        <v>1354</v>
      </c>
      <c r="D39" s="323">
        <v>20230003229</v>
      </c>
      <c r="F39" s="833" t="s">
        <v>1355</v>
      </c>
      <c r="G39" s="323" t="s">
        <v>1356</v>
      </c>
      <c r="H39" s="833" t="s">
        <v>1357</v>
      </c>
      <c r="I39" s="364" t="s">
        <v>1358</v>
      </c>
      <c r="J39" s="323">
        <v>146.97</v>
      </c>
      <c r="K39" s="323">
        <v>146.97</v>
      </c>
      <c r="L39" s="323">
        <v>5368.96</v>
      </c>
      <c r="M39" s="326">
        <v>789076</v>
      </c>
      <c r="N39" s="327"/>
      <c r="O39" s="328"/>
      <c r="P39" s="362"/>
      <c r="Q39" s="362"/>
      <c r="R39" s="327"/>
      <c r="S39" s="330"/>
      <c r="T39" s="331" t="s">
        <v>1359</v>
      </c>
      <c r="U39" s="330" t="s">
        <v>1360</v>
      </c>
      <c r="V39" s="327">
        <v>2000</v>
      </c>
      <c r="W39" s="380">
        <v>44763</v>
      </c>
      <c r="X39" s="327">
        <v>18000</v>
      </c>
      <c r="Y39" s="365" t="s">
        <v>1297</v>
      </c>
      <c r="Z39" s="327">
        <v>239076</v>
      </c>
      <c r="AA39" s="365" t="s">
        <v>1354</v>
      </c>
      <c r="AB39" s="327"/>
      <c r="AH39" s="327">
        <f t="shared" si="5"/>
        <v>259076</v>
      </c>
      <c r="AK39" s="328">
        <f t="shared" si="3"/>
        <v>530000</v>
      </c>
      <c r="AL39" s="323">
        <v>13899055333</v>
      </c>
      <c r="AN39" s="390"/>
      <c r="AO39" s="390"/>
      <c r="AP39" s="390"/>
      <c r="AQ39" s="332">
        <v>0.0054</v>
      </c>
      <c r="AR39" s="398">
        <f t="shared" si="2"/>
        <v>0</v>
      </c>
      <c r="AS39" s="327">
        <f>100</f>
        <v>100</v>
      </c>
      <c r="AT39" s="327"/>
      <c r="AU39" s="327"/>
      <c r="AV39" s="327"/>
      <c r="AW39" s="327"/>
      <c r="AX39" s="327"/>
      <c r="AY39" s="401"/>
      <c r="AZ39" s="404"/>
      <c r="BA39" s="327"/>
      <c r="BB39" s="327"/>
      <c r="BC39" s="327"/>
      <c r="BD39" s="327"/>
      <c r="BE39" s="327"/>
      <c r="BU39" s="413"/>
      <c r="BW39" s="323" t="s">
        <v>496</v>
      </c>
      <c r="BX39" s="323" t="s">
        <v>506</v>
      </c>
    </row>
    <row r="40" s="323" customFormat="1" customHeight="1" spans="1:76">
      <c r="A40" s="323">
        <v>18</v>
      </c>
      <c r="C40" s="337" t="s">
        <v>1276</v>
      </c>
      <c r="D40" s="323">
        <v>20230001243</v>
      </c>
      <c r="F40" s="833" t="s">
        <v>1361</v>
      </c>
      <c r="G40" s="339" t="s">
        <v>1362</v>
      </c>
      <c r="H40" s="839" t="s">
        <v>1363</v>
      </c>
      <c r="I40" s="361" t="s">
        <v>1364</v>
      </c>
      <c r="J40" s="323">
        <v>137.77</v>
      </c>
      <c r="K40" s="323">
        <v>137.77</v>
      </c>
      <c r="L40" s="323">
        <v>5380.96</v>
      </c>
      <c r="M40" s="326">
        <v>741335</v>
      </c>
      <c r="N40" s="327"/>
      <c r="O40" s="328">
        <v>680123.85</v>
      </c>
      <c r="P40" s="363" t="s">
        <v>1365</v>
      </c>
      <c r="Q40" s="362" t="s">
        <v>1253</v>
      </c>
      <c r="R40" s="327"/>
      <c r="S40" s="378"/>
      <c r="T40" s="381" t="s">
        <v>1366</v>
      </c>
      <c r="U40" s="378" t="s">
        <v>1367</v>
      </c>
      <c r="V40" s="327">
        <v>242335</v>
      </c>
      <c r="W40" s="365" t="s">
        <v>1276</v>
      </c>
      <c r="X40" s="327">
        <v>499000</v>
      </c>
      <c r="Y40" s="365" t="s">
        <v>1368</v>
      </c>
      <c r="Z40" s="327"/>
      <c r="AA40" s="365"/>
      <c r="AB40" s="327"/>
      <c r="AH40" s="327">
        <f t="shared" si="5"/>
        <v>741335</v>
      </c>
      <c r="AK40" s="328">
        <f t="shared" si="3"/>
        <v>0</v>
      </c>
      <c r="AL40" s="323">
        <v>13565026218</v>
      </c>
      <c r="AN40" s="390"/>
      <c r="AO40" s="390"/>
      <c r="AP40" s="390"/>
      <c r="AQ40" s="332">
        <f>0.6%+0.1%</f>
        <v>0.007</v>
      </c>
      <c r="AR40" s="398">
        <f t="shared" si="2"/>
        <v>741335</v>
      </c>
      <c r="AS40" s="327"/>
      <c r="AT40" s="327">
        <f>100+100</f>
        <v>200</v>
      </c>
      <c r="AU40" s="327"/>
      <c r="AV40" s="327">
        <v>242335</v>
      </c>
      <c r="AW40" s="327"/>
      <c r="AX40" s="327"/>
      <c r="AY40" s="401">
        <v>499000</v>
      </c>
      <c r="AZ40" s="402"/>
      <c r="BA40" s="327"/>
      <c r="BB40" s="327"/>
      <c r="BC40" s="327"/>
      <c r="BD40" s="327"/>
      <c r="BE40" s="327"/>
      <c r="BU40" s="413"/>
      <c r="BW40" s="323" t="s">
        <v>496</v>
      </c>
      <c r="BX40" s="323" t="s">
        <v>506</v>
      </c>
    </row>
    <row r="41" s="323" customFormat="1" customHeight="1" spans="1:76">
      <c r="A41" s="323">
        <v>19</v>
      </c>
      <c r="C41" s="337" t="s">
        <v>1276</v>
      </c>
      <c r="D41" s="323">
        <v>20230001161</v>
      </c>
      <c r="F41" s="833" t="s">
        <v>1369</v>
      </c>
      <c r="G41" s="337" t="s">
        <v>1370</v>
      </c>
      <c r="H41" s="839" t="s">
        <v>1371</v>
      </c>
      <c r="I41" s="364" t="s">
        <v>1372</v>
      </c>
      <c r="J41" s="323">
        <v>146.97</v>
      </c>
      <c r="K41" s="323">
        <v>146.97</v>
      </c>
      <c r="L41" s="323">
        <v>5388.96</v>
      </c>
      <c r="M41" s="326">
        <v>792016</v>
      </c>
      <c r="N41" s="327"/>
      <c r="O41" s="328">
        <v>726620.18</v>
      </c>
      <c r="P41" s="363" t="s">
        <v>1373</v>
      </c>
      <c r="Q41" s="362" t="s">
        <v>1253</v>
      </c>
      <c r="R41" s="327"/>
      <c r="S41" s="378"/>
      <c r="T41" s="381" t="s">
        <v>1374</v>
      </c>
      <c r="U41" s="378" t="s">
        <v>1375</v>
      </c>
      <c r="V41" s="323">
        <v>542016</v>
      </c>
      <c r="W41" s="365" t="s">
        <v>1276</v>
      </c>
      <c r="X41" s="327">
        <v>250000</v>
      </c>
      <c r="Y41" s="378" t="s">
        <v>1345</v>
      </c>
      <c r="Z41" s="327"/>
      <c r="AA41" s="365"/>
      <c r="AB41" s="327"/>
      <c r="AH41" s="327">
        <f t="shared" ref="AH41:AH46" si="7">V41+X41+Z41+AB41+AD41+AF41</f>
        <v>792016</v>
      </c>
      <c r="AK41" s="328">
        <f t="shared" si="3"/>
        <v>0</v>
      </c>
      <c r="AL41" s="323">
        <v>15699251659</v>
      </c>
      <c r="AN41" s="390"/>
      <c r="AO41" s="390"/>
      <c r="AP41" s="390"/>
      <c r="AQ41" s="332">
        <f>0.4%+0.04%+0.1%</f>
        <v>0.0054</v>
      </c>
      <c r="AR41" s="398">
        <f t="shared" si="2"/>
        <v>792016</v>
      </c>
      <c r="AS41" s="327">
        <f>100</f>
        <v>100</v>
      </c>
      <c r="AT41" s="327"/>
      <c r="AU41" s="327"/>
      <c r="AV41" s="327">
        <v>542016</v>
      </c>
      <c r="AW41" s="327"/>
      <c r="AX41" s="327"/>
      <c r="AY41" s="401"/>
      <c r="AZ41" s="402"/>
      <c r="BA41" s="327">
        <v>250000</v>
      </c>
      <c r="BB41" s="327"/>
      <c r="BC41" s="327"/>
      <c r="BD41" s="327"/>
      <c r="BE41" s="327"/>
      <c r="BU41" s="413"/>
      <c r="BW41" s="323" t="s">
        <v>496</v>
      </c>
      <c r="BX41" s="323" t="s">
        <v>506</v>
      </c>
    </row>
    <row r="42" s="323" customFormat="1" customHeight="1" spans="1:76">
      <c r="A42" s="323">
        <v>20</v>
      </c>
      <c r="C42" s="337" t="s">
        <v>1376</v>
      </c>
      <c r="D42" s="323">
        <v>20230000170</v>
      </c>
      <c r="F42" s="833" t="s">
        <v>1377</v>
      </c>
      <c r="G42" s="337" t="s">
        <v>1201</v>
      </c>
      <c r="I42" s="361" t="s">
        <v>1378</v>
      </c>
      <c r="J42" s="323">
        <v>137.77</v>
      </c>
      <c r="K42" s="323">
        <v>137.77</v>
      </c>
      <c r="L42" s="323">
        <v>5351</v>
      </c>
      <c r="M42" s="366">
        <v>737202</v>
      </c>
      <c r="N42" s="367"/>
      <c r="O42" s="328">
        <v>676332.11</v>
      </c>
      <c r="P42" s="363" t="s">
        <v>1379</v>
      </c>
      <c r="Q42" s="362" t="s">
        <v>1253</v>
      </c>
      <c r="R42" s="327"/>
      <c r="S42" s="330"/>
      <c r="T42" s="331" t="s">
        <v>1380</v>
      </c>
      <c r="U42" s="330" t="s">
        <v>1381</v>
      </c>
      <c r="V42" s="327">
        <v>2000</v>
      </c>
      <c r="W42" s="380">
        <v>44762</v>
      </c>
      <c r="X42" s="327">
        <v>18000</v>
      </c>
      <c r="Y42" s="389" t="s">
        <v>1297</v>
      </c>
      <c r="Z42" s="327">
        <v>73202</v>
      </c>
      <c r="AA42" s="323" t="s">
        <v>1376</v>
      </c>
      <c r="AB42" s="327">
        <v>60000</v>
      </c>
      <c r="AC42" s="323" t="s">
        <v>1382</v>
      </c>
      <c r="AD42" s="323">
        <v>85000</v>
      </c>
      <c r="AE42" s="323" t="s">
        <v>1039</v>
      </c>
      <c r="AF42" s="323">
        <v>499000</v>
      </c>
      <c r="AG42" s="323" t="s">
        <v>1383</v>
      </c>
      <c r="AH42" s="327">
        <f t="shared" si="7"/>
        <v>737202</v>
      </c>
      <c r="AK42" s="328">
        <f t="shared" si="3"/>
        <v>0</v>
      </c>
      <c r="AL42" s="338" t="s">
        <v>1384</v>
      </c>
      <c r="AM42" s="338"/>
      <c r="AN42" s="391"/>
      <c r="AO42" s="391"/>
      <c r="AP42" s="391"/>
      <c r="AQ42" s="332">
        <f>0.6%+0.04%+0.1%</f>
        <v>0.0074</v>
      </c>
      <c r="AR42" s="398">
        <f t="shared" si="2"/>
        <v>737202</v>
      </c>
      <c r="AS42" s="327"/>
      <c r="AT42" s="327"/>
      <c r="AU42" s="327"/>
      <c r="AV42" s="327"/>
      <c r="AW42" s="327">
        <v>238202</v>
      </c>
      <c r="AX42" s="327">
        <v>499000</v>
      </c>
      <c r="AY42" s="401"/>
      <c r="AZ42" s="402"/>
      <c r="BA42" s="327"/>
      <c r="BB42" s="327"/>
      <c r="BC42" s="327"/>
      <c r="BD42" s="327"/>
      <c r="BE42" s="327"/>
      <c r="BU42" s="413"/>
      <c r="BW42" s="323" t="s">
        <v>496</v>
      </c>
      <c r="BX42" s="323" t="s">
        <v>506</v>
      </c>
    </row>
    <row r="43" s="323" customFormat="1" ht="60" customHeight="1" spans="1:76">
      <c r="A43" s="323">
        <v>21</v>
      </c>
      <c r="C43" s="337" t="s">
        <v>696</v>
      </c>
      <c r="D43" s="323">
        <v>20230005171</v>
      </c>
      <c r="F43" s="833" t="s">
        <v>1385</v>
      </c>
      <c r="G43" s="337" t="s">
        <v>1386</v>
      </c>
      <c r="H43" s="839" t="s">
        <v>1387</v>
      </c>
      <c r="I43" s="364" t="s">
        <v>1388</v>
      </c>
      <c r="J43" s="323">
        <v>146.97</v>
      </c>
      <c r="K43" s="323">
        <v>146.97</v>
      </c>
      <c r="L43" s="323">
        <v>6443.5</v>
      </c>
      <c r="M43" s="326">
        <v>947000</v>
      </c>
      <c r="N43" s="327"/>
      <c r="O43" s="328">
        <v>868807.34</v>
      </c>
      <c r="P43" s="363" t="s">
        <v>1389</v>
      </c>
      <c r="Q43" s="362" t="s">
        <v>1253</v>
      </c>
      <c r="R43" s="327"/>
      <c r="S43" s="378"/>
      <c r="T43" s="381" t="s">
        <v>1390</v>
      </c>
      <c r="U43" s="378" t="s">
        <v>1391</v>
      </c>
      <c r="V43" s="327">
        <f>20000+2000-2000+2000-2000</f>
        <v>20000</v>
      </c>
      <c r="W43" s="379" t="s">
        <v>1392</v>
      </c>
      <c r="X43" s="327">
        <v>80000</v>
      </c>
      <c r="Y43" s="365" t="s">
        <v>1393</v>
      </c>
      <c r="Z43" s="327">
        <v>90000</v>
      </c>
      <c r="AA43" s="365" t="s">
        <v>696</v>
      </c>
      <c r="AB43" s="327">
        <v>47000</v>
      </c>
      <c r="AC43" s="378" t="s">
        <v>968</v>
      </c>
      <c r="AD43" s="327">
        <v>710000</v>
      </c>
      <c r="AE43" s="378" t="s">
        <v>907</v>
      </c>
      <c r="AH43" s="327">
        <f t="shared" si="7"/>
        <v>947000</v>
      </c>
      <c r="AK43" s="328">
        <f t="shared" si="3"/>
        <v>0</v>
      </c>
      <c r="AL43" s="323">
        <v>15739869730</v>
      </c>
      <c r="AN43" s="390"/>
      <c r="AO43" s="390"/>
      <c r="AP43" s="390"/>
      <c r="AQ43" s="332">
        <f>0.4%+0.04%+0.1%</f>
        <v>0.0054</v>
      </c>
      <c r="AR43" s="398">
        <f t="shared" si="2"/>
        <v>947000</v>
      </c>
      <c r="AS43" s="327">
        <f>100+100</f>
        <v>200</v>
      </c>
      <c r="AT43" s="327">
        <f>100</f>
        <v>100</v>
      </c>
      <c r="AU43" s="327"/>
      <c r="AV43" s="327"/>
      <c r="AW43" s="327"/>
      <c r="AX43" s="327"/>
      <c r="AY43" s="401"/>
      <c r="AZ43" s="405">
        <v>190000</v>
      </c>
      <c r="BA43" s="327"/>
      <c r="BB43" s="327"/>
      <c r="BC43" s="327"/>
      <c r="BD43" s="327">
        <v>757000</v>
      </c>
      <c r="BE43" s="327"/>
      <c r="BU43" s="413"/>
      <c r="BW43" s="323" t="s">
        <v>496</v>
      </c>
      <c r="BX43" s="323" t="s">
        <v>506</v>
      </c>
    </row>
    <row r="44" s="323" customFormat="1" ht="58" customHeight="1" spans="1:76">
      <c r="A44" s="323">
        <v>22</v>
      </c>
      <c r="C44" s="337" t="s">
        <v>1245</v>
      </c>
      <c r="D44" s="323">
        <v>20230001343</v>
      </c>
      <c r="F44" s="833" t="s">
        <v>1394</v>
      </c>
      <c r="G44" s="337" t="s">
        <v>1203</v>
      </c>
      <c r="H44" s="839" t="s">
        <v>1395</v>
      </c>
      <c r="I44" s="361" t="s">
        <v>1396</v>
      </c>
      <c r="J44" s="323">
        <v>137.77</v>
      </c>
      <c r="K44" s="323">
        <v>137.77</v>
      </c>
      <c r="L44" s="323">
        <v>6520</v>
      </c>
      <c r="M44" s="326">
        <v>898260</v>
      </c>
      <c r="N44" s="327"/>
      <c r="O44" s="328">
        <v>824091.74</v>
      </c>
      <c r="P44" s="363" t="s">
        <v>1397</v>
      </c>
      <c r="Q44" s="362" t="s">
        <v>1253</v>
      </c>
      <c r="R44" s="327"/>
      <c r="S44" s="378"/>
      <c r="T44" s="378" t="s">
        <v>1398</v>
      </c>
      <c r="U44" s="378" t="s">
        <v>1399</v>
      </c>
      <c r="V44" s="323">
        <v>328260</v>
      </c>
      <c r="W44" s="365" t="s">
        <v>1245</v>
      </c>
      <c r="X44" s="327">
        <v>370000</v>
      </c>
      <c r="Y44" s="365" t="s">
        <v>1368</v>
      </c>
      <c r="Z44" s="327">
        <v>200000</v>
      </c>
      <c r="AA44" s="378" t="s">
        <v>1400</v>
      </c>
      <c r="AB44" s="327"/>
      <c r="AH44" s="327">
        <f t="shared" si="7"/>
        <v>898260</v>
      </c>
      <c r="AK44" s="328">
        <f t="shared" si="3"/>
        <v>0</v>
      </c>
      <c r="AL44" s="338" t="s">
        <v>1401</v>
      </c>
      <c r="AN44" s="390"/>
      <c r="AO44" s="390"/>
      <c r="AP44" s="390"/>
      <c r="AQ44" s="332">
        <f>0.4%+0.04%+0.1%+0.04%</f>
        <v>0.0058</v>
      </c>
      <c r="AR44" s="398">
        <f t="shared" si="2"/>
        <v>898260</v>
      </c>
      <c r="AS44" s="327"/>
      <c r="AT44" s="327">
        <f>100+100</f>
        <v>200</v>
      </c>
      <c r="AU44" s="327"/>
      <c r="AV44" s="327"/>
      <c r="AW44" s="327"/>
      <c r="AX44" s="327"/>
      <c r="AY44" s="401">
        <v>698260</v>
      </c>
      <c r="AZ44" s="402"/>
      <c r="BA44" s="327"/>
      <c r="BB44" s="327"/>
      <c r="BC44" s="327"/>
      <c r="BD44" s="327"/>
      <c r="BE44" s="327">
        <v>200000</v>
      </c>
      <c r="BU44" s="413"/>
      <c r="BW44" s="323" t="s">
        <v>496</v>
      </c>
      <c r="BX44" s="323" t="s">
        <v>506</v>
      </c>
    </row>
    <row r="45" s="323" customFormat="1" customHeight="1" spans="1:76">
      <c r="A45" s="323">
        <v>23</v>
      </c>
      <c r="C45" s="337" t="s">
        <v>656</v>
      </c>
      <c r="D45" s="323">
        <v>20230008632</v>
      </c>
      <c r="F45" s="833" t="s">
        <v>1402</v>
      </c>
      <c r="G45" s="337" t="s">
        <v>1403</v>
      </c>
      <c r="H45" s="839" t="s">
        <v>1404</v>
      </c>
      <c r="I45" s="364" t="s">
        <v>1405</v>
      </c>
      <c r="J45" s="323">
        <v>140.29</v>
      </c>
      <c r="K45" s="323">
        <v>140.29</v>
      </c>
      <c r="L45" s="323">
        <v>7860</v>
      </c>
      <c r="M45" s="326">
        <v>1102679</v>
      </c>
      <c r="N45" s="327">
        <v>7855</v>
      </c>
      <c r="O45" s="328"/>
      <c r="P45" s="363"/>
      <c r="Q45" s="363"/>
      <c r="R45" s="327"/>
      <c r="T45" s="323" t="s">
        <v>1403</v>
      </c>
      <c r="U45" s="323" t="s">
        <v>502</v>
      </c>
      <c r="V45" s="327">
        <v>20000</v>
      </c>
      <c r="W45" s="323" t="s">
        <v>1406</v>
      </c>
      <c r="X45" s="327">
        <v>282679</v>
      </c>
      <c r="Y45" s="365" t="s">
        <v>1407</v>
      </c>
      <c r="Z45" s="327">
        <v>800000</v>
      </c>
      <c r="AA45" s="323" t="s">
        <v>1408</v>
      </c>
      <c r="AB45" s="327"/>
      <c r="AH45" s="327">
        <f t="shared" si="7"/>
        <v>1102679</v>
      </c>
      <c r="AK45" s="328">
        <f t="shared" si="3"/>
        <v>0</v>
      </c>
      <c r="AL45" s="323">
        <v>18690985916</v>
      </c>
      <c r="AN45" s="390"/>
      <c r="AO45" s="390"/>
      <c r="AP45" s="390"/>
      <c r="AQ45" s="332">
        <f>0.6%+0.1%+0.05%</f>
        <v>0.0075</v>
      </c>
      <c r="AR45" s="398">
        <f t="shared" si="2"/>
        <v>1102679</v>
      </c>
      <c r="AS45" s="327"/>
      <c r="AT45" s="327"/>
      <c r="AU45" s="327"/>
      <c r="AV45" s="327"/>
      <c r="AW45" s="327"/>
      <c r="AX45" s="327"/>
      <c r="AY45" s="184"/>
      <c r="AZ45" s="403"/>
      <c r="BA45" s="327"/>
      <c r="BB45" s="327"/>
      <c r="BC45" s="327"/>
      <c r="BD45" s="327">
        <v>1102679</v>
      </c>
      <c r="BE45" s="327"/>
      <c r="BU45" s="413"/>
      <c r="BW45" s="323" t="s">
        <v>496</v>
      </c>
      <c r="BX45" s="323" t="s">
        <v>506</v>
      </c>
    </row>
    <row r="46" s="323" customFormat="1" ht="42" customHeight="1" spans="1:76">
      <c r="A46" s="323">
        <v>24</v>
      </c>
      <c r="C46" s="337" t="s">
        <v>1344</v>
      </c>
      <c r="D46" s="323">
        <v>20230000901</v>
      </c>
      <c r="F46" s="833" t="s">
        <v>1409</v>
      </c>
      <c r="G46" s="323" t="s">
        <v>1410</v>
      </c>
      <c r="H46" s="833" t="s">
        <v>1411</v>
      </c>
      <c r="I46" s="361" t="s">
        <v>1412</v>
      </c>
      <c r="J46" s="323">
        <v>140.89</v>
      </c>
      <c r="K46" s="323">
        <v>140.89</v>
      </c>
      <c r="L46" s="323">
        <v>7835</v>
      </c>
      <c r="M46" s="326">
        <v>1103873</v>
      </c>
      <c r="N46" s="327"/>
      <c r="O46" s="328">
        <v>1012727.52</v>
      </c>
      <c r="P46" s="363" t="s">
        <v>1413</v>
      </c>
      <c r="Q46" s="362" t="s">
        <v>1253</v>
      </c>
      <c r="R46" s="327"/>
      <c r="S46" s="330"/>
      <c r="T46" s="381" t="s">
        <v>1414</v>
      </c>
      <c r="U46" s="378" t="s">
        <v>1415</v>
      </c>
      <c r="V46" s="327">
        <v>28873</v>
      </c>
      <c r="W46" s="365" t="s">
        <v>1344</v>
      </c>
      <c r="X46" s="323">
        <v>375000</v>
      </c>
      <c r="Y46" s="365" t="s">
        <v>1333</v>
      </c>
      <c r="Z46" s="327">
        <v>700000</v>
      </c>
      <c r="AA46" s="330" t="s">
        <v>1416</v>
      </c>
      <c r="AB46" s="327"/>
      <c r="AH46" s="327">
        <f t="shared" si="7"/>
        <v>1103873</v>
      </c>
      <c r="AK46" s="328">
        <f t="shared" si="3"/>
        <v>0</v>
      </c>
      <c r="AL46" s="323">
        <v>13999007117</v>
      </c>
      <c r="AN46" s="390"/>
      <c r="AO46" s="390"/>
      <c r="AP46" s="390"/>
      <c r="AQ46" s="332">
        <f>0.4%+0.04%+0.1%+0.04%</f>
        <v>0.0058</v>
      </c>
      <c r="AR46" s="398">
        <f t="shared" si="2"/>
        <v>1103873</v>
      </c>
      <c r="AS46" s="327"/>
      <c r="AT46" s="327">
        <v>100</v>
      </c>
      <c r="AU46" s="327"/>
      <c r="AV46" s="327">
        <v>403873</v>
      </c>
      <c r="AW46" s="327"/>
      <c r="AX46" s="327"/>
      <c r="AY46" s="401"/>
      <c r="AZ46" s="402"/>
      <c r="BA46" s="327"/>
      <c r="BB46" s="327"/>
      <c r="BC46" s="327">
        <v>700000</v>
      </c>
      <c r="BD46" s="327"/>
      <c r="BE46" s="327"/>
      <c r="BU46" s="413"/>
      <c r="BW46" s="323" t="s">
        <v>496</v>
      </c>
      <c r="BX46" s="323" t="s">
        <v>506</v>
      </c>
    </row>
    <row r="47" s="323" customFormat="1" customHeight="1" spans="1:76">
      <c r="A47" s="323">
        <v>25</v>
      </c>
      <c r="C47" s="337" t="s">
        <v>881</v>
      </c>
      <c r="D47" s="323">
        <v>20230006450</v>
      </c>
      <c r="F47" s="833" t="s">
        <v>1417</v>
      </c>
      <c r="G47" s="323" t="s">
        <v>1418</v>
      </c>
      <c r="H47" s="833" t="s">
        <v>1419</v>
      </c>
      <c r="I47" s="364" t="s">
        <v>1420</v>
      </c>
      <c r="J47" s="323">
        <v>137.77</v>
      </c>
      <c r="K47" s="323">
        <v>137.77</v>
      </c>
      <c r="L47" s="323">
        <v>5618</v>
      </c>
      <c r="M47" s="326">
        <v>774000</v>
      </c>
      <c r="N47" s="327">
        <v>5266.89</v>
      </c>
      <c r="O47" s="328">
        <v>710091.74</v>
      </c>
      <c r="P47" s="363" t="s">
        <v>1421</v>
      </c>
      <c r="Q47" s="362" t="s">
        <v>1253</v>
      </c>
      <c r="R47" s="327"/>
      <c r="S47" s="330"/>
      <c r="T47" s="330"/>
      <c r="U47" s="330" t="s">
        <v>709</v>
      </c>
      <c r="V47" s="327">
        <v>20000</v>
      </c>
      <c r="W47" s="330" t="s">
        <v>1057</v>
      </c>
      <c r="X47" s="327">
        <f>85000+50000</f>
        <v>135000</v>
      </c>
      <c r="Y47" s="365" t="s">
        <v>881</v>
      </c>
      <c r="Z47" s="327">
        <v>619000</v>
      </c>
      <c r="AA47" s="330" t="s">
        <v>1422</v>
      </c>
      <c r="AB47" s="327"/>
      <c r="AH47" s="327">
        <f t="shared" ref="AH47:AH86" si="8">V47+X47+Z47+AB47+AD47+AF47</f>
        <v>774000</v>
      </c>
      <c r="AK47" s="328">
        <f t="shared" si="3"/>
        <v>0</v>
      </c>
      <c r="AL47" s="323">
        <v>19999769708</v>
      </c>
      <c r="AN47" s="390"/>
      <c r="AO47" s="390"/>
      <c r="AP47" s="390"/>
      <c r="AQ47" s="332">
        <f>0.7%+0.14%</f>
        <v>0.0084</v>
      </c>
      <c r="AR47" s="398">
        <f t="shared" si="2"/>
        <v>774000</v>
      </c>
      <c r="AS47" s="327"/>
      <c r="AT47" s="327">
        <v>100</v>
      </c>
      <c r="AU47" s="327"/>
      <c r="AV47" s="327"/>
      <c r="AW47" s="327"/>
      <c r="AX47" s="327"/>
      <c r="AY47" s="184"/>
      <c r="AZ47" s="403"/>
      <c r="BA47" s="327">
        <v>155000</v>
      </c>
      <c r="BB47" s="327"/>
      <c r="BC47" s="327">
        <v>619000</v>
      </c>
      <c r="BD47" s="327"/>
      <c r="BE47" s="327"/>
      <c r="BU47" s="413"/>
      <c r="BW47" s="323" t="s">
        <v>496</v>
      </c>
      <c r="BX47" s="323" t="s">
        <v>506</v>
      </c>
    </row>
    <row r="48" s="323" customFormat="1" customHeight="1" spans="1:76">
      <c r="A48" s="323">
        <v>26</v>
      </c>
      <c r="C48" s="337" t="s">
        <v>1050</v>
      </c>
      <c r="D48" s="323">
        <v>20230005822</v>
      </c>
      <c r="F48" s="833" t="s">
        <v>1423</v>
      </c>
      <c r="G48" s="323" t="s">
        <v>1424</v>
      </c>
      <c r="I48" s="361" t="s">
        <v>1425</v>
      </c>
      <c r="J48" s="323">
        <v>138.26</v>
      </c>
      <c r="K48" s="323">
        <v>138.26</v>
      </c>
      <c r="L48" s="323">
        <v>5240</v>
      </c>
      <c r="M48" s="326">
        <v>724482</v>
      </c>
      <c r="N48" s="327">
        <v>5246.18</v>
      </c>
      <c r="O48" s="328">
        <v>664662.39</v>
      </c>
      <c r="P48" s="363" t="s">
        <v>1426</v>
      </c>
      <c r="Q48" s="362" t="s">
        <v>1253</v>
      </c>
      <c r="R48" s="327"/>
      <c r="U48" s="323" t="s">
        <v>1427</v>
      </c>
      <c r="V48" s="327">
        <v>10000</v>
      </c>
      <c r="W48" s="323" t="s">
        <v>1428</v>
      </c>
      <c r="X48" s="327">
        <v>50000</v>
      </c>
      <c r="Y48" s="365" t="s">
        <v>1429</v>
      </c>
      <c r="Z48" s="327">
        <v>100482</v>
      </c>
      <c r="AA48" s="323" t="s">
        <v>1050</v>
      </c>
      <c r="AB48" s="327">
        <v>64000</v>
      </c>
      <c r="AC48" s="323" t="s">
        <v>1430</v>
      </c>
      <c r="AD48" s="323">
        <v>500000</v>
      </c>
      <c r="AE48" s="323" t="s">
        <v>1431</v>
      </c>
      <c r="AH48" s="327">
        <f t="shared" si="8"/>
        <v>724482</v>
      </c>
      <c r="AK48" s="328">
        <f t="shared" si="3"/>
        <v>0</v>
      </c>
      <c r="AL48" s="323">
        <v>13899023889</v>
      </c>
      <c r="AN48" s="390"/>
      <c r="AO48" s="390"/>
      <c r="AP48" s="390"/>
      <c r="AQ48" s="332">
        <f>0.6%+0.04%+0.1%</f>
        <v>0.0074</v>
      </c>
      <c r="AR48" s="398">
        <f t="shared" si="2"/>
        <v>724482</v>
      </c>
      <c r="AS48" s="327"/>
      <c r="AT48" s="327"/>
      <c r="AU48" s="327"/>
      <c r="AV48" s="327"/>
      <c r="AW48" s="327"/>
      <c r="AX48" s="327"/>
      <c r="AY48" s="401"/>
      <c r="AZ48" s="402"/>
      <c r="BA48" s="327">
        <v>160482</v>
      </c>
      <c r="BB48" s="327">
        <v>564000</v>
      </c>
      <c r="BC48" s="327"/>
      <c r="BD48" s="327"/>
      <c r="BE48" s="327"/>
      <c r="BU48" s="413"/>
      <c r="BW48" s="323" t="s">
        <v>496</v>
      </c>
      <c r="BX48" s="323" t="s">
        <v>506</v>
      </c>
    </row>
    <row r="49" s="323" customFormat="1" customHeight="1" spans="1:76">
      <c r="A49" s="323">
        <v>27</v>
      </c>
      <c r="C49" s="337" t="s">
        <v>1382</v>
      </c>
      <c r="D49" s="323">
        <v>20230001075</v>
      </c>
      <c r="F49" s="833" t="s">
        <v>1432</v>
      </c>
      <c r="G49" s="323" t="s">
        <v>1433</v>
      </c>
      <c r="H49" s="833" t="s">
        <v>1434</v>
      </c>
      <c r="I49" s="364" t="s">
        <v>1435</v>
      </c>
      <c r="J49" s="323">
        <v>137.77</v>
      </c>
      <c r="K49" s="323">
        <v>137.77</v>
      </c>
      <c r="L49" s="323">
        <v>5258</v>
      </c>
      <c r="M49" s="326">
        <v>724395</v>
      </c>
      <c r="N49" s="327"/>
      <c r="O49" s="328">
        <v>664582.57</v>
      </c>
      <c r="P49" s="363" t="s">
        <v>1436</v>
      </c>
      <c r="Q49" s="362" t="s">
        <v>1253</v>
      </c>
      <c r="R49" s="327"/>
      <c r="T49" s="383" t="s">
        <v>1437</v>
      </c>
      <c r="U49" s="323" t="s">
        <v>1438</v>
      </c>
      <c r="V49" s="327">
        <v>275395</v>
      </c>
      <c r="W49" s="365" t="s">
        <v>1382</v>
      </c>
      <c r="X49" s="327">
        <v>150000</v>
      </c>
      <c r="Y49" s="365" t="s">
        <v>1439</v>
      </c>
      <c r="Z49" s="327">
        <v>299000</v>
      </c>
      <c r="AA49" s="323" t="s">
        <v>1440</v>
      </c>
      <c r="AB49" s="327"/>
      <c r="AH49" s="327">
        <f t="shared" si="8"/>
        <v>724395</v>
      </c>
      <c r="AK49" s="328">
        <f t="shared" si="3"/>
        <v>0</v>
      </c>
      <c r="AL49" s="323">
        <v>15899013555</v>
      </c>
      <c r="AN49" s="390"/>
      <c r="AO49" s="390"/>
      <c r="AP49" s="390"/>
      <c r="AQ49" s="332">
        <f>0.4%+0.04%+0.1%+0.04%</f>
        <v>0.0058</v>
      </c>
      <c r="AR49" s="398">
        <f t="shared" si="2"/>
        <v>724395</v>
      </c>
      <c r="AS49" s="327"/>
      <c r="AT49" s="327"/>
      <c r="AU49" s="327"/>
      <c r="AV49" s="327">
        <v>275395</v>
      </c>
      <c r="AW49" s="327"/>
      <c r="AX49" s="327"/>
      <c r="AY49" s="401"/>
      <c r="AZ49" s="402"/>
      <c r="BA49" s="327"/>
      <c r="BB49" s="327">
        <v>449000</v>
      </c>
      <c r="BC49" s="327"/>
      <c r="BD49" s="327"/>
      <c r="BE49" s="327"/>
      <c r="BU49" s="413"/>
      <c r="BW49" s="323" t="s">
        <v>496</v>
      </c>
      <c r="BX49" s="323" t="s">
        <v>506</v>
      </c>
    </row>
    <row r="50" s="323" customFormat="1" customHeight="1" spans="1:76">
      <c r="A50" s="323">
        <v>28</v>
      </c>
      <c r="C50" s="337" t="s">
        <v>783</v>
      </c>
      <c r="D50" s="323">
        <v>20230001692</v>
      </c>
      <c r="F50" s="323" t="s">
        <v>1441</v>
      </c>
      <c r="G50" s="337" t="s">
        <v>1442</v>
      </c>
      <c r="H50" s="839" t="s">
        <v>1443</v>
      </c>
      <c r="I50" s="364" t="s">
        <v>1444</v>
      </c>
      <c r="J50" s="323">
        <v>138.26</v>
      </c>
      <c r="K50" s="323">
        <v>138.26</v>
      </c>
      <c r="L50" s="323">
        <v>5114.96</v>
      </c>
      <c r="M50" s="326">
        <v>707195</v>
      </c>
      <c r="N50" s="327"/>
      <c r="O50" s="328">
        <v>648802.75</v>
      </c>
      <c r="P50" s="363" t="s">
        <v>1445</v>
      </c>
      <c r="Q50" s="362" t="s">
        <v>1253</v>
      </c>
      <c r="R50" s="327"/>
      <c r="S50" s="330"/>
      <c r="T50" s="331" t="s">
        <v>1446</v>
      </c>
      <c r="U50" s="330" t="s">
        <v>1447</v>
      </c>
      <c r="V50" s="327">
        <v>2000</v>
      </c>
      <c r="W50" s="380">
        <v>44759</v>
      </c>
      <c r="X50" s="327">
        <v>18000</v>
      </c>
      <c r="Y50" s="365" t="s">
        <v>1448</v>
      </c>
      <c r="Z50" s="327">
        <v>687195</v>
      </c>
      <c r="AA50" s="365" t="s">
        <v>783</v>
      </c>
      <c r="AB50" s="327"/>
      <c r="AH50" s="327">
        <f t="shared" si="8"/>
        <v>707195</v>
      </c>
      <c r="AK50" s="328">
        <f t="shared" si="3"/>
        <v>0</v>
      </c>
      <c r="AL50" s="323">
        <v>18109963899</v>
      </c>
      <c r="AN50" s="390"/>
      <c r="AO50" s="390"/>
      <c r="AP50" s="390"/>
      <c r="AQ50" s="332">
        <f>0.4%+0.04%+0.1%</f>
        <v>0.0054</v>
      </c>
      <c r="AR50" s="398">
        <f t="shared" si="2"/>
        <v>707195</v>
      </c>
      <c r="AS50" s="327"/>
      <c r="AT50" s="327">
        <v>100</v>
      </c>
      <c r="AU50" s="327"/>
      <c r="AV50" s="327">
        <v>707195</v>
      </c>
      <c r="AW50" s="327"/>
      <c r="AX50" s="327"/>
      <c r="AY50" s="401"/>
      <c r="AZ50" s="404"/>
      <c r="BA50" s="327"/>
      <c r="BB50" s="327"/>
      <c r="BC50" s="327"/>
      <c r="BD50" s="327"/>
      <c r="BE50" s="327"/>
      <c r="BU50" s="413"/>
      <c r="BW50" s="323" t="s">
        <v>496</v>
      </c>
      <c r="BX50" s="323" t="s">
        <v>506</v>
      </c>
    </row>
    <row r="51" s="323" customFormat="1" customHeight="1" spans="1:76">
      <c r="A51" s="323">
        <v>29</v>
      </c>
      <c r="C51" s="323" t="s">
        <v>1237</v>
      </c>
      <c r="D51" s="323">
        <v>20230001440</v>
      </c>
      <c r="F51" s="338" t="s">
        <v>1449</v>
      </c>
      <c r="G51" s="340" t="s">
        <v>1225</v>
      </c>
      <c r="H51" s="340"/>
      <c r="I51" s="364" t="s">
        <v>1450</v>
      </c>
      <c r="J51" s="323">
        <v>137.77</v>
      </c>
      <c r="K51" s="323">
        <v>137.77</v>
      </c>
      <c r="L51" s="323">
        <v>137.77</v>
      </c>
      <c r="M51" s="326">
        <v>728681</v>
      </c>
      <c r="N51" s="327"/>
      <c r="O51" s="328"/>
      <c r="P51" s="363"/>
      <c r="Q51" s="362"/>
      <c r="R51" s="327"/>
      <c r="T51" s="323" t="s">
        <v>1225</v>
      </c>
      <c r="U51" s="323" t="s">
        <v>1225</v>
      </c>
      <c r="V51" s="327">
        <v>20000</v>
      </c>
      <c r="W51" s="323" t="s">
        <v>1276</v>
      </c>
      <c r="X51" s="327">
        <v>601681</v>
      </c>
      <c r="Y51" s="380" t="s">
        <v>1237</v>
      </c>
      <c r="Z51" s="327">
        <v>107000</v>
      </c>
      <c r="AA51" s="365" t="s">
        <v>1260</v>
      </c>
      <c r="AB51" s="327"/>
      <c r="AH51" s="327">
        <f t="shared" si="8"/>
        <v>728681</v>
      </c>
      <c r="AK51" s="328">
        <f t="shared" si="3"/>
        <v>0</v>
      </c>
      <c r="AL51" s="338" t="s">
        <v>1451</v>
      </c>
      <c r="AM51" s="338"/>
      <c r="AN51" s="392"/>
      <c r="AO51" s="392"/>
      <c r="AP51" s="392"/>
      <c r="AQ51" s="332">
        <f>0.6%+0.06%+0.14%</f>
        <v>0.008</v>
      </c>
      <c r="AR51" s="398">
        <f t="shared" si="2"/>
        <v>728681</v>
      </c>
      <c r="AS51" s="327"/>
      <c r="AT51" s="327"/>
      <c r="AU51" s="327"/>
      <c r="AV51" s="327">
        <v>728681</v>
      </c>
      <c r="AW51" s="327"/>
      <c r="AX51" s="327"/>
      <c r="AY51" s="401"/>
      <c r="AZ51" s="402"/>
      <c r="BA51" s="327"/>
      <c r="BB51" s="327"/>
      <c r="BC51" s="327"/>
      <c r="BD51" s="327"/>
      <c r="BE51" s="327"/>
      <c r="BU51" s="413"/>
      <c r="BW51" s="323" t="s">
        <v>496</v>
      </c>
      <c r="BX51" s="323" t="s">
        <v>506</v>
      </c>
    </row>
    <row r="52" s="323" customFormat="1" customHeight="1" spans="1:76">
      <c r="A52" s="323">
        <v>30</v>
      </c>
      <c r="C52" s="323" t="s">
        <v>1237</v>
      </c>
      <c r="D52" s="341" t="s">
        <v>1452</v>
      </c>
      <c r="F52" s="338" t="s">
        <v>1453</v>
      </c>
      <c r="G52" s="340" t="s">
        <v>1454</v>
      </c>
      <c r="H52" s="342"/>
      <c r="I52" s="361" t="s">
        <v>1455</v>
      </c>
      <c r="J52" s="323">
        <v>138.26</v>
      </c>
      <c r="K52" s="323">
        <v>138.26</v>
      </c>
      <c r="L52" s="323">
        <v>5268.63</v>
      </c>
      <c r="M52" s="326">
        <v>728441</v>
      </c>
      <c r="N52" s="327"/>
      <c r="O52" s="328">
        <v>668294.5</v>
      </c>
      <c r="P52" s="363" t="s">
        <v>1456</v>
      </c>
      <c r="Q52" s="362" t="s">
        <v>1253</v>
      </c>
      <c r="R52" s="327"/>
      <c r="S52" s="330"/>
      <c r="T52" s="342" t="s">
        <v>1457</v>
      </c>
      <c r="U52" s="342" t="s">
        <v>1457</v>
      </c>
      <c r="V52" s="327">
        <v>18441</v>
      </c>
      <c r="W52" s="380" t="s">
        <v>1237</v>
      </c>
      <c r="X52" s="327">
        <v>40000</v>
      </c>
      <c r="Y52" s="380" t="s">
        <v>1458</v>
      </c>
      <c r="Z52" s="327">
        <v>20000</v>
      </c>
      <c r="AA52" s="330" t="s">
        <v>866</v>
      </c>
      <c r="AB52" s="327">
        <v>70000</v>
      </c>
      <c r="AC52" s="323" t="s">
        <v>982</v>
      </c>
      <c r="AD52" s="327">
        <v>580000</v>
      </c>
      <c r="AE52" s="330" t="s">
        <v>1459</v>
      </c>
      <c r="AH52" s="327">
        <f t="shared" si="8"/>
        <v>728441</v>
      </c>
      <c r="AK52" s="328">
        <f t="shared" si="3"/>
        <v>0</v>
      </c>
      <c r="AL52" s="338" t="s">
        <v>1460</v>
      </c>
      <c r="AM52" s="338"/>
      <c r="AN52" s="392"/>
      <c r="AO52" s="392"/>
      <c r="AP52" s="392"/>
      <c r="AQ52" s="332">
        <f>0.6%+0.06%+0.14%+0.06%</f>
        <v>0.0086</v>
      </c>
      <c r="AR52" s="398">
        <f t="shared" si="2"/>
        <v>728441</v>
      </c>
      <c r="AS52" s="327"/>
      <c r="AT52" s="327">
        <v>100</v>
      </c>
      <c r="AU52" s="327"/>
      <c r="AV52" s="327"/>
      <c r="AW52" s="327"/>
      <c r="AX52" s="327"/>
      <c r="AY52" s="401"/>
      <c r="AZ52" s="405"/>
      <c r="BA52" s="327">
        <v>148441</v>
      </c>
      <c r="BB52" s="327"/>
      <c r="BC52" s="327"/>
      <c r="BD52" s="327">
        <v>580000</v>
      </c>
      <c r="BE52" s="327"/>
      <c r="BU52" s="413"/>
      <c r="BW52" s="323" t="s">
        <v>496</v>
      </c>
      <c r="BX52" s="323" t="s">
        <v>506</v>
      </c>
    </row>
    <row r="53" s="323" customFormat="1" customHeight="1" spans="1:76">
      <c r="A53" s="323">
        <v>31</v>
      </c>
      <c r="C53" s="323" t="s">
        <v>1276</v>
      </c>
      <c r="D53" s="341" t="s">
        <v>1461</v>
      </c>
      <c r="F53" s="833" t="s">
        <v>1462</v>
      </c>
      <c r="G53" s="337" t="s">
        <v>1463</v>
      </c>
      <c r="H53" s="839" t="s">
        <v>813</v>
      </c>
      <c r="I53" s="361" t="s">
        <v>1464</v>
      </c>
      <c r="J53" s="323">
        <v>137.77</v>
      </c>
      <c r="K53" s="323">
        <v>137.77</v>
      </c>
      <c r="L53" s="323">
        <v>5220</v>
      </c>
      <c r="M53" s="326">
        <v>719159</v>
      </c>
      <c r="N53" s="327"/>
      <c r="O53" s="328">
        <v>659778.9</v>
      </c>
      <c r="P53" s="363" t="s">
        <v>1465</v>
      </c>
      <c r="Q53" s="362" t="s">
        <v>1253</v>
      </c>
      <c r="R53" s="327"/>
      <c r="S53" s="378"/>
      <c r="T53" s="381" t="s">
        <v>1466</v>
      </c>
      <c r="U53" s="378" t="s">
        <v>1467</v>
      </c>
      <c r="V53" s="327">
        <v>369159</v>
      </c>
      <c r="W53" s="380" t="s">
        <v>1276</v>
      </c>
      <c r="X53" s="323">
        <v>350000</v>
      </c>
      <c r="Y53" s="323" t="s">
        <v>1283</v>
      </c>
      <c r="Z53" s="327"/>
      <c r="AB53" s="327"/>
      <c r="AH53" s="327">
        <f t="shared" si="8"/>
        <v>719159</v>
      </c>
      <c r="AK53" s="328">
        <f t="shared" si="3"/>
        <v>0</v>
      </c>
      <c r="AL53" s="338" t="s">
        <v>1468</v>
      </c>
      <c r="AM53" s="338"/>
      <c r="AN53" s="392"/>
      <c r="AO53" s="392"/>
      <c r="AP53" s="392"/>
      <c r="AQ53" s="332">
        <f>0.4%+0.04%+0.1%</f>
        <v>0.0054</v>
      </c>
      <c r="AR53" s="398">
        <f t="shared" si="2"/>
        <v>719159</v>
      </c>
      <c r="AS53" s="327">
        <f>100</f>
        <v>100</v>
      </c>
      <c r="AT53" s="327">
        <v>100</v>
      </c>
      <c r="AU53" s="327"/>
      <c r="AV53" s="327">
        <v>719159</v>
      </c>
      <c r="AW53" s="327"/>
      <c r="AX53" s="327"/>
      <c r="AY53" s="401"/>
      <c r="AZ53" s="402"/>
      <c r="BA53" s="327"/>
      <c r="BB53" s="327"/>
      <c r="BC53" s="327"/>
      <c r="BD53" s="327"/>
      <c r="BE53" s="327"/>
      <c r="BU53" s="413"/>
      <c r="BW53" s="323" t="s">
        <v>496</v>
      </c>
      <c r="BX53" s="323" t="s">
        <v>506</v>
      </c>
    </row>
    <row r="54" s="323" customFormat="1" customHeight="1" spans="1:76">
      <c r="A54" s="323">
        <v>32</v>
      </c>
      <c r="C54" s="323" t="s">
        <v>1344</v>
      </c>
      <c r="D54" s="341" t="s">
        <v>1469</v>
      </c>
      <c r="F54" s="338" t="s">
        <v>1470</v>
      </c>
      <c r="G54" s="337" t="s">
        <v>1471</v>
      </c>
      <c r="H54" s="839" t="s">
        <v>1472</v>
      </c>
      <c r="I54" s="364" t="s">
        <v>1473</v>
      </c>
      <c r="J54" s="323">
        <v>138.26</v>
      </c>
      <c r="K54" s="323">
        <v>138.26</v>
      </c>
      <c r="L54" s="323">
        <v>5194.96</v>
      </c>
      <c r="M54" s="326">
        <v>718256</v>
      </c>
      <c r="N54" s="327"/>
      <c r="O54" s="328">
        <v>658950.46</v>
      </c>
      <c r="P54" s="363" t="s">
        <v>1474</v>
      </c>
      <c r="Q54" s="362" t="s">
        <v>1253</v>
      </c>
      <c r="R54" s="327"/>
      <c r="T54" s="383"/>
      <c r="U54" s="323" t="s">
        <v>1475</v>
      </c>
      <c r="V54" s="327">
        <v>56256</v>
      </c>
      <c r="W54" s="384" t="s">
        <v>1316</v>
      </c>
      <c r="X54" s="327">
        <v>160000</v>
      </c>
      <c r="Y54" s="384" t="s">
        <v>1476</v>
      </c>
      <c r="Z54" s="327">
        <v>502000</v>
      </c>
      <c r="AA54" s="323" t="s">
        <v>1477</v>
      </c>
      <c r="AB54" s="327"/>
      <c r="AH54" s="327">
        <f t="shared" si="8"/>
        <v>718256</v>
      </c>
      <c r="AJ54" s="365"/>
      <c r="AK54" s="328">
        <f t="shared" si="3"/>
        <v>0</v>
      </c>
      <c r="AL54" s="338" t="s">
        <v>1478</v>
      </c>
      <c r="AM54" s="338"/>
      <c r="AN54" s="392"/>
      <c r="AO54" s="392"/>
      <c r="AP54" s="392"/>
      <c r="AQ54" s="332">
        <f>0.6%+0.04%+0.1%</f>
        <v>0.0074</v>
      </c>
      <c r="AR54" s="398">
        <f t="shared" si="2"/>
        <v>718256</v>
      </c>
      <c r="AS54" s="327"/>
      <c r="AT54" s="327"/>
      <c r="AU54" s="327"/>
      <c r="AV54" s="327"/>
      <c r="AW54" s="327">
        <v>216256</v>
      </c>
      <c r="AX54" s="327">
        <v>502000</v>
      </c>
      <c r="AY54" s="401"/>
      <c r="AZ54" s="402"/>
      <c r="BA54" s="327"/>
      <c r="BB54" s="327"/>
      <c r="BC54" s="327"/>
      <c r="BD54" s="327"/>
      <c r="BE54" s="327"/>
      <c r="BU54" s="413"/>
      <c r="BW54" s="323" t="s">
        <v>496</v>
      </c>
      <c r="BX54" s="323" t="s">
        <v>506</v>
      </c>
    </row>
    <row r="55" s="323" customFormat="1" customHeight="1" spans="1:76">
      <c r="A55" s="323">
        <v>33</v>
      </c>
      <c r="C55" s="341" t="s">
        <v>557</v>
      </c>
      <c r="D55" s="341" t="s">
        <v>1479</v>
      </c>
      <c r="F55" s="833" t="s">
        <v>1480</v>
      </c>
      <c r="G55" s="340" t="s">
        <v>1481</v>
      </c>
      <c r="H55" s="837" t="s">
        <v>1482</v>
      </c>
      <c r="I55" s="361" t="s">
        <v>1483</v>
      </c>
      <c r="J55" s="323">
        <v>137.77</v>
      </c>
      <c r="K55" s="323">
        <v>137.77</v>
      </c>
      <c r="L55" s="323">
        <v>5259.96</v>
      </c>
      <c r="M55" s="326">
        <v>724665</v>
      </c>
      <c r="N55" s="327"/>
      <c r="O55" s="328">
        <v>664830.28</v>
      </c>
      <c r="P55" s="363" t="s">
        <v>1484</v>
      </c>
      <c r="Q55" s="362" t="s">
        <v>1253</v>
      </c>
      <c r="R55" s="327"/>
      <c r="S55" s="330"/>
      <c r="T55" s="331" t="s">
        <v>1485</v>
      </c>
      <c r="U55" s="330" t="s">
        <v>1486</v>
      </c>
      <c r="V55" s="327">
        <v>2000</v>
      </c>
      <c r="W55" s="384">
        <v>44774</v>
      </c>
      <c r="X55" s="327">
        <v>18000</v>
      </c>
      <c r="Y55" s="365" t="s">
        <v>1297</v>
      </c>
      <c r="Z55" s="327">
        <v>205665</v>
      </c>
      <c r="AA55" s="323" t="s">
        <v>557</v>
      </c>
      <c r="AB55" s="327">
        <v>499000</v>
      </c>
      <c r="AC55" s="330" t="s">
        <v>1048</v>
      </c>
      <c r="AH55" s="327">
        <f t="shared" si="8"/>
        <v>724665</v>
      </c>
      <c r="AK55" s="328">
        <f t="shared" si="3"/>
        <v>0</v>
      </c>
      <c r="AL55" s="323">
        <v>17709961530</v>
      </c>
      <c r="AM55" s="338"/>
      <c r="AN55" s="392"/>
      <c r="AO55" s="392"/>
      <c r="AP55" s="392"/>
      <c r="AQ55" s="332">
        <f>0.4%+0.04%+0.1%+0.04%</f>
        <v>0.0058</v>
      </c>
      <c r="AR55" s="398">
        <f t="shared" si="2"/>
        <v>724665</v>
      </c>
      <c r="AS55" s="327"/>
      <c r="AT55" s="327">
        <v>100</v>
      </c>
      <c r="AU55" s="327"/>
      <c r="AV55" s="327"/>
      <c r="AW55" s="327"/>
      <c r="AX55" s="327"/>
      <c r="AY55" s="401">
        <v>225665</v>
      </c>
      <c r="AZ55" s="402"/>
      <c r="BA55" s="327"/>
      <c r="BB55" s="327">
        <v>499000</v>
      </c>
      <c r="BC55" s="327"/>
      <c r="BD55" s="327"/>
      <c r="BE55" s="327"/>
      <c r="BU55" s="413"/>
      <c r="BW55" s="323" t="s">
        <v>496</v>
      </c>
      <c r="BX55" s="323" t="s">
        <v>506</v>
      </c>
    </row>
    <row r="56" s="323" customFormat="1" customHeight="1" spans="1:76">
      <c r="A56" s="323">
        <v>34</v>
      </c>
      <c r="C56" s="323" t="s">
        <v>1476</v>
      </c>
      <c r="D56" s="323">
        <v>20230002636</v>
      </c>
      <c r="F56" s="338" t="s">
        <v>1487</v>
      </c>
      <c r="G56" s="340" t="s">
        <v>1211</v>
      </c>
      <c r="H56" s="837" t="s">
        <v>1488</v>
      </c>
      <c r="I56" s="364" t="s">
        <v>1489</v>
      </c>
      <c r="J56" s="323">
        <v>138.26</v>
      </c>
      <c r="K56" s="323">
        <v>138.26</v>
      </c>
      <c r="L56" s="323">
        <v>5238.96</v>
      </c>
      <c r="M56" s="326">
        <v>724477</v>
      </c>
      <c r="N56" s="327"/>
      <c r="O56" s="328">
        <v>664657.8</v>
      </c>
      <c r="P56" s="363" t="s">
        <v>1490</v>
      </c>
      <c r="Q56" s="362" t="s">
        <v>1253</v>
      </c>
      <c r="R56" s="327"/>
      <c r="S56" s="330"/>
      <c r="T56" s="381" t="s">
        <v>1491</v>
      </c>
      <c r="U56" s="378" t="s">
        <v>1492</v>
      </c>
      <c r="V56" s="327">
        <f>4000</f>
        <v>4000</v>
      </c>
      <c r="W56" s="379">
        <v>44781</v>
      </c>
      <c r="X56" s="327">
        <v>16000</v>
      </c>
      <c r="Y56" s="380" t="s">
        <v>1493</v>
      </c>
      <c r="Z56" s="327">
        <v>477</v>
      </c>
      <c r="AA56" s="380" t="s">
        <v>1476</v>
      </c>
      <c r="AB56" s="327">
        <v>240000</v>
      </c>
      <c r="AC56" s="323" t="s">
        <v>1494</v>
      </c>
      <c r="AD56" s="323">
        <v>464000</v>
      </c>
      <c r="AE56" s="323" t="s">
        <v>1495</v>
      </c>
      <c r="AH56" s="327">
        <f t="shared" si="8"/>
        <v>724477</v>
      </c>
      <c r="AK56" s="328">
        <f t="shared" si="3"/>
        <v>0</v>
      </c>
      <c r="AL56" s="338" t="s">
        <v>1496</v>
      </c>
      <c r="AM56" s="338"/>
      <c r="AN56" s="392"/>
      <c r="AO56" s="392"/>
      <c r="AP56" s="392"/>
      <c r="AQ56" s="332">
        <f>0.4%+0.04%+0.1%</f>
        <v>0.0054</v>
      </c>
      <c r="AR56" s="398">
        <f t="shared" si="2"/>
        <v>724477</v>
      </c>
      <c r="AS56" s="327">
        <f t="shared" ref="AS56:AS61" si="9">100</f>
        <v>100</v>
      </c>
      <c r="AT56" s="327"/>
      <c r="AU56" s="327"/>
      <c r="AV56" s="327"/>
      <c r="AW56" s="327"/>
      <c r="AX56" s="327">
        <v>260477</v>
      </c>
      <c r="AY56" s="401">
        <v>464000</v>
      </c>
      <c r="AZ56" s="402"/>
      <c r="BA56" s="327"/>
      <c r="BB56" s="327"/>
      <c r="BC56" s="327"/>
      <c r="BD56" s="327"/>
      <c r="BE56" s="327"/>
      <c r="BU56" s="413"/>
      <c r="BW56" s="323" t="s">
        <v>496</v>
      </c>
      <c r="BX56" s="323" t="s">
        <v>506</v>
      </c>
    </row>
    <row r="57" s="323" customFormat="1" customHeight="1" spans="1:76">
      <c r="A57" s="323">
        <v>35</v>
      </c>
      <c r="C57" s="323" t="s">
        <v>1237</v>
      </c>
      <c r="D57" s="323">
        <v>20230001427</v>
      </c>
      <c r="F57" s="338" t="s">
        <v>1497</v>
      </c>
      <c r="G57" s="340" t="s">
        <v>1498</v>
      </c>
      <c r="H57" s="837" t="s">
        <v>1499</v>
      </c>
      <c r="I57" s="361" t="s">
        <v>1500</v>
      </c>
      <c r="J57" s="323">
        <v>137.77</v>
      </c>
      <c r="K57" s="323">
        <v>137.77</v>
      </c>
      <c r="L57" s="323">
        <v>5304.96</v>
      </c>
      <c r="M57" s="326">
        <v>730865</v>
      </c>
      <c r="N57" s="327"/>
      <c r="O57" s="328">
        <v>670518.35</v>
      </c>
      <c r="P57" s="363" t="s">
        <v>1501</v>
      </c>
      <c r="Q57" s="362" t="s">
        <v>1253</v>
      </c>
      <c r="R57" s="327"/>
      <c r="S57" s="378"/>
      <c r="T57" s="381" t="s">
        <v>1502</v>
      </c>
      <c r="U57" s="378" t="s">
        <v>1503</v>
      </c>
      <c r="V57" s="327">
        <v>150865</v>
      </c>
      <c r="W57" s="384" t="s">
        <v>1237</v>
      </c>
      <c r="X57" s="327">
        <v>580000</v>
      </c>
      <c r="Y57" s="384" t="s">
        <v>1459</v>
      </c>
      <c r="Z57" s="327"/>
      <c r="AA57" s="384"/>
      <c r="AB57" s="327"/>
      <c r="AC57" s="380"/>
      <c r="AD57" s="380"/>
      <c r="AE57" s="380"/>
      <c r="AF57" s="380"/>
      <c r="AG57" s="380"/>
      <c r="AH57" s="327">
        <f t="shared" si="8"/>
        <v>730865</v>
      </c>
      <c r="AK57" s="328">
        <f t="shared" si="3"/>
        <v>0</v>
      </c>
      <c r="AL57" s="338" t="s">
        <v>1504</v>
      </c>
      <c r="AM57" s="338"/>
      <c r="AN57" s="392"/>
      <c r="AO57" s="392"/>
      <c r="AP57" s="392"/>
      <c r="AQ57" s="332">
        <f>0.6%+0.04%+0.1%+0.04%</f>
        <v>0.0078</v>
      </c>
      <c r="AR57" s="398">
        <f t="shared" si="2"/>
        <v>730865</v>
      </c>
      <c r="AS57" s="327"/>
      <c r="AT57" s="327">
        <v>100</v>
      </c>
      <c r="AU57" s="327"/>
      <c r="AV57" s="327"/>
      <c r="AW57" s="327">
        <v>150865</v>
      </c>
      <c r="AX57" s="327"/>
      <c r="AY57" s="401"/>
      <c r="AZ57" s="402"/>
      <c r="BA57" s="327"/>
      <c r="BB57" s="327"/>
      <c r="BC57" s="327"/>
      <c r="BD57" s="327">
        <v>580000</v>
      </c>
      <c r="BE57" s="327"/>
      <c r="BU57" s="413"/>
      <c r="BW57" s="323" t="s">
        <v>496</v>
      </c>
      <c r="BX57" s="323" t="s">
        <v>506</v>
      </c>
    </row>
    <row r="58" s="323" customFormat="1" ht="39" customHeight="1" spans="1:76">
      <c r="A58" s="323">
        <v>36</v>
      </c>
      <c r="C58" s="323" t="s">
        <v>1382</v>
      </c>
      <c r="D58" s="343" t="s">
        <v>1505</v>
      </c>
      <c r="F58" s="338" t="s">
        <v>1506</v>
      </c>
      <c r="G58" s="340" t="s">
        <v>1507</v>
      </c>
      <c r="H58" s="837" t="s">
        <v>1508</v>
      </c>
      <c r="I58" s="364" t="s">
        <v>1509</v>
      </c>
      <c r="J58" s="323">
        <v>138.26</v>
      </c>
      <c r="K58" s="323">
        <v>138.26</v>
      </c>
      <c r="L58" s="323">
        <v>5284.96</v>
      </c>
      <c r="M58" s="366">
        <v>730699</v>
      </c>
      <c r="N58" s="367"/>
      <c r="O58" s="368">
        <v>670366.06</v>
      </c>
      <c r="P58" s="369" t="s">
        <v>1510</v>
      </c>
      <c r="Q58" s="362" t="s">
        <v>1253</v>
      </c>
      <c r="R58" s="327"/>
      <c r="S58" s="330"/>
      <c r="T58" s="381" t="s">
        <v>1511</v>
      </c>
      <c r="U58" s="378" t="s">
        <v>1512</v>
      </c>
      <c r="V58" s="327">
        <f>2000-2000</f>
        <v>0</v>
      </c>
      <c r="W58" s="379">
        <v>44771</v>
      </c>
      <c r="X58" s="323">
        <v>230699</v>
      </c>
      <c r="Y58" s="323" t="s">
        <v>1382</v>
      </c>
      <c r="Z58" s="327">
        <v>80000</v>
      </c>
      <c r="AA58" s="323" t="s">
        <v>1513</v>
      </c>
      <c r="AB58" s="327">
        <v>420000</v>
      </c>
      <c r="AC58" s="323" t="s">
        <v>1514</v>
      </c>
      <c r="AH58" s="327">
        <f t="shared" si="8"/>
        <v>730699</v>
      </c>
      <c r="AK58" s="328">
        <f t="shared" si="3"/>
        <v>0</v>
      </c>
      <c r="AL58" s="338" t="s">
        <v>1515</v>
      </c>
      <c r="AM58" s="338"/>
      <c r="AN58" s="393"/>
      <c r="AO58" s="393"/>
      <c r="AP58" s="393"/>
      <c r="AQ58" s="332">
        <f t="shared" ref="AQ58:AQ62" si="10">0.4%+0.04%+0.1%</f>
        <v>0.0054</v>
      </c>
      <c r="AR58" s="398">
        <f t="shared" si="2"/>
        <v>730699</v>
      </c>
      <c r="AS58" s="327"/>
      <c r="AT58" s="327">
        <v>100</v>
      </c>
      <c r="AU58" s="327"/>
      <c r="AV58" s="327">
        <v>310699</v>
      </c>
      <c r="AW58" s="327">
        <v>420000</v>
      </c>
      <c r="AX58" s="327"/>
      <c r="AY58" s="401"/>
      <c r="AZ58" s="402"/>
      <c r="BA58" s="327"/>
      <c r="BB58" s="327"/>
      <c r="BC58" s="327"/>
      <c r="BD58" s="327"/>
      <c r="BE58" s="327"/>
      <c r="BU58" s="413"/>
      <c r="BW58" s="323" t="s">
        <v>496</v>
      </c>
      <c r="BX58" s="323" t="s">
        <v>506</v>
      </c>
    </row>
    <row r="59" s="323" customFormat="1" customHeight="1" spans="1:76">
      <c r="A59" s="323">
        <v>37</v>
      </c>
      <c r="C59" s="323" t="s">
        <v>1245</v>
      </c>
      <c r="D59" s="343" t="s">
        <v>1516</v>
      </c>
      <c r="F59" s="338" t="s">
        <v>1517</v>
      </c>
      <c r="G59" s="340" t="s">
        <v>1518</v>
      </c>
      <c r="H59" s="837" t="s">
        <v>1519</v>
      </c>
      <c r="I59" s="361" t="s">
        <v>1520</v>
      </c>
      <c r="J59" s="323">
        <v>137.77</v>
      </c>
      <c r="K59" s="323">
        <v>137.77</v>
      </c>
      <c r="L59" s="323">
        <v>5329.96</v>
      </c>
      <c r="M59" s="366">
        <v>734309</v>
      </c>
      <c r="N59" s="367"/>
      <c r="O59" s="368">
        <v>673677.98</v>
      </c>
      <c r="P59" s="369" t="s">
        <v>1521</v>
      </c>
      <c r="Q59" s="362" t="s">
        <v>1253</v>
      </c>
      <c r="R59" s="327"/>
      <c r="S59" s="330"/>
      <c r="T59" s="331" t="s">
        <v>1522</v>
      </c>
      <c r="U59" s="330" t="s">
        <v>1523</v>
      </c>
      <c r="V59" s="327">
        <v>211309</v>
      </c>
      <c r="W59" s="380" t="s">
        <v>1245</v>
      </c>
      <c r="X59" s="327">
        <v>43000</v>
      </c>
      <c r="Y59" s="323" t="s">
        <v>783</v>
      </c>
      <c r="Z59" s="327">
        <v>480000</v>
      </c>
      <c r="AA59" s="380" t="s">
        <v>1524</v>
      </c>
      <c r="AB59" s="327"/>
      <c r="AH59" s="327">
        <f t="shared" si="8"/>
        <v>734309</v>
      </c>
      <c r="AK59" s="328">
        <f t="shared" si="3"/>
        <v>0</v>
      </c>
      <c r="AL59" s="338" t="s">
        <v>1525</v>
      </c>
      <c r="AM59" s="338"/>
      <c r="AN59" s="393"/>
      <c r="AO59" s="393"/>
      <c r="AP59" s="393"/>
      <c r="AQ59" s="332">
        <f>0.6%+0.04%+0.1%+0.04%</f>
        <v>0.0078</v>
      </c>
      <c r="AR59" s="398">
        <f t="shared" si="2"/>
        <v>734309</v>
      </c>
      <c r="AS59" s="327">
        <f t="shared" si="9"/>
        <v>100</v>
      </c>
      <c r="AT59" s="327"/>
      <c r="AU59" s="327"/>
      <c r="AV59" s="327">
        <v>254309</v>
      </c>
      <c r="AW59" s="327"/>
      <c r="AX59" s="327"/>
      <c r="AY59" s="401"/>
      <c r="AZ59" s="402"/>
      <c r="BA59" s="327"/>
      <c r="BB59" s="327"/>
      <c r="BC59" s="327"/>
      <c r="BD59" s="327"/>
      <c r="BE59" s="327">
        <v>480000</v>
      </c>
      <c r="BU59" s="413"/>
      <c r="BW59" s="323" t="s">
        <v>496</v>
      </c>
      <c r="BX59" s="323" t="s">
        <v>506</v>
      </c>
    </row>
    <row r="60" s="323" customFormat="1" customHeight="1" spans="1:76">
      <c r="A60" s="323">
        <v>38</v>
      </c>
      <c r="C60" s="323" t="s">
        <v>1526</v>
      </c>
      <c r="D60" s="343" t="s">
        <v>1527</v>
      </c>
      <c r="F60" s="338" t="s">
        <v>1528</v>
      </c>
      <c r="G60" s="340" t="s">
        <v>1529</v>
      </c>
      <c r="H60" s="837" t="s">
        <v>1530</v>
      </c>
      <c r="I60" s="364" t="s">
        <v>1531</v>
      </c>
      <c r="J60" s="323">
        <v>138.26</v>
      </c>
      <c r="K60" s="323">
        <v>138.26</v>
      </c>
      <c r="L60" s="323">
        <v>5309.96</v>
      </c>
      <c r="M60" s="366">
        <v>734155</v>
      </c>
      <c r="N60" s="367"/>
      <c r="O60" s="368">
        <v>673536.7</v>
      </c>
      <c r="P60" s="369" t="s">
        <v>1532</v>
      </c>
      <c r="Q60" s="362" t="s">
        <v>1253</v>
      </c>
      <c r="R60" s="327"/>
      <c r="S60" s="330"/>
      <c r="T60" s="331" t="s">
        <v>1533</v>
      </c>
      <c r="U60" s="330" t="s">
        <v>1534</v>
      </c>
      <c r="V60" s="327">
        <v>2000</v>
      </c>
      <c r="W60" s="380">
        <v>44755</v>
      </c>
      <c r="X60" s="327">
        <v>18000</v>
      </c>
      <c r="Y60" s="384" t="s">
        <v>1297</v>
      </c>
      <c r="Z60" s="327">
        <v>50000</v>
      </c>
      <c r="AA60" s="323" t="s">
        <v>1535</v>
      </c>
      <c r="AB60" s="327">
        <v>204155</v>
      </c>
      <c r="AC60" s="323" t="s">
        <v>1526</v>
      </c>
      <c r="AD60" s="327">
        <v>460000</v>
      </c>
      <c r="AE60" s="330" t="s">
        <v>638</v>
      </c>
      <c r="AH60" s="327">
        <f t="shared" si="8"/>
        <v>734155</v>
      </c>
      <c r="AK60" s="328">
        <f t="shared" si="3"/>
        <v>0</v>
      </c>
      <c r="AL60" s="338" t="s">
        <v>1536</v>
      </c>
      <c r="AM60" s="338"/>
      <c r="AN60" s="393"/>
      <c r="AO60" s="393"/>
      <c r="AP60" s="393"/>
      <c r="AQ60" s="332">
        <f>0.6%+0.1%+0.04%</f>
        <v>0.0074</v>
      </c>
      <c r="AR60" s="398">
        <f t="shared" si="2"/>
        <v>734155</v>
      </c>
      <c r="AS60" s="327">
        <f t="shared" si="9"/>
        <v>100</v>
      </c>
      <c r="AT60" s="327"/>
      <c r="AU60" s="327"/>
      <c r="AV60" s="327"/>
      <c r="AW60" s="327"/>
      <c r="AX60" s="327"/>
      <c r="AY60" s="401"/>
      <c r="AZ60" s="405">
        <v>274155</v>
      </c>
      <c r="BA60" s="327"/>
      <c r="BB60" s="327">
        <v>460000</v>
      </c>
      <c r="BC60" s="327"/>
      <c r="BD60" s="327"/>
      <c r="BE60" s="327"/>
      <c r="BU60" s="413"/>
      <c r="BW60" s="323" t="s">
        <v>496</v>
      </c>
      <c r="BX60" s="323" t="s">
        <v>506</v>
      </c>
    </row>
    <row r="61" s="323" customFormat="1" customHeight="1" spans="1:76">
      <c r="A61" s="323">
        <v>39</v>
      </c>
      <c r="C61" s="323" t="s">
        <v>1277</v>
      </c>
      <c r="D61" s="323">
        <v>20230000663</v>
      </c>
      <c r="F61" s="338" t="s">
        <v>1537</v>
      </c>
      <c r="G61" s="340" t="s">
        <v>1538</v>
      </c>
      <c r="H61" s="837" t="s">
        <v>1539</v>
      </c>
      <c r="I61" s="361" t="s">
        <v>1540</v>
      </c>
      <c r="J61" s="323">
        <v>137.77</v>
      </c>
      <c r="K61" s="323">
        <v>137.77</v>
      </c>
      <c r="L61" s="323">
        <v>5374.96</v>
      </c>
      <c r="M61" s="366">
        <v>740509</v>
      </c>
      <c r="N61" s="367"/>
      <c r="O61" s="368">
        <v>679366.06</v>
      </c>
      <c r="P61" s="369" t="s">
        <v>1541</v>
      </c>
      <c r="Q61" s="369" t="s">
        <v>177</v>
      </c>
      <c r="R61" s="327"/>
      <c r="S61" s="330"/>
      <c r="T61" s="331" t="s">
        <v>1542</v>
      </c>
      <c r="U61" s="330" t="s">
        <v>1543</v>
      </c>
      <c r="V61" s="327">
        <v>230509</v>
      </c>
      <c r="W61" s="323" t="s">
        <v>1277</v>
      </c>
      <c r="X61" s="327">
        <v>510000</v>
      </c>
      <c r="Y61" s="323" t="s">
        <v>1283</v>
      </c>
      <c r="Z61" s="327"/>
      <c r="AB61" s="327"/>
      <c r="AH61" s="327">
        <f t="shared" si="8"/>
        <v>740509</v>
      </c>
      <c r="AK61" s="328">
        <f t="shared" si="3"/>
        <v>0</v>
      </c>
      <c r="AL61" s="338" t="s">
        <v>1544</v>
      </c>
      <c r="AM61" s="338"/>
      <c r="AN61" s="393"/>
      <c r="AO61" s="393"/>
      <c r="AP61" s="393"/>
      <c r="AQ61" s="332">
        <f t="shared" si="10"/>
        <v>0.0054</v>
      </c>
      <c r="AR61" s="398">
        <f t="shared" si="2"/>
        <v>740509</v>
      </c>
      <c r="AS61" s="327">
        <f t="shared" si="9"/>
        <v>100</v>
      </c>
      <c r="AT61" s="327"/>
      <c r="AU61" s="327"/>
      <c r="AV61" s="327">
        <v>740509</v>
      </c>
      <c r="AW61" s="327"/>
      <c r="AX61" s="327"/>
      <c r="AY61" s="401"/>
      <c r="AZ61" s="404"/>
      <c r="BA61" s="327"/>
      <c r="BB61" s="327"/>
      <c r="BC61" s="327"/>
      <c r="BD61" s="327"/>
      <c r="BE61" s="327"/>
      <c r="BU61" s="413"/>
      <c r="BW61" s="323" t="s">
        <v>496</v>
      </c>
      <c r="BX61" s="323" t="s">
        <v>506</v>
      </c>
    </row>
    <row r="62" s="323" customFormat="1" customHeight="1" spans="1:76">
      <c r="A62" s="323">
        <v>40</v>
      </c>
      <c r="C62" s="323" t="s">
        <v>1382</v>
      </c>
      <c r="D62" s="343" t="s">
        <v>1545</v>
      </c>
      <c r="F62" s="338" t="s">
        <v>1546</v>
      </c>
      <c r="G62" s="340" t="s">
        <v>1547</v>
      </c>
      <c r="H62" s="837" t="s">
        <v>1548</v>
      </c>
      <c r="I62" s="364" t="s">
        <v>1549</v>
      </c>
      <c r="J62" s="323">
        <v>138.26</v>
      </c>
      <c r="K62" s="323">
        <v>138.26</v>
      </c>
      <c r="L62" s="323">
        <v>5354.96</v>
      </c>
      <c r="M62" s="366">
        <v>740377</v>
      </c>
      <c r="N62" s="367"/>
      <c r="O62" s="368">
        <v>679244.95</v>
      </c>
      <c r="P62" s="369" t="s">
        <v>1550</v>
      </c>
      <c r="Q62" s="369" t="s">
        <v>386</v>
      </c>
      <c r="R62" s="327"/>
      <c r="T62" s="383" t="s">
        <v>1551</v>
      </c>
      <c r="U62" s="323" t="s">
        <v>1552</v>
      </c>
      <c r="V62" s="327">
        <v>130377</v>
      </c>
      <c r="W62" s="384" t="s">
        <v>1382</v>
      </c>
      <c r="X62" s="327">
        <v>110000</v>
      </c>
      <c r="Y62" s="384" t="s">
        <v>1247</v>
      </c>
      <c r="Z62" s="327">
        <v>500000</v>
      </c>
      <c r="AA62" s="323" t="s">
        <v>1553</v>
      </c>
      <c r="AB62" s="327"/>
      <c r="AH62" s="327">
        <f t="shared" si="8"/>
        <v>740377</v>
      </c>
      <c r="AK62" s="328">
        <f t="shared" si="3"/>
        <v>0</v>
      </c>
      <c r="AL62" s="338" t="s">
        <v>1554</v>
      </c>
      <c r="AM62" s="338"/>
      <c r="AN62" s="393"/>
      <c r="AO62" s="393"/>
      <c r="AP62" s="393"/>
      <c r="AQ62" s="332">
        <f t="shared" si="10"/>
        <v>0.0054</v>
      </c>
      <c r="AR62" s="398">
        <f t="shared" si="2"/>
        <v>740377</v>
      </c>
      <c r="AS62" s="327"/>
      <c r="AT62" s="327"/>
      <c r="AU62" s="327"/>
      <c r="AV62" s="327"/>
      <c r="AW62" s="327">
        <v>740377</v>
      </c>
      <c r="AX62" s="327"/>
      <c r="AY62" s="401"/>
      <c r="AZ62" s="402"/>
      <c r="BA62" s="327"/>
      <c r="BB62" s="327"/>
      <c r="BC62" s="327"/>
      <c r="BD62" s="327"/>
      <c r="BE62" s="327"/>
      <c r="BU62" s="413"/>
      <c r="BW62" s="323" t="s">
        <v>496</v>
      </c>
      <c r="BX62" s="323" t="s">
        <v>506</v>
      </c>
    </row>
    <row r="63" s="323" customFormat="1" customHeight="1" spans="1:76">
      <c r="A63" s="323">
        <v>41</v>
      </c>
      <c r="C63" s="323" t="s">
        <v>1382</v>
      </c>
      <c r="D63" s="343" t="s">
        <v>1555</v>
      </c>
      <c r="F63" s="338" t="s">
        <v>1556</v>
      </c>
      <c r="G63" s="342" t="s">
        <v>1557</v>
      </c>
      <c r="H63" s="342"/>
      <c r="I63" s="361" t="s">
        <v>1558</v>
      </c>
      <c r="J63" s="323">
        <v>137.77</v>
      </c>
      <c r="K63" s="323">
        <v>137.77</v>
      </c>
      <c r="L63" s="323">
        <v>5538.22</v>
      </c>
      <c r="M63" s="366">
        <v>763000</v>
      </c>
      <c r="N63" s="367"/>
      <c r="O63" s="368">
        <v>700000</v>
      </c>
      <c r="P63" s="369" t="s">
        <v>1559</v>
      </c>
      <c r="Q63" s="369" t="s">
        <v>386</v>
      </c>
      <c r="R63" s="327"/>
      <c r="S63" s="330"/>
      <c r="T63" s="342" t="s">
        <v>1220</v>
      </c>
      <c r="U63" s="342" t="s">
        <v>1220</v>
      </c>
      <c r="V63" s="327">
        <v>763000</v>
      </c>
      <c r="W63" s="380" t="s">
        <v>1382</v>
      </c>
      <c r="X63" s="327"/>
      <c r="Y63" s="384"/>
      <c r="Z63" s="327"/>
      <c r="AA63" s="384"/>
      <c r="AB63" s="327"/>
      <c r="AH63" s="327">
        <f t="shared" si="8"/>
        <v>763000</v>
      </c>
      <c r="AK63" s="328">
        <f t="shared" si="3"/>
        <v>0</v>
      </c>
      <c r="AL63" s="338" t="s">
        <v>1560</v>
      </c>
      <c r="AM63" s="338"/>
      <c r="AN63" s="393"/>
      <c r="AO63" s="393"/>
      <c r="AP63" s="393"/>
      <c r="AQ63" s="332">
        <f>0.6%+0.06%+0.14%</f>
        <v>0.008</v>
      </c>
      <c r="AR63" s="398">
        <f t="shared" si="2"/>
        <v>763000</v>
      </c>
      <c r="AS63" s="327"/>
      <c r="AT63" s="327">
        <f>100+100</f>
        <v>200</v>
      </c>
      <c r="AU63" s="327"/>
      <c r="AV63" s="327">
        <v>763000</v>
      </c>
      <c r="AW63" s="327"/>
      <c r="AX63" s="327"/>
      <c r="AY63" s="401"/>
      <c r="AZ63" s="402"/>
      <c r="BA63" s="327"/>
      <c r="BB63" s="327"/>
      <c r="BC63" s="327"/>
      <c r="BD63" s="327"/>
      <c r="BE63" s="327"/>
      <c r="BU63" s="413"/>
      <c r="BW63" s="323" t="s">
        <v>496</v>
      </c>
      <c r="BX63" s="323" t="s">
        <v>506</v>
      </c>
    </row>
    <row r="64" s="323" customFormat="1" customHeight="1" spans="1:76">
      <c r="A64" s="323">
        <v>42</v>
      </c>
      <c r="C64" s="323" t="s">
        <v>1237</v>
      </c>
      <c r="D64" s="343" t="s">
        <v>1561</v>
      </c>
      <c r="F64" s="344" t="s">
        <v>1562</v>
      </c>
      <c r="G64" s="342" t="s">
        <v>1563</v>
      </c>
      <c r="H64" s="342"/>
      <c r="I64" s="364" t="s">
        <v>1564</v>
      </c>
      <c r="J64" s="323">
        <v>138.26</v>
      </c>
      <c r="K64" s="323">
        <v>138.26</v>
      </c>
      <c r="L64" s="323">
        <v>5520.02</v>
      </c>
      <c r="M64" s="366">
        <v>763198</v>
      </c>
      <c r="N64" s="367"/>
      <c r="O64" s="368">
        <v>700181.65</v>
      </c>
      <c r="P64" s="369" t="s">
        <v>1565</v>
      </c>
      <c r="Q64" s="369" t="s">
        <v>386</v>
      </c>
      <c r="R64" s="327"/>
      <c r="S64" s="330"/>
      <c r="T64" s="378" t="s">
        <v>1563</v>
      </c>
      <c r="U64" s="378" t="s">
        <v>1566</v>
      </c>
      <c r="V64" s="327">
        <f>2000-2000</f>
        <v>0</v>
      </c>
      <c r="W64" s="380">
        <v>44754</v>
      </c>
      <c r="X64" s="327">
        <v>133198</v>
      </c>
      <c r="Y64" s="384" t="s">
        <v>1237</v>
      </c>
      <c r="Z64" s="327">
        <v>100000</v>
      </c>
      <c r="AA64" s="380" t="s">
        <v>939</v>
      </c>
      <c r="AB64" s="327">
        <v>530000</v>
      </c>
      <c r="AC64" s="330" t="s">
        <v>1567</v>
      </c>
      <c r="AD64" s="380"/>
      <c r="AE64" s="380"/>
      <c r="AF64" s="380"/>
      <c r="AG64" s="380"/>
      <c r="AH64" s="327">
        <f t="shared" si="8"/>
        <v>763198</v>
      </c>
      <c r="AK64" s="328">
        <f t="shared" si="3"/>
        <v>0</v>
      </c>
      <c r="AL64" s="338" t="s">
        <v>1568</v>
      </c>
      <c r="AM64" s="338"/>
      <c r="AN64" s="393"/>
      <c r="AO64" s="393"/>
      <c r="AP64" s="393"/>
      <c r="AQ64" s="332">
        <f>0.4%+0.05%+0.14%</f>
        <v>0.0059</v>
      </c>
      <c r="AR64" s="398">
        <f t="shared" si="2"/>
        <v>763198</v>
      </c>
      <c r="AS64" s="327">
        <f>100</f>
        <v>100</v>
      </c>
      <c r="AT64" s="327"/>
      <c r="AU64" s="327"/>
      <c r="AV64" s="327"/>
      <c r="AW64" s="327"/>
      <c r="AX64" s="327">
        <v>233198</v>
      </c>
      <c r="AY64" s="401"/>
      <c r="AZ64" s="402"/>
      <c r="BA64" s="327"/>
      <c r="BB64" s="327"/>
      <c r="BC64" s="327"/>
      <c r="BD64" s="327"/>
      <c r="BE64" s="327"/>
      <c r="BG64" s="323">
        <v>530000</v>
      </c>
      <c r="BU64" s="413"/>
      <c r="BW64" s="323" t="s">
        <v>496</v>
      </c>
      <c r="BX64" s="323" t="s">
        <v>506</v>
      </c>
    </row>
    <row r="65" s="323" customFormat="1" customHeight="1" spans="1:76">
      <c r="A65" s="323">
        <v>43</v>
      </c>
      <c r="C65" s="323" t="s">
        <v>1569</v>
      </c>
      <c r="D65" s="343" t="s">
        <v>1570</v>
      </c>
      <c r="F65" s="338" t="s">
        <v>1571</v>
      </c>
      <c r="G65" s="342" t="s">
        <v>1572</v>
      </c>
      <c r="H65" s="838" t="s">
        <v>1573</v>
      </c>
      <c r="I65" s="361" t="s">
        <v>1574</v>
      </c>
      <c r="J65" s="323">
        <v>137.77</v>
      </c>
      <c r="K65" s="323">
        <v>137.77</v>
      </c>
      <c r="L65" s="323">
        <v>6482</v>
      </c>
      <c r="M65" s="366">
        <v>893025</v>
      </c>
      <c r="N65" s="367"/>
      <c r="O65" s="368">
        <v>819288.99</v>
      </c>
      <c r="P65" s="369" t="s">
        <v>1575</v>
      </c>
      <c r="Q65" s="369" t="s">
        <v>386</v>
      </c>
      <c r="R65" s="327"/>
      <c r="T65" s="422" t="s">
        <v>1576</v>
      </c>
      <c r="U65" s="323" t="s">
        <v>1577</v>
      </c>
      <c r="V65" s="327">
        <f>2000+1000</f>
        <v>3000</v>
      </c>
      <c r="W65" s="380" t="s">
        <v>1578</v>
      </c>
      <c r="X65" s="327">
        <v>17000</v>
      </c>
      <c r="Y65" s="380" t="s">
        <v>1297</v>
      </c>
      <c r="Z65" s="327">
        <v>40000</v>
      </c>
      <c r="AA65" s="380" t="s">
        <v>1579</v>
      </c>
      <c r="AB65" s="327">
        <v>100000</v>
      </c>
      <c r="AC65" s="323" t="s">
        <v>1580</v>
      </c>
      <c r="AD65" s="323">
        <v>423025</v>
      </c>
      <c r="AE65" s="323" t="s">
        <v>1569</v>
      </c>
      <c r="AF65" s="323">
        <f>20000+290000</f>
        <v>310000</v>
      </c>
      <c r="AG65" s="337" t="s">
        <v>1581</v>
      </c>
      <c r="AH65" s="327">
        <f t="shared" si="8"/>
        <v>893025</v>
      </c>
      <c r="AK65" s="328">
        <f t="shared" si="3"/>
        <v>0</v>
      </c>
      <c r="AL65" s="338" t="s">
        <v>1582</v>
      </c>
      <c r="AM65" s="338"/>
      <c r="AN65" s="393"/>
      <c r="AO65" s="393"/>
      <c r="AP65" s="393"/>
      <c r="AQ65" s="332">
        <f>0.6%+0.1%+0.04%</f>
        <v>0.0074</v>
      </c>
      <c r="AR65" s="398">
        <f t="shared" si="2"/>
        <v>893025</v>
      </c>
      <c r="AS65" s="327"/>
      <c r="AT65" s="327"/>
      <c r="AU65" s="327"/>
      <c r="AV65" s="327"/>
      <c r="AW65" s="327"/>
      <c r="AX65" s="327"/>
      <c r="AY65" s="401"/>
      <c r="AZ65" s="402"/>
      <c r="BA65" s="327"/>
      <c r="BB65" s="327"/>
      <c r="BC65" s="327"/>
      <c r="BD65" s="327"/>
      <c r="BE65" s="327">
        <v>603025</v>
      </c>
      <c r="BF65" s="323">
        <v>290000</v>
      </c>
      <c r="BU65" s="413"/>
      <c r="BW65" s="323" t="s">
        <v>496</v>
      </c>
      <c r="BX65" s="323" t="s">
        <v>506</v>
      </c>
    </row>
    <row r="66" s="323" customFormat="1" customHeight="1" spans="1:76">
      <c r="A66" s="323">
        <v>44</v>
      </c>
      <c r="C66" s="323" t="s">
        <v>1039</v>
      </c>
      <c r="D66" s="343" t="s">
        <v>1583</v>
      </c>
      <c r="F66" s="338" t="s">
        <v>1584</v>
      </c>
      <c r="G66" s="342" t="s">
        <v>1585</v>
      </c>
      <c r="H66" s="838" t="s">
        <v>1586</v>
      </c>
      <c r="I66" s="361" t="s">
        <v>1587</v>
      </c>
      <c r="J66" s="323">
        <v>138.26</v>
      </c>
      <c r="K66" s="323">
        <v>138.26</v>
      </c>
      <c r="L66" s="323">
        <v>6609</v>
      </c>
      <c r="M66" s="326">
        <v>913760</v>
      </c>
      <c r="N66" s="327">
        <v>6492</v>
      </c>
      <c r="O66" s="368">
        <v>838311.93</v>
      </c>
      <c r="P66" s="369" t="s">
        <v>1588</v>
      </c>
      <c r="Q66" s="369" t="s">
        <v>1589</v>
      </c>
      <c r="R66" s="327"/>
      <c r="T66" s="323" t="s">
        <v>1585</v>
      </c>
      <c r="U66" s="323" t="s">
        <v>1427</v>
      </c>
      <c r="V66" s="327">
        <v>20000</v>
      </c>
      <c r="W66" s="380" t="s">
        <v>1590</v>
      </c>
      <c r="X66" s="327">
        <f>60000+133760</f>
        <v>193760</v>
      </c>
      <c r="Y66" s="380" t="s">
        <v>1039</v>
      </c>
      <c r="Z66" s="327">
        <f>70000+630000</f>
        <v>700000</v>
      </c>
      <c r="AA66" s="323" t="s">
        <v>975</v>
      </c>
      <c r="AB66" s="327"/>
      <c r="AH66" s="327">
        <f t="shared" si="8"/>
        <v>913760</v>
      </c>
      <c r="AK66" s="328">
        <f t="shared" si="3"/>
        <v>0</v>
      </c>
      <c r="AL66" s="338" t="s">
        <v>1591</v>
      </c>
      <c r="AM66" s="338"/>
      <c r="AN66" s="393"/>
      <c r="AO66" s="393"/>
      <c r="AP66" s="393"/>
      <c r="AQ66" s="332">
        <f>0.6%+0.06%+0.14%</f>
        <v>0.008</v>
      </c>
      <c r="AR66" s="398">
        <f t="shared" si="2"/>
        <v>913760</v>
      </c>
      <c r="AS66" s="327"/>
      <c r="AT66" s="327"/>
      <c r="AU66" s="327"/>
      <c r="AV66" s="327"/>
      <c r="AW66" s="327">
        <v>213760</v>
      </c>
      <c r="AX66" s="327"/>
      <c r="AY66" s="184"/>
      <c r="AZ66" s="403"/>
      <c r="BA66" s="327">
        <v>700000</v>
      </c>
      <c r="BB66" s="327"/>
      <c r="BC66" s="327"/>
      <c r="BD66" s="327"/>
      <c r="BE66" s="327"/>
      <c r="BU66" s="413"/>
      <c r="BW66" s="323" t="s">
        <v>496</v>
      </c>
      <c r="BX66" s="323" t="s">
        <v>506</v>
      </c>
    </row>
    <row r="67" s="172" customFormat="1" customHeight="1" spans="4:85">
      <c r="D67" s="414"/>
      <c r="F67" s="415"/>
      <c r="G67" s="416"/>
      <c r="H67" s="416"/>
      <c r="I67" s="418" t="s">
        <v>1592</v>
      </c>
      <c r="J67" s="172">
        <v>38.67</v>
      </c>
      <c r="L67" s="172">
        <v>2196.02</v>
      </c>
      <c r="M67" s="357">
        <v>84920</v>
      </c>
      <c r="N67" s="358"/>
      <c r="O67" s="419"/>
      <c r="P67" s="420"/>
      <c r="Q67" s="420"/>
      <c r="R67" s="358"/>
      <c r="S67" s="377"/>
      <c r="T67" s="377"/>
      <c r="U67" s="377"/>
      <c r="V67" s="358"/>
      <c r="W67" s="423"/>
      <c r="X67" s="358"/>
      <c r="Y67" s="423"/>
      <c r="Z67" s="358"/>
      <c r="AB67" s="358"/>
      <c r="AH67" s="358">
        <f t="shared" si="8"/>
        <v>0</v>
      </c>
      <c r="AK67" s="359">
        <f t="shared" ref="AK67:AK88" si="11">M67-AH67</f>
        <v>84920</v>
      </c>
      <c r="AL67" s="415"/>
      <c r="AM67" s="415"/>
      <c r="AN67" s="429"/>
      <c r="AO67" s="429"/>
      <c r="AP67" s="429"/>
      <c r="AQ67" s="396">
        <v>0.02</v>
      </c>
      <c r="AR67" s="397">
        <f t="shared" si="2"/>
        <v>0</v>
      </c>
      <c r="AS67" s="358"/>
      <c r="AT67" s="358"/>
      <c r="AU67" s="358"/>
      <c r="AV67" s="358"/>
      <c r="AW67" s="358"/>
      <c r="AX67" s="358"/>
      <c r="AY67" s="215"/>
      <c r="AZ67" s="432"/>
      <c r="BA67" s="358"/>
      <c r="BB67" s="358"/>
      <c r="BC67" s="358"/>
      <c r="BD67" s="358"/>
      <c r="BE67" s="358"/>
      <c r="BU67" s="84"/>
      <c r="CG67" s="137"/>
    </row>
    <row r="68" s="172" customFormat="1" customHeight="1" spans="4:85">
      <c r="D68" s="414"/>
      <c r="F68" s="415"/>
      <c r="G68" s="416"/>
      <c r="H68" s="416"/>
      <c r="I68" s="418" t="s">
        <v>1593</v>
      </c>
      <c r="J68" s="172">
        <v>65.05</v>
      </c>
      <c r="M68" s="357"/>
      <c r="N68" s="358"/>
      <c r="O68" s="419"/>
      <c r="P68" s="420"/>
      <c r="Q68" s="420"/>
      <c r="R68" s="358"/>
      <c r="S68" s="377"/>
      <c r="T68" s="377"/>
      <c r="U68" s="377"/>
      <c r="V68" s="358"/>
      <c r="W68" s="423"/>
      <c r="X68" s="358"/>
      <c r="Y68" s="423"/>
      <c r="Z68" s="358"/>
      <c r="AB68" s="358"/>
      <c r="AH68" s="358">
        <f t="shared" si="8"/>
        <v>0</v>
      </c>
      <c r="AK68" s="359">
        <f t="shared" si="11"/>
        <v>0</v>
      </c>
      <c r="AL68" s="415"/>
      <c r="AM68" s="415"/>
      <c r="AN68" s="429"/>
      <c r="AO68" s="429"/>
      <c r="AP68" s="429"/>
      <c r="AQ68" s="396">
        <v>0.02</v>
      </c>
      <c r="AR68" s="397">
        <f t="shared" si="2"/>
        <v>0</v>
      </c>
      <c r="AS68" s="358"/>
      <c r="AT68" s="358"/>
      <c r="AU68" s="358"/>
      <c r="AV68" s="358"/>
      <c r="AW68" s="358"/>
      <c r="AX68" s="358"/>
      <c r="AY68" s="215"/>
      <c r="AZ68" s="432"/>
      <c r="BA68" s="358"/>
      <c r="BB68" s="358"/>
      <c r="BC68" s="358"/>
      <c r="BD68" s="358"/>
      <c r="BE68" s="358"/>
      <c r="BU68" s="84"/>
      <c r="CG68" s="137"/>
    </row>
    <row r="69" s="172" customFormat="1" customHeight="1" spans="4:85">
      <c r="D69" s="414"/>
      <c r="F69" s="415"/>
      <c r="G69" s="416"/>
      <c r="H69" s="416"/>
      <c r="I69" s="418" t="s">
        <v>1594</v>
      </c>
      <c r="J69" s="172">
        <v>64.62</v>
      </c>
      <c r="M69" s="357"/>
      <c r="N69" s="358"/>
      <c r="O69" s="419"/>
      <c r="P69" s="420"/>
      <c r="Q69" s="420"/>
      <c r="R69" s="358"/>
      <c r="S69" s="377"/>
      <c r="T69" s="377"/>
      <c r="U69" s="377"/>
      <c r="V69" s="358"/>
      <c r="W69" s="423"/>
      <c r="X69" s="358"/>
      <c r="Y69" s="423"/>
      <c r="Z69" s="358"/>
      <c r="AB69" s="358"/>
      <c r="AH69" s="358">
        <f t="shared" si="8"/>
        <v>0</v>
      </c>
      <c r="AK69" s="359">
        <f t="shared" si="11"/>
        <v>0</v>
      </c>
      <c r="AL69" s="415"/>
      <c r="AM69" s="415"/>
      <c r="AN69" s="429"/>
      <c r="AO69" s="429"/>
      <c r="AP69" s="429"/>
      <c r="AQ69" s="396">
        <v>0.02</v>
      </c>
      <c r="AR69" s="397">
        <f t="shared" ref="AR69:AR85" si="12">SUM(AU69:BR69)</f>
        <v>0</v>
      </c>
      <c r="AS69" s="358"/>
      <c r="AT69" s="358"/>
      <c r="AU69" s="358"/>
      <c r="AV69" s="358"/>
      <c r="AW69" s="358"/>
      <c r="AX69" s="358"/>
      <c r="AY69" s="215"/>
      <c r="AZ69" s="432"/>
      <c r="BA69" s="358"/>
      <c r="BB69" s="358"/>
      <c r="BC69" s="358"/>
      <c r="BD69" s="358"/>
      <c r="BE69" s="358"/>
      <c r="BU69" s="84"/>
      <c r="CG69" s="137"/>
    </row>
    <row r="70" s="172" customFormat="1" customHeight="1" spans="4:85">
      <c r="D70" s="414"/>
      <c r="F70" s="415"/>
      <c r="G70" s="416"/>
      <c r="H70" s="416"/>
      <c r="I70" s="418" t="s">
        <v>1595</v>
      </c>
      <c r="J70" s="172">
        <v>39.17</v>
      </c>
      <c r="L70" s="172">
        <v>2195.56</v>
      </c>
      <c r="M70" s="357">
        <v>86000</v>
      </c>
      <c r="N70" s="358"/>
      <c r="O70" s="419"/>
      <c r="P70" s="420"/>
      <c r="Q70" s="420"/>
      <c r="R70" s="358"/>
      <c r="S70" s="377"/>
      <c r="T70" s="377"/>
      <c r="U70" s="377"/>
      <c r="V70" s="358"/>
      <c r="W70" s="423"/>
      <c r="X70" s="358"/>
      <c r="Y70" s="423"/>
      <c r="Z70" s="358"/>
      <c r="AB70" s="358"/>
      <c r="AH70" s="358">
        <f t="shared" si="8"/>
        <v>0</v>
      </c>
      <c r="AK70" s="359">
        <f t="shared" si="11"/>
        <v>86000</v>
      </c>
      <c r="AL70" s="415"/>
      <c r="AM70" s="415"/>
      <c r="AN70" s="429"/>
      <c r="AO70" s="429"/>
      <c r="AP70" s="429"/>
      <c r="AQ70" s="396">
        <v>0.02</v>
      </c>
      <c r="AR70" s="397">
        <f t="shared" si="12"/>
        <v>0</v>
      </c>
      <c r="AS70" s="358"/>
      <c r="AT70" s="358"/>
      <c r="AU70" s="358"/>
      <c r="AV70" s="358"/>
      <c r="AW70" s="358"/>
      <c r="AX70" s="358"/>
      <c r="AY70" s="215"/>
      <c r="AZ70" s="432"/>
      <c r="BA70" s="358"/>
      <c r="BB70" s="358"/>
      <c r="BC70" s="358"/>
      <c r="BD70" s="358"/>
      <c r="BE70" s="358"/>
      <c r="BU70" s="84"/>
      <c r="CG70" s="137"/>
    </row>
    <row r="71" s="172" customFormat="1" customHeight="1" spans="4:85">
      <c r="D71" s="414"/>
      <c r="F71" s="415"/>
      <c r="G71" s="416" t="s">
        <v>1596</v>
      </c>
      <c r="H71" s="416"/>
      <c r="I71" s="418" t="s">
        <v>1597</v>
      </c>
      <c r="J71" s="172">
        <v>28.18</v>
      </c>
      <c r="L71" s="172">
        <v>2195.88</v>
      </c>
      <c r="M71" s="357">
        <v>61800</v>
      </c>
      <c r="N71" s="358"/>
      <c r="O71" s="419"/>
      <c r="P71" s="420"/>
      <c r="Q71" s="420"/>
      <c r="R71" s="358"/>
      <c r="S71" s="377"/>
      <c r="T71" s="377"/>
      <c r="U71" s="377"/>
      <c r="V71" s="358">
        <v>2000</v>
      </c>
      <c r="W71" s="377">
        <v>45537</v>
      </c>
      <c r="X71" s="358"/>
      <c r="Y71" s="423"/>
      <c r="Z71" s="358"/>
      <c r="AB71" s="358"/>
      <c r="AH71" s="358">
        <f t="shared" si="8"/>
        <v>2000</v>
      </c>
      <c r="AK71" s="359">
        <f t="shared" si="11"/>
        <v>59800</v>
      </c>
      <c r="AL71" s="415"/>
      <c r="AM71" s="415"/>
      <c r="AN71" s="429"/>
      <c r="AO71" s="429"/>
      <c r="AP71" s="429"/>
      <c r="AQ71" s="396">
        <v>0.02</v>
      </c>
      <c r="AR71" s="397">
        <f t="shared" si="12"/>
        <v>0</v>
      </c>
      <c r="AS71" s="358"/>
      <c r="AT71" s="358"/>
      <c r="AU71" s="358"/>
      <c r="AV71" s="358"/>
      <c r="AW71" s="358"/>
      <c r="AX71" s="358"/>
      <c r="AY71" s="215"/>
      <c r="AZ71" s="432"/>
      <c r="BA71" s="358"/>
      <c r="BB71" s="358"/>
      <c r="BC71" s="358"/>
      <c r="BD71" s="358"/>
      <c r="BE71" s="358"/>
      <c r="BU71" s="84"/>
      <c r="CG71" s="137"/>
    </row>
    <row r="72" s="172" customFormat="1" customHeight="1" spans="4:85">
      <c r="D72" s="414"/>
      <c r="F72" s="415"/>
      <c r="G72" s="416" t="s">
        <v>1598</v>
      </c>
      <c r="H72" s="416"/>
      <c r="I72" s="418" t="s">
        <v>1599</v>
      </c>
      <c r="J72" s="172">
        <v>24.68</v>
      </c>
      <c r="L72" s="172">
        <v>2196.11</v>
      </c>
      <c r="M72" s="357">
        <v>54200</v>
      </c>
      <c r="N72" s="358"/>
      <c r="O72" s="419"/>
      <c r="P72" s="420"/>
      <c r="Q72" s="420"/>
      <c r="R72" s="358"/>
      <c r="S72" s="377"/>
      <c r="T72" s="377"/>
      <c r="U72" s="377"/>
      <c r="V72" s="358">
        <v>3000</v>
      </c>
      <c r="W72" s="377">
        <v>45540</v>
      </c>
      <c r="X72" s="358">
        <v>51200</v>
      </c>
      <c r="Y72" s="377">
        <v>45566</v>
      </c>
      <c r="Z72" s="358"/>
      <c r="AB72" s="358"/>
      <c r="AH72" s="358">
        <f t="shared" si="8"/>
        <v>54200</v>
      </c>
      <c r="AK72" s="359">
        <f t="shared" si="11"/>
        <v>0</v>
      </c>
      <c r="AL72" s="415"/>
      <c r="AM72" s="415"/>
      <c r="AN72" s="429"/>
      <c r="AO72" s="429"/>
      <c r="AP72" s="429"/>
      <c r="AQ72" s="396">
        <v>0.02</v>
      </c>
      <c r="AR72" s="397">
        <f t="shared" si="12"/>
        <v>54200</v>
      </c>
      <c r="AS72" s="358"/>
      <c r="AT72" s="358"/>
      <c r="AU72" s="358"/>
      <c r="AV72" s="358"/>
      <c r="AW72" s="358"/>
      <c r="AX72" s="358"/>
      <c r="AY72" s="215"/>
      <c r="AZ72" s="432"/>
      <c r="BA72" s="358"/>
      <c r="BB72" s="358"/>
      <c r="BC72" s="358"/>
      <c r="BD72" s="358"/>
      <c r="BE72" s="358"/>
      <c r="BN72" s="172">
        <v>54200</v>
      </c>
      <c r="BU72" s="84"/>
      <c r="CG72" s="137"/>
    </row>
    <row r="73" s="172" customFormat="1" customHeight="1" spans="4:85">
      <c r="D73" s="414"/>
      <c r="F73" s="415"/>
      <c r="G73" s="416"/>
      <c r="H73" s="416"/>
      <c r="I73" s="418" t="s">
        <v>1600</v>
      </c>
      <c r="J73" s="172">
        <v>39.17</v>
      </c>
      <c r="L73" s="172">
        <v>2195.56</v>
      </c>
      <c r="M73" s="357">
        <v>86000</v>
      </c>
      <c r="N73" s="358"/>
      <c r="O73" s="419"/>
      <c r="P73" s="420"/>
      <c r="Q73" s="420"/>
      <c r="R73" s="358"/>
      <c r="S73" s="377"/>
      <c r="T73" s="377"/>
      <c r="U73" s="377"/>
      <c r="V73" s="358"/>
      <c r="W73" s="423"/>
      <c r="X73" s="358"/>
      <c r="Y73" s="423"/>
      <c r="Z73" s="358"/>
      <c r="AB73" s="358"/>
      <c r="AH73" s="358">
        <f t="shared" si="8"/>
        <v>0</v>
      </c>
      <c r="AK73" s="359">
        <f t="shared" si="11"/>
        <v>86000</v>
      </c>
      <c r="AL73" s="415"/>
      <c r="AM73" s="415"/>
      <c r="AN73" s="429"/>
      <c r="AO73" s="429"/>
      <c r="AP73" s="429"/>
      <c r="AQ73" s="396">
        <v>0.02</v>
      </c>
      <c r="AR73" s="397">
        <f t="shared" si="12"/>
        <v>0</v>
      </c>
      <c r="AS73" s="358"/>
      <c r="AT73" s="358"/>
      <c r="AU73" s="358"/>
      <c r="AV73" s="358"/>
      <c r="AW73" s="358"/>
      <c r="AX73" s="358"/>
      <c r="AY73" s="215"/>
      <c r="AZ73" s="432"/>
      <c r="BA73" s="358"/>
      <c r="BB73" s="358"/>
      <c r="BC73" s="358"/>
      <c r="BD73" s="358"/>
      <c r="BE73" s="358"/>
      <c r="BU73" s="84"/>
      <c r="CG73" s="137"/>
    </row>
    <row r="74" s="172" customFormat="1" customHeight="1" spans="4:85">
      <c r="D74" s="414"/>
      <c r="F74" s="415"/>
      <c r="G74" s="416"/>
      <c r="H74" s="416"/>
      <c r="I74" s="418" t="s">
        <v>1601</v>
      </c>
      <c r="J74" s="172">
        <v>64.62</v>
      </c>
      <c r="M74" s="357"/>
      <c r="N74" s="358"/>
      <c r="O74" s="419"/>
      <c r="P74" s="420"/>
      <c r="Q74" s="420"/>
      <c r="R74" s="358"/>
      <c r="S74" s="377"/>
      <c r="T74" s="377"/>
      <c r="U74" s="377"/>
      <c r="V74" s="358"/>
      <c r="W74" s="423"/>
      <c r="X74" s="358"/>
      <c r="Y74" s="423"/>
      <c r="Z74" s="358"/>
      <c r="AB74" s="358"/>
      <c r="AH74" s="358">
        <f t="shared" si="8"/>
        <v>0</v>
      </c>
      <c r="AK74" s="359">
        <f t="shared" si="11"/>
        <v>0</v>
      </c>
      <c r="AL74" s="415"/>
      <c r="AM74" s="415"/>
      <c r="AN74" s="429"/>
      <c r="AO74" s="429"/>
      <c r="AP74" s="429"/>
      <c r="AQ74" s="396">
        <v>0.02</v>
      </c>
      <c r="AR74" s="397">
        <f t="shared" si="12"/>
        <v>0</v>
      </c>
      <c r="AS74" s="358"/>
      <c r="AT74" s="358"/>
      <c r="AU74" s="358"/>
      <c r="AV74" s="358"/>
      <c r="AW74" s="358"/>
      <c r="AX74" s="358"/>
      <c r="AY74" s="215"/>
      <c r="AZ74" s="432"/>
      <c r="BA74" s="358"/>
      <c r="BB74" s="358"/>
      <c r="BC74" s="358"/>
      <c r="BD74" s="358"/>
      <c r="BE74" s="358"/>
      <c r="BU74" s="84"/>
      <c r="CG74" s="137"/>
    </row>
    <row r="75" s="172" customFormat="1" customHeight="1" spans="4:85">
      <c r="D75" s="414"/>
      <c r="F75" s="415"/>
      <c r="G75" s="416"/>
      <c r="H75" s="416"/>
      <c r="I75" s="418" t="s">
        <v>1602</v>
      </c>
      <c r="J75" s="172">
        <v>64.78</v>
      </c>
      <c r="M75" s="357"/>
      <c r="N75" s="358"/>
      <c r="O75" s="419"/>
      <c r="P75" s="420"/>
      <c r="Q75" s="420"/>
      <c r="R75" s="358"/>
      <c r="S75" s="377"/>
      <c r="T75" s="377"/>
      <c r="U75" s="377"/>
      <c r="V75" s="358"/>
      <c r="W75" s="423"/>
      <c r="X75" s="358"/>
      <c r="Y75" s="423"/>
      <c r="Z75" s="358"/>
      <c r="AB75" s="358"/>
      <c r="AH75" s="358">
        <f t="shared" si="8"/>
        <v>0</v>
      </c>
      <c r="AK75" s="359">
        <f t="shared" si="11"/>
        <v>0</v>
      </c>
      <c r="AL75" s="415"/>
      <c r="AM75" s="415"/>
      <c r="AN75" s="429"/>
      <c r="AO75" s="429"/>
      <c r="AP75" s="429"/>
      <c r="AQ75" s="396">
        <v>0.02</v>
      </c>
      <c r="AR75" s="397">
        <f t="shared" si="12"/>
        <v>0</v>
      </c>
      <c r="AS75" s="358"/>
      <c r="AT75" s="358"/>
      <c r="AU75" s="358"/>
      <c r="AV75" s="358"/>
      <c r="AW75" s="358"/>
      <c r="AX75" s="358"/>
      <c r="AY75" s="215"/>
      <c r="AZ75" s="432"/>
      <c r="BA75" s="358"/>
      <c r="BB75" s="358"/>
      <c r="BC75" s="358"/>
      <c r="BD75" s="358"/>
      <c r="BE75" s="358"/>
      <c r="BU75" s="84"/>
      <c r="CG75" s="137"/>
    </row>
    <row r="76" s="172" customFormat="1" customHeight="1" spans="4:85">
      <c r="D76" s="414"/>
      <c r="F76" s="415"/>
      <c r="G76" s="416"/>
      <c r="H76" s="416"/>
      <c r="I76" s="418" t="s">
        <v>1603</v>
      </c>
      <c r="J76" s="172">
        <v>38.67</v>
      </c>
      <c r="L76" s="172">
        <v>2196.02</v>
      </c>
      <c r="M76" s="357">
        <v>84920</v>
      </c>
      <c r="N76" s="358"/>
      <c r="O76" s="419"/>
      <c r="P76" s="420"/>
      <c r="Q76" s="420"/>
      <c r="R76" s="358"/>
      <c r="S76" s="377"/>
      <c r="T76" s="377"/>
      <c r="U76" s="377"/>
      <c r="V76" s="358"/>
      <c r="W76" s="423"/>
      <c r="X76" s="358"/>
      <c r="Y76" s="423"/>
      <c r="Z76" s="358"/>
      <c r="AB76" s="358"/>
      <c r="AH76" s="358">
        <f t="shared" si="8"/>
        <v>0</v>
      </c>
      <c r="AK76" s="359">
        <f t="shared" si="11"/>
        <v>84920</v>
      </c>
      <c r="AL76" s="415"/>
      <c r="AM76" s="415"/>
      <c r="AN76" s="429"/>
      <c r="AO76" s="429"/>
      <c r="AP76" s="429"/>
      <c r="AQ76" s="396">
        <v>0.02</v>
      </c>
      <c r="AR76" s="397">
        <f t="shared" si="12"/>
        <v>0</v>
      </c>
      <c r="AS76" s="358"/>
      <c r="AT76" s="358"/>
      <c r="AU76" s="358"/>
      <c r="AV76" s="358"/>
      <c r="AW76" s="358"/>
      <c r="AX76" s="358"/>
      <c r="AY76" s="215"/>
      <c r="AZ76" s="433"/>
      <c r="BA76" s="358"/>
      <c r="BB76" s="358"/>
      <c r="BC76" s="358"/>
      <c r="BD76" s="358"/>
      <c r="BE76" s="358"/>
      <c r="BU76" s="84"/>
      <c r="CG76" s="137"/>
    </row>
    <row r="77" s="172" customFormat="1" customHeight="1" spans="4:85">
      <c r="D77" s="414"/>
      <c r="F77" s="415"/>
      <c r="G77" s="416" t="s">
        <v>1604</v>
      </c>
      <c r="H77" s="416"/>
      <c r="I77" s="418" t="s">
        <v>1605</v>
      </c>
      <c r="J77" s="172">
        <v>15.5</v>
      </c>
      <c r="L77" s="172">
        <v>2196.13</v>
      </c>
      <c r="M77" s="357">
        <v>34040</v>
      </c>
      <c r="N77" s="358"/>
      <c r="O77" s="419"/>
      <c r="P77" s="420"/>
      <c r="Q77" s="420"/>
      <c r="R77" s="358"/>
      <c r="S77" s="377"/>
      <c r="T77" s="377"/>
      <c r="U77" s="377"/>
      <c r="V77" s="358">
        <v>34040</v>
      </c>
      <c r="W77" s="377">
        <v>45536</v>
      </c>
      <c r="X77" s="358"/>
      <c r="Y77" s="423"/>
      <c r="Z77" s="358"/>
      <c r="AB77" s="358"/>
      <c r="AH77" s="358">
        <f t="shared" si="8"/>
        <v>34040</v>
      </c>
      <c r="AK77" s="359">
        <f t="shared" si="11"/>
        <v>0</v>
      </c>
      <c r="AL77" s="415"/>
      <c r="AM77" s="415"/>
      <c r="AN77" s="429"/>
      <c r="AO77" s="429"/>
      <c r="AP77" s="429"/>
      <c r="AQ77" s="396">
        <v>0.02</v>
      </c>
      <c r="AR77" s="397">
        <f t="shared" si="12"/>
        <v>34040</v>
      </c>
      <c r="AS77" s="358"/>
      <c r="AT77" s="358"/>
      <c r="AU77" s="358"/>
      <c r="AV77" s="358"/>
      <c r="AW77" s="358"/>
      <c r="AX77" s="358"/>
      <c r="AY77" s="215"/>
      <c r="AZ77" s="432"/>
      <c r="BA77" s="358"/>
      <c r="BB77" s="358"/>
      <c r="BC77" s="358"/>
      <c r="BD77" s="358"/>
      <c r="BE77" s="358"/>
      <c r="BN77" s="172">
        <v>34040</v>
      </c>
      <c r="BU77" s="84"/>
      <c r="CG77" s="137"/>
    </row>
    <row r="78" s="172" customFormat="1" customHeight="1" spans="4:85">
      <c r="D78" s="414"/>
      <c r="F78" s="415"/>
      <c r="G78" s="416" t="s">
        <v>1606</v>
      </c>
      <c r="H78" s="416"/>
      <c r="I78" s="418" t="s">
        <v>1607</v>
      </c>
      <c r="J78" s="172">
        <v>22.57</v>
      </c>
      <c r="L78" s="172">
        <v>2195.84</v>
      </c>
      <c r="M78" s="357">
        <v>49560</v>
      </c>
      <c r="N78" s="358"/>
      <c r="O78" s="419"/>
      <c r="P78" s="420"/>
      <c r="Q78" s="420"/>
      <c r="R78" s="358"/>
      <c r="S78" s="377"/>
      <c r="T78" s="377"/>
      <c r="U78" s="377"/>
      <c r="V78" s="358">
        <v>2000</v>
      </c>
      <c r="W78" s="377">
        <v>45538</v>
      </c>
      <c r="X78" s="358">
        <v>47560</v>
      </c>
      <c r="Y78" s="377">
        <v>45576</v>
      </c>
      <c r="Z78" s="358"/>
      <c r="AB78" s="358"/>
      <c r="AH78" s="358">
        <f t="shared" si="8"/>
        <v>49560</v>
      </c>
      <c r="AK78" s="359">
        <f t="shared" si="11"/>
        <v>0</v>
      </c>
      <c r="AL78" s="415"/>
      <c r="AM78" s="415"/>
      <c r="AN78" s="429"/>
      <c r="AO78" s="429"/>
      <c r="AP78" s="429"/>
      <c r="AQ78" s="396">
        <v>0.02</v>
      </c>
      <c r="AR78" s="397">
        <f t="shared" si="12"/>
        <v>49560</v>
      </c>
      <c r="AS78" s="358"/>
      <c r="AT78" s="358"/>
      <c r="AU78" s="358"/>
      <c r="AV78" s="358"/>
      <c r="AW78" s="358"/>
      <c r="AX78" s="358"/>
      <c r="AY78" s="215"/>
      <c r="AZ78" s="432"/>
      <c r="BA78" s="358"/>
      <c r="BB78" s="358"/>
      <c r="BC78" s="358"/>
      <c r="BD78" s="358"/>
      <c r="BE78" s="358"/>
      <c r="BO78" s="172">
        <v>49560</v>
      </c>
      <c r="BU78" s="84"/>
      <c r="CG78" s="137"/>
    </row>
    <row r="79" s="172" customFormat="1" customHeight="1" spans="4:85">
      <c r="D79" s="414"/>
      <c r="F79" s="415"/>
      <c r="G79" s="416" t="s">
        <v>1608</v>
      </c>
      <c r="H79" s="416"/>
      <c r="I79" s="418" t="s">
        <v>1609</v>
      </c>
      <c r="J79" s="172">
        <v>11.6</v>
      </c>
      <c r="L79" s="172">
        <v>2196.55</v>
      </c>
      <c r="M79" s="357">
        <v>25480</v>
      </c>
      <c r="N79" s="358"/>
      <c r="O79" s="419"/>
      <c r="P79" s="420"/>
      <c r="Q79" s="420"/>
      <c r="R79" s="358"/>
      <c r="S79" s="377"/>
      <c r="T79" s="377"/>
      <c r="U79" s="377"/>
      <c r="V79" s="358">
        <v>5000</v>
      </c>
      <c r="W79" s="377">
        <v>45538</v>
      </c>
      <c r="X79" s="358">
        <v>20480</v>
      </c>
      <c r="Y79" s="423">
        <v>45544</v>
      </c>
      <c r="Z79" s="358"/>
      <c r="AB79" s="358"/>
      <c r="AH79" s="358">
        <f t="shared" si="8"/>
        <v>25480</v>
      </c>
      <c r="AK79" s="359">
        <f t="shared" si="11"/>
        <v>0</v>
      </c>
      <c r="AL79" s="415"/>
      <c r="AM79" s="415"/>
      <c r="AN79" s="429"/>
      <c r="AO79" s="429"/>
      <c r="AP79" s="429"/>
      <c r="AQ79" s="396">
        <v>0.02</v>
      </c>
      <c r="AR79" s="397">
        <f t="shared" si="12"/>
        <v>25480</v>
      </c>
      <c r="AS79" s="358"/>
      <c r="AT79" s="358"/>
      <c r="AU79" s="358"/>
      <c r="AV79" s="358"/>
      <c r="AW79" s="358"/>
      <c r="AX79" s="358"/>
      <c r="AY79" s="215"/>
      <c r="AZ79" s="432"/>
      <c r="BA79" s="358"/>
      <c r="BB79" s="358"/>
      <c r="BC79" s="358"/>
      <c r="BD79" s="358"/>
      <c r="BE79" s="358"/>
      <c r="BN79" s="172">
        <v>25480</v>
      </c>
      <c r="BU79" s="84"/>
      <c r="CG79" s="137"/>
    </row>
    <row r="80" s="172" customFormat="1" customHeight="1" spans="4:85">
      <c r="D80" s="414"/>
      <c r="F80" s="415"/>
      <c r="G80" s="416"/>
      <c r="H80" s="416"/>
      <c r="I80" s="418" t="s">
        <v>1610</v>
      </c>
      <c r="J80" s="172">
        <v>71.85</v>
      </c>
      <c r="M80" s="357"/>
      <c r="N80" s="358"/>
      <c r="O80" s="419"/>
      <c r="P80" s="420"/>
      <c r="Q80" s="420"/>
      <c r="R80" s="358"/>
      <c r="S80" s="377"/>
      <c r="T80" s="377"/>
      <c r="U80" s="377"/>
      <c r="V80" s="358"/>
      <c r="W80" s="423"/>
      <c r="X80" s="358"/>
      <c r="Y80" s="423"/>
      <c r="Z80" s="358"/>
      <c r="AB80" s="358"/>
      <c r="AH80" s="358">
        <f t="shared" si="8"/>
        <v>0</v>
      </c>
      <c r="AK80" s="359">
        <f t="shared" si="11"/>
        <v>0</v>
      </c>
      <c r="AL80" s="415"/>
      <c r="AM80" s="415"/>
      <c r="AN80" s="429"/>
      <c r="AO80" s="429"/>
      <c r="AP80" s="429"/>
      <c r="AQ80" s="396">
        <v>0.02</v>
      </c>
      <c r="AR80" s="397">
        <f t="shared" si="12"/>
        <v>0</v>
      </c>
      <c r="AS80" s="358"/>
      <c r="AT80" s="358"/>
      <c r="AU80" s="358"/>
      <c r="AV80" s="358"/>
      <c r="AW80" s="358"/>
      <c r="AX80" s="358"/>
      <c r="AY80" s="215"/>
      <c r="AZ80" s="432"/>
      <c r="BA80" s="358"/>
      <c r="BB80" s="358"/>
      <c r="BC80" s="358"/>
      <c r="BD80" s="358"/>
      <c r="BE80" s="358"/>
      <c r="BU80" s="84"/>
      <c r="CG80" s="137"/>
    </row>
    <row r="81" s="172" customFormat="1" customHeight="1" spans="4:85">
      <c r="D81" s="414"/>
      <c r="F81" s="415"/>
      <c r="G81" s="416" t="s">
        <v>1611</v>
      </c>
      <c r="H81" s="416"/>
      <c r="I81" s="418" t="s">
        <v>1612</v>
      </c>
      <c r="J81" s="172">
        <v>18.65</v>
      </c>
      <c r="L81" s="172">
        <v>2196.25</v>
      </c>
      <c r="M81" s="357">
        <v>40960</v>
      </c>
      <c r="N81" s="358"/>
      <c r="O81" s="419"/>
      <c r="P81" s="420"/>
      <c r="Q81" s="420"/>
      <c r="R81" s="358"/>
      <c r="S81" s="377"/>
      <c r="T81" s="377"/>
      <c r="U81" s="377"/>
      <c r="V81" s="358">
        <v>2000</v>
      </c>
      <c r="W81" s="377">
        <v>45540</v>
      </c>
      <c r="X81" s="358">
        <v>38960</v>
      </c>
      <c r="Y81" s="423">
        <v>45558</v>
      </c>
      <c r="Z81" s="358"/>
      <c r="AB81" s="358"/>
      <c r="AH81" s="358">
        <f t="shared" si="8"/>
        <v>40960</v>
      </c>
      <c r="AK81" s="359">
        <f t="shared" si="11"/>
        <v>0</v>
      </c>
      <c r="AL81" s="415"/>
      <c r="AM81" s="415"/>
      <c r="AN81" s="429"/>
      <c r="AO81" s="429"/>
      <c r="AP81" s="429"/>
      <c r="AQ81" s="396">
        <v>0.02</v>
      </c>
      <c r="AR81" s="397">
        <f t="shared" si="12"/>
        <v>40960</v>
      </c>
      <c r="AS81" s="358"/>
      <c r="AT81" s="358"/>
      <c r="AU81" s="358"/>
      <c r="AV81" s="358"/>
      <c r="AW81" s="358"/>
      <c r="AX81" s="358"/>
      <c r="AY81" s="215"/>
      <c r="AZ81" s="432"/>
      <c r="BA81" s="358"/>
      <c r="BB81" s="358"/>
      <c r="BC81" s="358"/>
      <c r="BD81" s="358"/>
      <c r="BE81" s="358"/>
      <c r="BN81" s="172">
        <v>40960</v>
      </c>
      <c r="BU81" s="84"/>
      <c r="CG81" s="137"/>
    </row>
    <row r="82" s="172" customFormat="1" customHeight="1" spans="4:85">
      <c r="D82" s="414"/>
      <c r="F82" s="415"/>
      <c r="G82" s="416" t="s">
        <v>1613</v>
      </c>
      <c r="H82" s="416"/>
      <c r="I82" s="418" t="s">
        <v>1614</v>
      </c>
      <c r="J82" s="172">
        <v>18.65</v>
      </c>
      <c r="L82" s="172">
        <v>2196.25</v>
      </c>
      <c r="M82" s="357">
        <v>40960</v>
      </c>
      <c r="N82" s="358"/>
      <c r="O82" s="419"/>
      <c r="P82" s="420"/>
      <c r="Q82" s="420"/>
      <c r="R82" s="358"/>
      <c r="S82" s="377"/>
      <c r="T82" s="377"/>
      <c r="U82" s="377"/>
      <c r="V82" s="358">
        <v>2000</v>
      </c>
      <c r="W82" s="377">
        <v>45537</v>
      </c>
      <c r="X82" s="358">
        <f>5000+33960</f>
        <v>38960</v>
      </c>
      <c r="Y82" s="423">
        <v>45545</v>
      </c>
      <c r="Z82" s="358"/>
      <c r="AB82" s="358"/>
      <c r="AH82" s="358">
        <f t="shared" si="8"/>
        <v>40960</v>
      </c>
      <c r="AK82" s="359">
        <f t="shared" si="11"/>
        <v>0</v>
      </c>
      <c r="AL82" s="415"/>
      <c r="AM82" s="415"/>
      <c r="AN82" s="429"/>
      <c r="AO82" s="429"/>
      <c r="AP82" s="429"/>
      <c r="AQ82" s="396">
        <v>0.02</v>
      </c>
      <c r="AR82" s="397">
        <f t="shared" si="12"/>
        <v>40960</v>
      </c>
      <c r="AS82" s="358"/>
      <c r="AT82" s="358"/>
      <c r="AU82" s="358"/>
      <c r="AV82" s="358"/>
      <c r="AW82" s="358"/>
      <c r="AX82" s="358"/>
      <c r="AY82" s="215"/>
      <c r="AZ82" s="432"/>
      <c r="BA82" s="358"/>
      <c r="BB82" s="358"/>
      <c r="BC82" s="358"/>
      <c r="BD82" s="358"/>
      <c r="BE82" s="358"/>
      <c r="BN82" s="172">
        <v>40960</v>
      </c>
      <c r="BU82" s="84"/>
      <c r="CG82" s="137"/>
    </row>
    <row r="83" s="172" customFormat="1" customHeight="1" spans="4:85">
      <c r="D83" s="414"/>
      <c r="F83" s="415"/>
      <c r="G83" s="416"/>
      <c r="H83" s="416"/>
      <c r="I83" s="418" t="s">
        <v>1615</v>
      </c>
      <c r="J83" s="172">
        <v>70.14</v>
      </c>
      <c r="M83" s="357"/>
      <c r="N83" s="358"/>
      <c r="O83" s="419"/>
      <c r="P83" s="420"/>
      <c r="Q83" s="420"/>
      <c r="R83" s="358"/>
      <c r="S83" s="377"/>
      <c r="T83" s="377"/>
      <c r="U83" s="377"/>
      <c r="V83" s="358"/>
      <c r="W83" s="423"/>
      <c r="X83" s="358"/>
      <c r="Y83" s="423"/>
      <c r="Z83" s="358"/>
      <c r="AB83" s="358"/>
      <c r="AH83" s="358">
        <f t="shared" si="8"/>
        <v>0</v>
      </c>
      <c r="AK83" s="359">
        <f t="shared" si="11"/>
        <v>0</v>
      </c>
      <c r="AL83" s="415"/>
      <c r="AM83" s="415"/>
      <c r="AN83" s="429"/>
      <c r="AO83" s="429"/>
      <c r="AP83" s="429"/>
      <c r="AQ83" s="396">
        <v>0.02</v>
      </c>
      <c r="AR83" s="397">
        <f t="shared" si="12"/>
        <v>0</v>
      </c>
      <c r="AS83" s="358"/>
      <c r="AT83" s="358"/>
      <c r="AU83" s="358"/>
      <c r="AV83" s="358"/>
      <c r="AW83" s="358"/>
      <c r="AX83" s="358"/>
      <c r="AY83" s="215"/>
      <c r="AZ83" s="432"/>
      <c r="BA83" s="358"/>
      <c r="BB83" s="358"/>
      <c r="BC83" s="358"/>
      <c r="BD83" s="358"/>
      <c r="BE83" s="358"/>
      <c r="BU83" s="84"/>
      <c r="CG83" s="137"/>
    </row>
    <row r="84" s="172" customFormat="1" customHeight="1" spans="4:85">
      <c r="D84" s="414"/>
      <c r="F84" s="415"/>
      <c r="G84" s="416" t="s">
        <v>1616</v>
      </c>
      <c r="H84" s="416"/>
      <c r="I84" s="418" t="s">
        <v>1617</v>
      </c>
      <c r="J84" s="172">
        <v>11.9</v>
      </c>
      <c r="L84" s="172">
        <v>2194.96</v>
      </c>
      <c r="M84" s="357">
        <v>26120</v>
      </c>
      <c r="N84" s="358"/>
      <c r="O84" s="419"/>
      <c r="P84" s="420"/>
      <c r="Q84" s="420"/>
      <c r="R84" s="358"/>
      <c r="S84" s="377"/>
      <c r="T84" s="377"/>
      <c r="U84" s="377"/>
      <c r="V84" s="358">
        <v>26120</v>
      </c>
      <c r="W84" s="377">
        <v>45536</v>
      </c>
      <c r="X84" s="358"/>
      <c r="Y84" s="423"/>
      <c r="Z84" s="358"/>
      <c r="AB84" s="358"/>
      <c r="AH84" s="358">
        <f t="shared" si="8"/>
        <v>26120</v>
      </c>
      <c r="AK84" s="359">
        <f t="shared" si="11"/>
        <v>0</v>
      </c>
      <c r="AL84" s="415"/>
      <c r="AM84" s="415"/>
      <c r="AN84" s="429"/>
      <c r="AO84" s="429"/>
      <c r="AP84" s="429"/>
      <c r="AQ84" s="396">
        <v>0.02</v>
      </c>
      <c r="AR84" s="397">
        <f t="shared" si="12"/>
        <v>26120</v>
      </c>
      <c r="AS84" s="358"/>
      <c r="AT84" s="358"/>
      <c r="AU84" s="358"/>
      <c r="AV84" s="358"/>
      <c r="AW84" s="358"/>
      <c r="AX84" s="358"/>
      <c r="AY84" s="215"/>
      <c r="AZ84" s="432"/>
      <c r="BA84" s="358"/>
      <c r="BB84" s="358"/>
      <c r="BC84" s="358"/>
      <c r="BD84" s="358"/>
      <c r="BE84" s="358"/>
      <c r="BN84" s="172">
        <v>26120</v>
      </c>
      <c r="BU84" s="84"/>
      <c r="CG84" s="137"/>
    </row>
    <row r="85" s="172" customFormat="1" customHeight="1" spans="4:85">
      <c r="D85" s="414"/>
      <c r="F85" s="415"/>
      <c r="G85" s="416" t="s">
        <v>1618</v>
      </c>
      <c r="H85" s="416"/>
      <c r="I85" s="418" t="s">
        <v>1619</v>
      </c>
      <c r="J85" s="172">
        <v>14.05</v>
      </c>
      <c r="L85" s="172">
        <v>2195.02</v>
      </c>
      <c r="M85" s="357">
        <v>30840</v>
      </c>
      <c r="N85" s="358"/>
      <c r="O85" s="419"/>
      <c r="P85" s="420"/>
      <c r="Q85" s="420"/>
      <c r="R85" s="358"/>
      <c r="S85" s="377"/>
      <c r="T85" s="377"/>
      <c r="U85" s="377"/>
      <c r="V85" s="358">
        <v>30840</v>
      </c>
      <c r="W85" s="377">
        <v>45536</v>
      </c>
      <c r="X85" s="358"/>
      <c r="Y85" s="423"/>
      <c r="Z85" s="358"/>
      <c r="AB85" s="358"/>
      <c r="AH85" s="358">
        <f t="shared" si="8"/>
        <v>30840</v>
      </c>
      <c r="AK85" s="359">
        <f t="shared" si="11"/>
        <v>0</v>
      </c>
      <c r="AL85" s="415"/>
      <c r="AM85" s="415"/>
      <c r="AN85" s="429"/>
      <c r="AO85" s="429"/>
      <c r="AP85" s="429"/>
      <c r="AQ85" s="396">
        <v>0.02</v>
      </c>
      <c r="AR85" s="397">
        <f t="shared" si="12"/>
        <v>30840</v>
      </c>
      <c r="AS85" s="358"/>
      <c r="AT85" s="358"/>
      <c r="AU85" s="358"/>
      <c r="AV85" s="358"/>
      <c r="AW85" s="358"/>
      <c r="AX85" s="358"/>
      <c r="AY85" s="215"/>
      <c r="AZ85" s="433"/>
      <c r="BA85" s="358"/>
      <c r="BB85" s="358"/>
      <c r="BC85" s="358"/>
      <c r="BD85" s="358"/>
      <c r="BE85" s="358"/>
      <c r="BN85" s="172">
        <v>30840</v>
      </c>
      <c r="BU85" s="84"/>
      <c r="CG85" s="137"/>
    </row>
    <row r="86" s="172" customFormat="1" customHeight="1" spans="4:85">
      <c r="D86" s="414"/>
      <c r="F86" s="415"/>
      <c r="G86" s="416"/>
      <c r="H86" s="416"/>
      <c r="I86" s="418" t="s">
        <v>1620</v>
      </c>
      <c r="J86" s="172">
        <v>31.42</v>
      </c>
      <c r="L86" s="172">
        <v>2196.05</v>
      </c>
      <c r="M86" s="357">
        <v>69000</v>
      </c>
      <c r="N86" s="358"/>
      <c r="O86" s="419"/>
      <c r="P86" s="420"/>
      <c r="Q86" s="420"/>
      <c r="R86" s="358"/>
      <c r="S86" s="377"/>
      <c r="T86" s="377"/>
      <c r="U86" s="377"/>
      <c r="V86" s="358"/>
      <c r="W86" s="423"/>
      <c r="X86" s="358"/>
      <c r="Y86" s="423"/>
      <c r="Z86" s="358"/>
      <c r="AB86" s="358"/>
      <c r="AH86" s="358">
        <f t="shared" si="8"/>
        <v>0</v>
      </c>
      <c r="AK86" s="359">
        <f t="shared" si="11"/>
        <v>69000</v>
      </c>
      <c r="AL86" s="415"/>
      <c r="AM86" s="415"/>
      <c r="AN86" s="429"/>
      <c r="AO86" s="429"/>
      <c r="AP86" s="429"/>
      <c r="AQ86" s="430"/>
      <c r="AR86" s="397"/>
      <c r="AS86" s="358"/>
      <c r="AT86" s="358"/>
      <c r="AU86" s="358"/>
      <c r="AV86" s="358"/>
      <c r="AW86" s="358"/>
      <c r="AX86" s="358"/>
      <c r="AY86" s="215"/>
      <c r="AZ86" s="433"/>
      <c r="BA86" s="358"/>
      <c r="BB86" s="358"/>
      <c r="BC86" s="358"/>
      <c r="BD86" s="358"/>
      <c r="BE86" s="358"/>
      <c r="BU86" s="84"/>
      <c r="CG86" s="137"/>
    </row>
    <row r="87" s="323" customFormat="1" ht="46" customHeight="1" spans="1:76">
      <c r="A87" s="323">
        <v>45</v>
      </c>
      <c r="C87" s="323" t="s">
        <v>1621</v>
      </c>
      <c r="D87" s="343" t="s">
        <v>1622</v>
      </c>
      <c r="F87" s="338" t="s">
        <v>1623</v>
      </c>
      <c r="G87" s="338" t="s">
        <v>1624</v>
      </c>
      <c r="H87" s="838" t="s">
        <v>1625</v>
      </c>
      <c r="I87" s="361" t="s">
        <v>1626</v>
      </c>
      <c r="J87" s="323">
        <v>117.5</v>
      </c>
      <c r="K87" s="323">
        <v>117.5</v>
      </c>
      <c r="L87" s="323">
        <v>8050</v>
      </c>
      <c r="M87" s="366">
        <f>945956-81</f>
        <v>945875</v>
      </c>
      <c r="N87" s="367">
        <v>8017</v>
      </c>
      <c r="O87" s="368">
        <v>867775.23</v>
      </c>
      <c r="P87" s="369" t="s">
        <v>1627</v>
      </c>
      <c r="Q87" s="369" t="s">
        <v>386</v>
      </c>
      <c r="R87" s="327"/>
      <c r="S87" s="330"/>
      <c r="T87" s="378" t="s">
        <v>1628</v>
      </c>
      <c r="U87" s="378" t="s">
        <v>1629</v>
      </c>
      <c r="V87" s="327">
        <f>2000</f>
        <v>2000</v>
      </c>
      <c r="W87" s="380">
        <v>44755</v>
      </c>
      <c r="X87" s="327">
        <v>20000</v>
      </c>
      <c r="Y87" s="389" t="s">
        <v>1630</v>
      </c>
      <c r="Z87" s="327">
        <v>116956</v>
      </c>
      <c r="AA87" s="380" t="s">
        <v>1621</v>
      </c>
      <c r="AB87" s="327">
        <v>209000</v>
      </c>
      <c r="AC87" s="323" t="s">
        <v>1354</v>
      </c>
      <c r="AD87" s="327">
        <v>600000</v>
      </c>
      <c r="AE87" s="330" t="s">
        <v>1033</v>
      </c>
      <c r="AF87" s="323">
        <v>-81</v>
      </c>
      <c r="AH87" s="327">
        <f t="shared" ref="AH87:AH119" si="13">V87+X87+Z87+AB87+AD87+AF87</f>
        <v>947875</v>
      </c>
      <c r="AK87" s="328">
        <f t="shared" si="11"/>
        <v>-2000</v>
      </c>
      <c r="AL87" s="338" t="s">
        <v>1631</v>
      </c>
      <c r="AM87" s="338"/>
      <c r="AN87" s="393"/>
      <c r="AO87" s="393"/>
      <c r="AP87" s="393"/>
      <c r="AQ87" s="332">
        <f>0.6%+0.14%</f>
        <v>0.0074</v>
      </c>
      <c r="AR87" s="398">
        <f t="shared" ref="AR87:AR133" si="14">SUM(AU87:BR87)</f>
        <v>945956</v>
      </c>
      <c r="AS87" s="327">
        <f>100</f>
        <v>100</v>
      </c>
      <c r="AT87" s="327"/>
      <c r="AU87" s="327"/>
      <c r="AV87" s="327"/>
      <c r="AW87" s="327"/>
      <c r="AX87" s="327">
        <v>345956</v>
      </c>
      <c r="AY87" s="184"/>
      <c r="AZ87" s="403"/>
      <c r="BA87" s="327">
        <v>600000</v>
      </c>
      <c r="BB87" s="327"/>
      <c r="BC87" s="327"/>
      <c r="BD87" s="327"/>
      <c r="BE87" s="327"/>
      <c r="BU87" s="413"/>
      <c r="BW87" s="323" t="s">
        <v>496</v>
      </c>
      <c r="BX87" s="323" t="s">
        <v>506</v>
      </c>
    </row>
    <row r="88" s="323" customFormat="1" customHeight="1" spans="1:73">
      <c r="A88" s="323">
        <v>46</v>
      </c>
      <c r="B88" s="323"/>
      <c r="C88" s="343"/>
      <c r="D88" s="323"/>
      <c r="E88" s="343"/>
      <c r="F88" s="338" t="s">
        <v>1632</v>
      </c>
      <c r="G88" s="340" t="s">
        <v>1633</v>
      </c>
      <c r="H88" s="837" t="s">
        <v>1634</v>
      </c>
      <c r="I88" s="364" t="s">
        <v>1635</v>
      </c>
      <c r="J88" s="323">
        <v>116.67</v>
      </c>
      <c r="K88" s="323">
        <v>116.67</v>
      </c>
      <c r="L88" s="323">
        <v>9856.016</v>
      </c>
      <c r="M88" s="366">
        <v>1150000</v>
      </c>
      <c r="N88" s="367">
        <v>8237</v>
      </c>
      <c r="O88" s="368"/>
      <c r="P88" s="369"/>
      <c r="Q88" s="369"/>
      <c r="R88" s="327"/>
      <c r="S88" s="378"/>
      <c r="T88" s="378"/>
      <c r="U88" s="378" t="s">
        <v>524</v>
      </c>
      <c r="V88" s="327">
        <v>20000</v>
      </c>
      <c r="W88" s="378" t="s">
        <v>1636</v>
      </c>
      <c r="X88" s="327"/>
      <c r="Y88" s="384"/>
      <c r="Z88" s="327"/>
      <c r="AA88" s="380"/>
      <c r="AB88" s="327"/>
      <c r="AC88" s="380"/>
      <c r="AD88" s="380"/>
      <c r="AE88" s="380"/>
      <c r="AF88" s="380"/>
      <c r="AG88" s="380"/>
      <c r="AH88" s="327">
        <f t="shared" si="13"/>
        <v>20000</v>
      </c>
      <c r="AK88" s="328">
        <f t="shared" si="11"/>
        <v>1130000</v>
      </c>
      <c r="AL88" s="338" t="s">
        <v>1637</v>
      </c>
      <c r="AM88" s="338" t="s">
        <v>1638</v>
      </c>
      <c r="AN88" s="393"/>
      <c r="AO88" s="393"/>
      <c r="AP88" s="393"/>
      <c r="AQ88" s="431">
        <f>0.7%+0.08%</f>
        <v>0.0078</v>
      </c>
      <c r="AR88" s="398">
        <f t="shared" si="14"/>
        <v>0</v>
      </c>
      <c r="AS88" s="327"/>
      <c r="AT88" s="327">
        <f>100+100</f>
        <v>200</v>
      </c>
      <c r="AU88" s="327"/>
      <c r="AV88" s="327"/>
      <c r="AW88" s="327"/>
      <c r="AX88" s="327"/>
      <c r="AY88" s="184"/>
      <c r="AZ88" s="403"/>
      <c r="BA88" s="327"/>
      <c r="BB88" s="327"/>
      <c r="BC88" s="327"/>
      <c r="BD88" s="327"/>
      <c r="BE88" s="327"/>
      <c r="BU88" s="434"/>
    </row>
    <row r="89" s="323" customFormat="1" customHeight="1" spans="1:75">
      <c r="A89" s="323">
        <v>47</v>
      </c>
      <c r="C89" s="380">
        <v>45520</v>
      </c>
      <c r="D89" s="338" t="s">
        <v>1639</v>
      </c>
      <c r="E89" s="323" t="s">
        <v>1640</v>
      </c>
      <c r="F89" s="338" t="s">
        <v>1641</v>
      </c>
      <c r="G89" s="342" t="s">
        <v>1642</v>
      </c>
      <c r="H89" s="342"/>
      <c r="I89" s="361" t="s">
        <v>1643</v>
      </c>
      <c r="J89" s="323">
        <v>115.94</v>
      </c>
      <c r="K89" s="323">
        <v>115.94</v>
      </c>
      <c r="L89" s="323">
        <f>M89/K89</f>
        <v>6190.71071243747</v>
      </c>
      <c r="M89" s="366">
        <f>717813-62</f>
        <v>717751</v>
      </c>
      <c r="N89" s="323">
        <v>6190.71</v>
      </c>
      <c r="O89" s="368"/>
      <c r="P89" s="369"/>
      <c r="Q89" s="369"/>
      <c r="R89" s="327"/>
      <c r="S89" s="330"/>
      <c r="T89" s="330"/>
      <c r="U89" s="330"/>
      <c r="V89" s="327">
        <v>717813</v>
      </c>
      <c r="W89" s="330" t="s">
        <v>849</v>
      </c>
      <c r="X89" s="327">
        <v>-62</v>
      </c>
      <c r="Y89" s="380"/>
      <c r="Z89" s="327"/>
      <c r="AA89" s="380"/>
      <c r="AB89" s="327"/>
      <c r="AC89" s="380"/>
      <c r="AD89" s="380"/>
      <c r="AE89" s="380"/>
      <c r="AF89" s="380"/>
      <c r="AG89" s="380"/>
      <c r="AH89" s="327">
        <f t="shared" si="13"/>
        <v>717751</v>
      </c>
      <c r="AK89" s="328">
        <f t="shared" ref="AK89:AK152" si="15">M89-AH89</f>
        <v>0</v>
      </c>
      <c r="AL89" s="338"/>
      <c r="AM89" s="338"/>
      <c r="AN89" s="393"/>
      <c r="AO89" s="393"/>
      <c r="AP89" s="393"/>
      <c r="AQ89" s="332"/>
      <c r="AR89" s="398">
        <f t="shared" si="14"/>
        <v>0</v>
      </c>
      <c r="AS89" s="327"/>
      <c r="AT89" s="327"/>
      <c r="AU89" s="327"/>
      <c r="AV89" s="327"/>
      <c r="AW89" s="327"/>
      <c r="AX89" s="327"/>
      <c r="AY89" s="401"/>
      <c r="AZ89" s="402"/>
      <c r="BA89" s="327"/>
      <c r="BB89" s="327"/>
      <c r="BC89" s="327"/>
      <c r="BD89" s="327"/>
      <c r="BE89" s="327"/>
      <c r="BU89" s="413"/>
      <c r="BW89" s="323" t="s">
        <v>496</v>
      </c>
    </row>
    <row r="90" s="323" customFormat="1" customHeight="1" spans="1:76">
      <c r="A90" s="323">
        <v>48</v>
      </c>
      <c r="C90" s="323" t="s">
        <v>1644</v>
      </c>
      <c r="D90" s="343" t="s">
        <v>1645</v>
      </c>
      <c r="F90" s="338" t="s">
        <v>1646</v>
      </c>
      <c r="G90" s="342" t="s">
        <v>1647</v>
      </c>
      <c r="H90" s="342"/>
      <c r="I90" s="364" t="s">
        <v>1648</v>
      </c>
      <c r="J90" s="323">
        <v>115.58</v>
      </c>
      <c r="K90" s="323">
        <v>115.58</v>
      </c>
      <c r="L90" s="323">
        <f>M90/K90</f>
        <v>5600</v>
      </c>
      <c r="M90" s="366">
        <f>647304-56</f>
        <v>647248</v>
      </c>
      <c r="N90" s="323">
        <v>5580.99</v>
      </c>
      <c r="O90" s="368">
        <v>593805.5</v>
      </c>
      <c r="P90" s="369" t="s">
        <v>1649</v>
      </c>
      <c r="Q90" s="369" t="s">
        <v>386</v>
      </c>
      <c r="R90" s="327"/>
      <c r="S90" s="330"/>
      <c r="T90" s="330"/>
      <c r="U90" s="330" t="s">
        <v>502</v>
      </c>
      <c r="V90" s="327">
        <v>7304</v>
      </c>
      <c r="W90" s="330" t="s">
        <v>1650</v>
      </c>
      <c r="X90" s="327">
        <v>140000</v>
      </c>
      <c r="Y90" s="330" t="s">
        <v>1018</v>
      </c>
      <c r="Z90" s="327">
        <v>50000</v>
      </c>
      <c r="AA90" s="380" t="s">
        <v>550</v>
      </c>
      <c r="AB90" s="327">
        <v>450000</v>
      </c>
      <c r="AC90" s="330" t="s">
        <v>520</v>
      </c>
      <c r="AD90" s="323">
        <v>-56</v>
      </c>
      <c r="AH90" s="327">
        <f t="shared" si="13"/>
        <v>647248</v>
      </c>
      <c r="AK90" s="328">
        <f t="shared" si="15"/>
        <v>0</v>
      </c>
      <c r="AL90" s="338" t="s">
        <v>1651</v>
      </c>
      <c r="AM90" s="338"/>
      <c r="AN90" s="393"/>
      <c r="AO90" s="393"/>
      <c r="AP90" s="393"/>
      <c r="AQ90" s="332">
        <f>0.4%+0.08%</f>
        <v>0.0048</v>
      </c>
      <c r="AR90" s="398">
        <f t="shared" si="14"/>
        <v>647304</v>
      </c>
      <c r="AS90" s="327"/>
      <c r="AT90" s="327">
        <v>100</v>
      </c>
      <c r="AU90" s="327"/>
      <c r="AV90" s="327"/>
      <c r="AW90" s="327"/>
      <c r="AX90" s="327"/>
      <c r="AY90" s="184"/>
      <c r="AZ90" s="268"/>
      <c r="BA90" s="327">
        <v>147304</v>
      </c>
      <c r="BB90" s="327"/>
      <c r="BC90" s="327"/>
      <c r="BD90" s="327"/>
      <c r="BE90" s="327"/>
      <c r="BJ90" s="323">
        <v>500000</v>
      </c>
      <c r="BU90" s="413"/>
      <c r="BW90" s="323" t="s">
        <v>496</v>
      </c>
      <c r="BX90" s="323" t="s">
        <v>506</v>
      </c>
    </row>
    <row r="91" s="323" customFormat="1" customHeight="1" spans="1:76">
      <c r="A91" s="323">
        <v>49</v>
      </c>
      <c r="C91" s="323">
        <v>2023.5</v>
      </c>
      <c r="D91" s="343" t="s">
        <v>1652</v>
      </c>
      <c r="F91" s="338" t="s">
        <v>1653</v>
      </c>
      <c r="G91" s="340" t="s">
        <v>1654</v>
      </c>
      <c r="H91" s="837" t="s">
        <v>1655</v>
      </c>
      <c r="I91" s="361" t="s">
        <v>1656</v>
      </c>
      <c r="J91" s="323">
        <v>115.94</v>
      </c>
      <c r="K91" s="323">
        <v>115.94</v>
      </c>
      <c r="L91" s="323">
        <v>5373.61</v>
      </c>
      <c r="M91" s="366">
        <f>623070-54</f>
        <v>623016</v>
      </c>
      <c r="O91" s="368">
        <v>571574.31</v>
      </c>
      <c r="P91" s="369" t="s">
        <v>1657</v>
      </c>
      <c r="Q91" s="369" t="s">
        <v>375</v>
      </c>
      <c r="R91" s="327"/>
      <c r="S91" s="330"/>
      <c r="T91" s="340" t="s">
        <v>1654</v>
      </c>
      <c r="U91" s="340" t="s">
        <v>1658</v>
      </c>
      <c r="V91" s="327">
        <v>20000</v>
      </c>
      <c r="W91" s="424" t="s">
        <v>1308</v>
      </c>
      <c r="X91" s="327">
        <v>23070</v>
      </c>
      <c r="Y91" s="384" t="s">
        <v>1659</v>
      </c>
      <c r="Z91" s="327">
        <v>50000</v>
      </c>
      <c r="AA91" s="330" t="s">
        <v>1033</v>
      </c>
      <c r="AB91" s="327">
        <v>70000</v>
      </c>
      <c r="AC91" s="330" t="s">
        <v>1660</v>
      </c>
      <c r="AD91" s="327">
        <v>460000</v>
      </c>
      <c r="AE91" s="330" t="s">
        <v>1661</v>
      </c>
      <c r="AF91" s="342">
        <v>-54</v>
      </c>
      <c r="AG91" s="380"/>
      <c r="AH91" s="327">
        <f t="shared" si="13"/>
        <v>623016</v>
      </c>
      <c r="AK91" s="328">
        <f t="shared" si="15"/>
        <v>0</v>
      </c>
      <c r="AL91" s="338" t="s">
        <v>1662</v>
      </c>
      <c r="AM91" s="338"/>
      <c r="AN91" s="393"/>
      <c r="AO91" s="393"/>
      <c r="AP91" s="393"/>
      <c r="AQ91" s="332">
        <f>0.6%+0.14%+0.06%</f>
        <v>0.008</v>
      </c>
      <c r="AR91" s="398">
        <f t="shared" si="14"/>
        <v>623070</v>
      </c>
      <c r="AS91" s="327"/>
      <c r="AT91" s="327">
        <v>100</v>
      </c>
      <c r="AU91" s="327"/>
      <c r="AV91" s="327"/>
      <c r="AW91" s="327"/>
      <c r="AX91" s="327"/>
      <c r="AY91" s="184"/>
      <c r="AZ91" s="268"/>
      <c r="BA91" s="327"/>
      <c r="BB91" s="327">
        <v>163070</v>
      </c>
      <c r="BC91" s="327"/>
      <c r="BD91" s="327">
        <v>460000</v>
      </c>
      <c r="BE91" s="327"/>
      <c r="BU91" s="413"/>
      <c r="BW91" s="323" t="s">
        <v>496</v>
      </c>
      <c r="BX91" s="323" t="s">
        <v>506</v>
      </c>
    </row>
    <row r="92" s="323" customFormat="1" customHeight="1" spans="1:76">
      <c r="A92" s="323">
        <v>50</v>
      </c>
      <c r="C92" s="323" t="s">
        <v>1663</v>
      </c>
      <c r="D92" s="343" t="s">
        <v>1664</v>
      </c>
      <c r="F92" s="833" t="s">
        <v>1665</v>
      </c>
      <c r="G92" s="340" t="s">
        <v>1666</v>
      </c>
      <c r="H92" s="837" t="s">
        <v>1667</v>
      </c>
      <c r="I92" s="364" t="s">
        <v>1668</v>
      </c>
      <c r="J92" s="323">
        <v>115.58</v>
      </c>
      <c r="K92" s="323">
        <v>115.58</v>
      </c>
      <c r="L92" s="323">
        <v>5382.96</v>
      </c>
      <c r="M92" s="366">
        <f>622216-54</f>
        <v>622162</v>
      </c>
      <c r="O92" s="368">
        <v>570790.83</v>
      </c>
      <c r="P92" s="369" t="s">
        <v>1669</v>
      </c>
      <c r="Q92" s="369" t="s">
        <v>386</v>
      </c>
      <c r="R92" s="327"/>
      <c r="S92" s="330"/>
      <c r="T92" s="340" t="s">
        <v>1666</v>
      </c>
      <c r="U92" s="340" t="s">
        <v>1670</v>
      </c>
      <c r="V92" s="327">
        <v>20000</v>
      </c>
      <c r="W92" s="380" t="s">
        <v>1671</v>
      </c>
      <c r="X92" s="327">
        <v>150000</v>
      </c>
      <c r="Y92" s="380" t="s">
        <v>1368</v>
      </c>
      <c r="Z92" s="327">
        <v>17216</v>
      </c>
      <c r="AA92" s="380" t="s">
        <v>1663</v>
      </c>
      <c r="AB92" s="327">
        <v>435000</v>
      </c>
      <c r="AC92" s="330" t="s">
        <v>975</v>
      </c>
      <c r="AD92" s="323">
        <v>-54</v>
      </c>
      <c r="AH92" s="327">
        <f t="shared" si="13"/>
        <v>622162</v>
      </c>
      <c r="AK92" s="328">
        <f t="shared" si="15"/>
        <v>0</v>
      </c>
      <c r="AL92" s="338" t="s">
        <v>1672</v>
      </c>
      <c r="AM92" s="338"/>
      <c r="AN92" s="393"/>
      <c r="AO92" s="393"/>
      <c r="AP92" s="393"/>
      <c r="AQ92" s="332">
        <f>0.4%+0.05%+0.14%</f>
        <v>0.0059</v>
      </c>
      <c r="AR92" s="398">
        <f t="shared" si="14"/>
        <v>622216</v>
      </c>
      <c r="AS92" s="327"/>
      <c r="AT92" s="327">
        <v>100</v>
      </c>
      <c r="AU92" s="327"/>
      <c r="AV92" s="327"/>
      <c r="AW92" s="327"/>
      <c r="AX92" s="327"/>
      <c r="AY92" s="184">
        <v>187216</v>
      </c>
      <c r="AZ92" s="403"/>
      <c r="BA92" s="327">
        <v>435000</v>
      </c>
      <c r="BB92" s="327"/>
      <c r="BC92" s="327"/>
      <c r="BD92" s="327"/>
      <c r="BE92" s="327"/>
      <c r="BU92" s="413"/>
      <c r="BW92" s="323" t="s">
        <v>496</v>
      </c>
      <c r="BX92" s="323" t="s">
        <v>506</v>
      </c>
    </row>
    <row r="93" s="323" customFormat="1" customHeight="1" spans="1:76">
      <c r="A93" s="323">
        <v>51</v>
      </c>
      <c r="C93" s="323" t="s">
        <v>1245</v>
      </c>
      <c r="D93" s="343" t="s">
        <v>1673</v>
      </c>
      <c r="F93" s="338" t="s">
        <v>1674</v>
      </c>
      <c r="G93" s="342" t="s">
        <v>1675</v>
      </c>
      <c r="H93" s="838" t="s">
        <v>1676</v>
      </c>
      <c r="I93" s="361" t="s">
        <v>1677</v>
      </c>
      <c r="J93" s="323">
        <v>115.94</v>
      </c>
      <c r="K93" s="323">
        <v>115.94</v>
      </c>
      <c r="L93" s="323">
        <v>5167.38</v>
      </c>
      <c r="M93" s="366">
        <f>599158-52</f>
        <v>599106</v>
      </c>
      <c r="O93" s="368">
        <v>549638.53</v>
      </c>
      <c r="P93" s="369" t="s">
        <v>1678</v>
      </c>
      <c r="Q93" s="369" t="s">
        <v>386</v>
      </c>
      <c r="R93" s="327"/>
      <c r="S93" s="330"/>
      <c r="T93" s="331" t="s">
        <v>1679</v>
      </c>
      <c r="U93" s="330" t="s">
        <v>1680</v>
      </c>
      <c r="V93" s="327">
        <v>199158</v>
      </c>
      <c r="W93" s="380" t="s">
        <v>1245</v>
      </c>
      <c r="X93" s="327">
        <v>200000</v>
      </c>
      <c r="Y93" s="380" t="s">
        <v>1681</v>
      </c>
      <c r="Z93" s="327">
        <v>200000</v>
      </c>
      <c r="AA93" s="380" t="s">
        <v>1682</v>
      </c>
      <c r="AB93" s="327">
        <v>-52</v>
      </c>
      <c r="AH93" s="327">
        <f t="shared" si="13"/>
        <v>599106</v>
      </c>
      <c r="AK93" s="328">
        <f t="shared" si="15"/>
        <v>0</v>
      </c>
      <c r="AL93" s="338" t="s">
        <v>1683</v>
      </c>
      <c r="AM93" s="338"/>
      <c r="AN93" s="393"/>
      <c r="AO93" s="393"/>
      <c r="AP93" s="393"/>
      <c r="AQ93" s="332">
        <f>0.6%+0.04%+0.1%</f>
        <v>0.0074</v>
      </c>
      <c r="AR93" s="398">
        <f t="shared" si="14"/>
        <v>599158</v>
      </c>
      <c r="AS93" s="327"/>
      <c r="AT93" s="327">
        <v>100</v>
      </c>
      <c r="AU93" s="327"/>
      <c r="AV93" s="327">
        <v>399158</v>
      </c>
      <c r="AW93" s="327"/>
      <c r="AX93" s="327"/>
      <c r="AY93" s="401">
        <v>200000</v>
      </c>
      <c r="AZ93" s="402"/>
      <c r="BA93" s="327"/>
      <c r="BB93" s="327"/>
      <c r="BC93" s="327"/>
      <c r="BD93" s="327"/>
      <c r="BE93" s="327"/>
      <c r="BU93" s="413"/>
      <c r="BW93" s="323" t="s">
        <v>496</v>
      </c>
      <c r="BX93" s="323" t="s">
        <v>506</v>
      </c>
    </row>
    <row r="94" s="323" customFormat="1" customHeight="1" spans="1:76">
      <c r="A94" s="323">
        <v>52</v>
      </c>
      <c r="C94" s="323" t="s">
        <v>1276</v>
      </c>
      <c r="D94" s="341" t="s">
        <v>1684</v>
      </c>
      <c r="F94" s="338" t="s">
        <v>1685</v>
      </c>
      <c r="G94" s="342" t="s">
        <v>1686</v>
      </c>
      <c r="H94" s="838" t="s">
        <v>1687</v>
      </c>
      <c r="I94" s="364" t="s">
        <v>1688</v>
      </c>
      <c r="J94" s="323">
        <v>115.58</v>
      </c>
      <c r="K94" s="323">
        <v>115.58</v>
      </c>
      <c r="L94" s="323">
        <v>5176.38</v>
      </c>
      <c r="M94" s="326">
        <f>598338-52</f>
        <v>598286</v>
      </c>
      <c r="O94" s="368">
        <v>548886.24</v>
      </c>
      <c r="P94" s="421" t="s">
        <v>1689</v>
      </c>
      <c r="Q94" s="369" t="s">
        <v>386</v>
      </c>
      <c r="R94" s="327"/>
      <c r="S94" s="425"/>
      <c r="T94" s="426" t="s">
        <v>1690</v>
      </c>
      <c r="U94" s="427" t="s">
        <v>1691</v>
      </c>
      <c r="V94" s="323">
        <v>108338</v>
      </c>
      <c r="W94" s="380" t="s">
        <v>1276</v>
      </c>
      <c r="X94" s="327">
        <v>150000</v>
      </c>
      <c r="Y94" s="380" t="s">
        <v>1621</v>
      </c>
      <c r="Z94" s="327">
        <v>340000</v>
      </c>
      <c r="AA94" s="380" t="s">
        <v>1692</v>
      </c>
      <c r="AB94" s="327">
        <v>-52</v>
      </c>
      <c r="AC94" s="424"/>
      <c r="AD94" s="424"/>
      <c r="AE94" s="424"/>
      <c r="AF94" s="424"/>
      <c r="AG94" s="424"/>
      <c r="AH94" s="327">
        <f t="shared" si="13"/>
        <v>598286</v>
      </c>
      <c r="AK94" s="328">
        <f t="shared" si="15"/>
        <v>0</v>
      </c>
      <c r="AL94" s="338" t="s">
        <v>1693</v>
      </c>
      <c r="AM94" s="338"/>
      <c r="AN94" s="392"/>
      <c r="AO94" s="392"/>
      <c r="AP94" s="392"/>
      <c r="AQ94" s="332">
        <f>0.4%+0.04%+0.1%</f>
        <v>0.0054</v>
      </c>
      <c r="AR94" s="398">
        <f t="shared" si="14"/>
        <v>598338</v>
      </c>
      <c r="AS94" s="327">
        <f>100</f>
        <v>100</v>
      </c>
      <c r="AT94" s="327">
        <v>100</v>
      </c>
      <c r="AU94" s="327"/>
      <c r="AV94" s="327"/>
      <c r="AW94" s="327"/>
      <c r="AX94" s="327">
        <v>258338</v>
      </c>
      <c r="AY94" s="401"/>
      <c r="AZ94" s="406">
        <v>340000</v>
      </c>
      <c r="BA94" s="327"/>
      <c r="BB94" s="327"/>
      <c r="BC94" s="327"/>
      <c r="BD94" s="327"/>
      <c r="BE94" s="327"/>
      <c r="BU94" s="413"/>
      <c r="BW94" s="323" t="s">
        <v>496</v>
      </c>
      <c r="BX94" s="323" t="s">
        <v>506</v>
      </c>
    </row>
    <row r="95" s="323" customFormat="1" ht="50" customHeight="1" spans="1:76">
      <c r="A95" s="323">
        <v>53</v>
      </c>
      <c r="C95" s="323" t="s">
        <v>1344</v>
      </c>
      <c r="D95" s="343" t="s">
        <v>1694</v>
      </c>
      <c r="F95" s="338" t="s">
        <v>1695</v>
      </c>
      <c r="G95" s="340" t="s">
        <v>1696</v>
      </c>
      <c r="H95" s="340"/>
      <c r="I95" s="361" t="s">
        <v>1697</v>
      </c>
      <c r="J95" s="323">
        <v>115.94</v>
      </c>
      <c r="K95" s="323">
        <v>115.94</v>
      </c>
      <c r="L95" s="323">
        <v>5338.51</v>
      </c>
      <c r="M95" s="366">
        <f>-53+619000</f>
        <v>618947</v>
      </c>
      <c r="N95" s="367"/>
      <c r="O95" s="368">
        <v>567841.28</v>
      </c>
      <c r="P95" s="369" t="s">
        <v>1698</v>
      </c>
      <c r="Q95" s="369" t="s">
        <v>386</v>
      </c>
      <c r="R95" s="327"/>
      <c r="S95" s="378"/>
      <c r="T95" s="378" t="s">
        <v>1696</v>
      </c>
      <c r="U95" s="378" t="s">
        <v>1696</v>
      </c>
      <c r="V95" s="327">
        <v>619000</v>
      </c>
      <c r="W95" s="384" t="s">
        <v>1344</v>
      </c>
      <c r="X95" s="327">
        <v>-53</v>
      </c>
      <c r="Y95" s="384"/>
      <c r="Z95" s="327"/>
      <c r="AB95" s="327"/>
      <c r="AH95" s="327">
        <f t="shared" si="13"/>
        <v>618947</v>
      </c>
      <c r="AK95" s="328">
        <f t="shared" si="15"/>
        <v>0</v>
      </c>
      <c r="AL95" s="338" t="s">
        <v>1699</v>
      </c>
      <c r="AM95" s="338"/>
      <c r="AN95" s="393"/>
      <c r="AO95" s="393"/>
      <c r="AP95" s="393"/>
      <c r="AQ95" s="332">
        <f>0.6%+0.06%+0.14%</f>
        <v>0.008</v>
      </c>
      <c r="AR95" s="398">
        <f t="shared" si="14"/>
        <v>619000</v>
      </c>
      <c r="AS95" s="327">
        <f>100+100</f>
        <v>200</v>
      </c>
      <c r="AT95" s="327">
        <v>100</v>
      </c>
      <c r="AU95" s="327"/>
      <c r="AV95" s="327">
        <v>619000</v>
      </c>
      <c r="AW95" s="327"/>
      <c r="AX95" s="327"/>
      <c r="AY95" s="401"/>
      <c r="AZ95" s="402"/>
      <c r="BA95" s="327"/>
      <c r="BB95" s="327"/>
      <c r="BC95" s="327"/>
      <c r="BD95" s="327"/>
      <c r="BE95" s="327"/>
      <c r="BW95" s="323" t="s">
        <v>496</v>
      </c>
      <c r="BX95" s="323" t="s">
        <v>506</v>
      </c>
    </row>
    <row r="96" s="323" customFormat="1" customHeight="1" spans="1:76">
      <c r="A96" s="323">
        <v>54</v>
      </c>
      <c r="C96" s="323" t="s">
        <v>1382</v>
      </c>
      <c r="D96" s="343" t="s">
        <v>1700</v>
      </c>
      <c r="F96" s="338" t="s">
        <v>1701</v>
      </c>
      <c r="G96" s="340" t="s">
        <v>1702</v>
      </c>
      <c r="H96" s="340"/>
      <c r="I96" s="364" t="s">
        <v>1703</v>
      </c>
      <c r="J96" s="323">
        <v>115.58</v>
      </c>
      <c r="K96" s="323">
        <v>115.58</v>
      </c>
      <c r="L96" s="323">
        <v>5226.39</v>
      </c>
      <c r="M96" s="366">
        <f>-52+604118</f>
        <v>604066</v>
      </c>
      <c r="N96" s="367"/>
      <c r="O96" s="368">
        <v>554188.99</v>
      </c>
      <c r="P96" s="369" t="s">
        <v>1704</v>
      </c>
      <c r="Q96" s="369" t="s">
        <v>386</v>
      </c>
      <c r="R96" s="327"/>
      <c r="S96" s="330"/>
      <c r="T96" s="381" t="s">
        <v>1705</v>
      </c>
      <c r="U96" s="378" t="s">
        <v>1706</v>
      </c>
      <c r="V96" s="327">
        <v>124118</v>
      </c>
      <c r="W96" s="380" t="s">
        <v>1382</v>
      </c>
      <c r="X96" s="327">
        <v>480000</v>
      </c>
      <c r="Y96" s="330" t="s">
        <v>1707</v>
      </c>
      <c r="Z96" s="327">
        <v>-52</v>
      </c>
      <c r="AA96" s="380"/>
      <c r="AB96" s="327"/>
      <c r="AC96" s="380"/>
      <c r="AD96" s="380"/>
      <c r="AE96" s="380"/>
      <c r="AF96" s="380"/>
      <c r="AG96" s="380"/>
      <c r="AH96" s="327">
        <f t="shared" si="13"/>
        <v>604066</v>
      </c>
      <c r="AK96" s="328">
        <f t="shared" si="15"/>
        <v>0</v>
      </c>
      <c r="AL96" s="338" t="s">
        <v>1708</v>
      </c>
      <c r="AM96" s="338"/>
      <c r="AN96" s="393"/>
      <c r="AO96" s="393"/>
      <c r="AP96" s="393"/>
      <c r="AQ96" s="332">
        <f>0.6%+0.1%+0.04%</f>
        <v>0.0074</v>
      </c>
      <c r="AR96" s="398">
        <f t="shared" si="14"/>
        <v>604118</v>
      </c>
      <c r="AS96" s="327">
        <f>100</f>
        <v>100</v>
      </c>
      <c r="AT96" s="327"/>
      <c r="AU96" s="327"/>
      <c r="AV96" s="327">
        <v>124118</v>
      </c>
      <c r="AW96" s="327"/>
      <c r="AX96" s="327"/>
      <c r="AY96" s="401"/>
      <c r="AZ96" s="402"/>
      <c r="BA96" s="327"/>
      <c r="BB96" s="327">
        <v>480000</v>
      </c>
      <c r="BC96" s="327"/>
      <c r="BD96" s="327"/>
      <c r="BE96" s="327"/>
      <c r="BW96" s="323" t="s">
        <v>496</v>
      </c>
      <c r="BX96" s="323" t="s">
        <v>506</v>
      </c>
    </row>
    <row r="97" s="323" customFormat="1" customHeight="1" spans="1:76">
      <c r="A97" s="323">
        <v>55</v>
      </c>
      <c r="C97" s="323" t="s">
        <v>1709</v>
      </c>
      <c r="D97" s="343" t="s">
        <v>1710</v>
      </c>
      <c r="F97" s="338" t="s">
        <v>1711</v>
      </c>
      <c r="G97" s="340" t="s">
        <v>1712</v>
      </c>
      <c r="H97" s="340"/>
      <c r="I97" s="361" t="s">
        <v>1713</v>
      </c>
      <c r="J97" s="323">
        <v>115.94</v>
      </c>
      <c r="K97" s="323">
        <v>115.94</v>
      </c>
      <c r="L97" s="323">
        <v>5424.75</v>
      </c>
      <c r="M97" s="366">
        <f>-54+629000</f>
        <v>628946</v>
      </c>
      <c r="N97" s="367"/>
      <c r="O97" s="368">
        <v>577014.68</v>
      </c>
      <c r="P97" s="369" t="s">
        <v>1714</v>
      </c>
      <c r="Q97" s="369" t="s">
        <v>386</v>
      </c>
      <c r="R97" s="327"/>
      <c r="S97" s="330"/>
      <c r="T97" s="340" t="s">
        <v>1712</v>
      </c>
      <c r="U97" s="340" t="s">
        <v>709</v>
      </c>
      <c r="V97" s="327">
        <v>20000</v>
      </c>
      <c r="W97" s="330" t="s">
        <v>1715</v>
      </c>
      <c r="X97" s="327">
        <v>169000</v>
      </c>
      <c r="Y97" s="380" t="s">
        <v>1709</v>
      </c>
      <c r="Z97" s="380">
        <v>440000</v>
      </c>
      <c r="AA97" s="380" t="s">
        <v>1047</v>
      </c>
      <c r="AB97" s="342">
        <v>-54</v>
      </c>
      <c r="AC97" s="342"/>
      <c r="AD97" s="380"/>
      <c r="AE97" s="380"/>
      <c r="AF97" s="380"/>
      <c r="AG97" s="380"/>
      <c r="AH97" s="327">
        <f t="shared" si="13"/>
        <v>628946</v>
      </c>
      <c r="AK97" s="328">
        <f t="shared" si="15"/>
        <v>0</v>
      </c>
      <c r="AL97" s="338" t="s">
        <v>1716</v>
      </c>
      <c r="AM97" s="338"/>
      <c r="AN97" s="393"/>
      <c r="AO97" s="393"/>
      <c r="AP97" s="393"/>
      <c r="AQ97" s="332">
        <f>0.5%+0.14%</f>
        <v>0.0064</v>
      </c>
      <c r="AR97" s="398">
        <f t="shared" si="14"/>
        <v>629000</v>
      </c>
      <c r="AS97" s="327">
        <v>100</v>
      </c>
      <c r="AT97" s="327"/>
      <c r="AU97" s="327"/>
      <c r="AV97" s="327"/>
      <c r="AW97" s="327"/>
      <c r="AX97" s="327">
        <v>189000</v>
      </c>
      <c r="AY97" s="401"/>
      <c r="AZ97" s="405">
        <v>440000</v>
      </c>
      <c r="BA97" s="327"/>
      <c r="BB97" s="327"/>
      <c r="BC97" s="327"/>
      <c r="BD97" s="327"/>
      <c r="BE97" s="327"/>
      <c r="BW97" s="323" t="s">
        <v>496</v>
      </c>
      <c r="BX97" s="323" t="s">
        <v>506</v>
      </c>
    </row>
    <row r="98" s="323" customFormat="1" customHeight="1" spans="1:76">
      <c r="A98" s="323">
        <v>56</v>
      </c>
      <c r="C98" s="323" t="s">
        <v>1382</v>
      </c>
      <c r="D98" s="343" t="s">
        <v>1717</v>
      </c>
      <c r="F98" s="338" t="s">
        <v>1718</v>
      </c>
      <c r="G98" s="340" t="s">
        <v>1719</v>
      </c>
      <c r="H98" s="837" t="s">
        <v>1720</v>
      </c>
      <c r="I98" s="364" t="s">
        <v>1721</v>
      </c>
      <c r="J98" s="323">
        <v>115.58</v>
      </c>
      <c r="K98" s="323">
        <v>115.58</v>
      </c>
      <c r="L98" s="323">
        <v>5271.38</v>
      </c>
      <c r="M98" s="366">
        <f>-53+609319</f>
        <v>609266</v>
      </c>
      <c r="N98" s="367"/>
      <c r="O98" s="368">
        <v>558959.63</v>
      </c>
      <c r="P98" s="369" t="s">
        <v>1722</v>
      </c>
      <c r="Q98" s="369" t="s">
        <v>386</v>
      </c>
      <c r="R98" s="327"/>
      <c r="S98" s="330"/>
      <c r="T98" s="381" t="s">
        <v>1723</v>
      </c>
      <c r="U98" s="378" t="s">
        <v>1724</v>
      </c>
      <c r="V98" s="327">
        <v>189319</v>
      </c>
      <c r="W98" s="380" t="s">
        <v>1382</v>
      </c>
      <c r="X98" s="327">
        <v>20000</v>
      </c>
      <c r="Y98" s="323" t="s">
        <v>1283</v>
      </c>
      <c r="Z98" s="327">
        <v>400000</v>
      </c>
      <c r="AA98" s="380" t="s">
        <v>1336</v>
      </c>
      <c r="AB98" s="327">
        <v>-53</v>
      </c>
      <c r="AH98" s="327">
        <f t="shared" si="13"/>
        <v>609266</v>
      </c>
      <c r="AK98" s="328">
        <f t="shared" si="15"/>
        <v>0</v>
      </c>
      <c r="AL98" s="338" t="s">
        <v>1725</v>
      </c>
      <c r="AM98" s="338"/>
      <c r="AN98" s="393"/>
      <c r="AO98" s="393"/>
      <c r="AP98" s="393"/>
      <c r="AQ98" s="332">
        <f t="shared" ref="AQ98:AQ103" si="16">0.4%+0.04%+0.1%</f>
        <v>0.0054</v>
      </c>
      <c r="AR98" s="398">
        <f t="shared" si="14"/>
        <v>609319</v>
      </c>
      <c r="AS98" s="327">
        <v>100</v>
      </c>
      <c r="AT98" s="327"/>
      <c r="AU98" s="327"/>
      <c r="AV98" s="327">
        <v>189319</v>
      </c>
      <c r="AW98" s="327">
        <v>420000</v>
      </c>
      <c r="AX98" s="327"/>
      <c r="AY98" s="401"/>
      <c r="AZ98" s="402"/>
      <c r="BA98" s="327"/>
      <c r="BB98" s="327"/>
      <c r="BC98" s="327"/>
      <c r="BD98" s="327"/>
      <c r="BE98" s="327"/>
      <c r="BW98" s="323" t="s">
        <v>496</v>
      </c>
      <c r="BX98" s="323" t="s">
        <v>506</v>
      </c>
    </row>
    <row r="99" s="323" customFormat="1" customHeight="1" spans="1:76">
      <c r="A99" s="323">
        <v>57</v>
      </c>
      <c r="C99" s="323" t="s">
        <v>1726</v>
      </c>
      <c r="D99" s="343" t="s">
        <v>1727</v>
      </c>
      <c r="F99" s="338" t="s">
        <v>1728</v>
      </c>
      <c r="G99" s="337" t="s">
        <v>1729</v>
      </c>
      <c r="H99" s="839" t="s">
        <v>1730</v>
      </c>
      <c r="I99" s="361" t="s">
        <v>1731</v>
      </c>
      <c r="J99" s="323">
        <v>115.94</v>
      </c>
      <c r="K99" s="323">
        <v>115.94</v>
      </c>
      <c r="L99" s="323">
        <v>5285.38</v>
      </c>
      <c r="M99" s="366">
        <f>-53+612840</f>
        <v>612787</v>
      </c>
      <c r="N99" s="367"/>
      <c r="O99" s="368">
        <v>562189.91</v>
      </c>
      <c r="P99" s="369" t="s">
        <v>1732</v>
      </c>
      <c r="Q99" s="369" t="s">
        <v>386</v>
      </c>
      <c r="R99" s="327"/>
      <c r="S99" s="330"/>
      <c r="T99" s="331" t="s">
        <v>1733</v>
      </c>
      <c r="U99" s="330" t="s">
        <v>1734</v>
      </c>
      <c r="V99" s="327">
        <v>2000</v>
      </c>
      <c r="W99" s="380">
        <v>44759</v>
      </c>
      <c r="X99" s="327">
        <v>18000</v>
      </c>
      <c r="Y99" s="389" t="s">
        <v>1297</v>
      </c>
      <c r="Z99" s="327">
        <f>8000+164840</f>
        <v>172840</v>
      </c>
      <c r="AA99" s="323" t="s">
        <v>1726</v>
      </c>
      <c r="AB99" s="327">
        <v>420000</v>
      </c>
      <c r="AC99" s="330" t="s">
        <v>1735</v>
      </c>
      <c r="AD99" s="323">
        <v>-53</v>
      </c>
      <c r="AH99" s="327">
        <f t="shared" si="13"/>
        <v>612787</v>
      </c>
      <c r="AK99" s="328">
        <f t="shared" si="15"/>
        <v>0</v>
      </c>
      <c r="AL99" s="338" t="s">
        <v>1736</v>
      </c>
      <c r="AM99" s="338"/>
      <c r="AN99" s="393"/>
      <c r="AO99" s="393"/>
      <c r="AP99" s="393"/>
      <c r="AQ99" s="332">
        <f>0.6%+0.1%</f>
        <v>0.007</v>
      </c>
      <c r="AR99" s="398">
        <f t="shared" si="14"/>
        <v>612840</v>
      </c>
      <c r="AS99" s="327"/>
      <c r="AT99" s="327">
        <v>100</v>
      </c>
      <c r="AU99" s="327"/>
      <c r="AV99" s="327"/>
      <c r="AW99" s="327"/>
      <c r="AX99" s="327">
        <v>192840</v>
      </c>
      <c r="AY99" s="401"/>
      <c r="AZ99" s="402"/>
      <c r="BA99" s="327">
        <v>420000</v>
      </c>
      <c r="BB99" s="327"/>
      <c r="BC99" s="327"/>
      <c r="BD99" s="327"/>
      <c r="BE99" s="327"/>
      <c r="BW99" s="323" t="s">
        <v>496</v>
      </c>
      <c r="BX99" s="323" t="s">
        <v>506</v>
      </c>
    </row>
    <row r="100" s="323" customFormat="1" customHeight="1" spans="1:76">
      <c r="A100" s="323">
        <v>58</v>
      </c>
      <c r="C100" s="323" t="s">
        <v>1709</v>
      </c>
      <c r="D100" s="343" t="s">
        <v>1737</v>
      </c>
      <c r="F100" s="338" t="s">
        <v>1738</v>
      </c>
      <c r="G100" s="337" t="s">
        <v>1739</v>
      </c>
      <c r="H100" s="839" t="s">
        <v>1740</v>
      </c>
      <c r="I100" s="361" t="s">
        <v>1741</v>
      </c>
      <c r="J100" s="323">
        <v>115.58</v>
      </c>
      <c r="K100" s="323">
        <v>115.58</v>
      </c>
      <c r="L100" s="323">
        <v>5316.38</v>
      </c>
      <c r="M100" s="366">
        <f>-53+614521</f>
        <v>614468</v>
      </c>
      <c r="N100" s="367"/>
      <c r="O100" s="368">
        <v>563732.11</v>
      </c>
      <c r="P100" s="369" t="s">
        <v>1742</v>
      </c>
      <c r="Q100" s="369" t="s">
        <v>386</v>
      </c>
      <c r="R100" s="327"/>
      <c r="S100" s="378"/>
      <c r="T100" s="381" t="s">
        <v>1743</v>
      </c>
      <c r="U100" s="378" t="s">
        <v>1744</v>
      </c>
      <c r="V100" s="327">
        <f>2000</f>
        <v>2000</v>
      </c>
      <c r="W100" s="379">
        <v>44755</v>
      </c>
      <c r="X100" s="327">
        <v>18000</v>
      </c>
      <c r="Y100" s="389" t="s">
        <v>1297</v>
      </c>
      <c r="Z100" s="327">
        <v>594521</v>
      </c>
      <c r="AA100" s="323" t="s">
        <v>1709</v>
      </c>
      <c r="AB100" s="327">
        <v>-53</v>
      </c>
      <c r="AH100" s="327">
        <f t="shared" si="13"/>
        <v>614468</v>
      </c>
      <c r="AK100" s="328">
        <f t="shared" si="15"/>
        <v>0</v>
      </c>
      <c r="AL100" s="338" t="s">
        <v>1745</v>
      </c>
      <c r="AM100" s="338"/>
      <c r="AN100" s="393"/>
      <c r="AO100" s="393"/>
      <c r="AP100" s="393"/>
      <c r="AQ100" s="332">
        <f>0.6%+0.1%</f>
        <v>0.007</v>
      </c>
      <c r="AR100" s="398">
        <f t="shared" si="14"/>
        <v>614521</v>
      </c>
      <c r="AS100" s="327">
        <f t="shared" ref="AS100:AS103" si="17">100</f>
        <v>100</v>
      </c>
      <c r="AT100" s="327">
        <v>100</v>
      </c>
      <c r="AU100" s="327"/>
      <c r="AV100" s="327"/>
      <c r="AW100" s="327"/>
      <c r="AX100" s="327">
        <v>614521</v>
      </c>
      <c r="AY100" s="401"/>
      <c r="AZ100" s="402"/>
      <c r="BA100" s="327"/>
      <c r="BB100" s="327"/>
      <c r="BC100" s="327"/>
      <c r="BD100" s="327"/>
      <c r="BE100" s="327"/>
      <c r="BW100" s="323" t="s">
        <v>496</v>
      </c>
      <c r="BX100" s="323" t="s">
        <v>506</v>
      </c>
    </row>
    <row r="101" s="323" customFormat="1" customHeight="1" spans="1:76">
      <c r="A101" s="323">
        <v>59</v>
      </c>
      <c r="C101" s="323" t="s">
        <v>1245</v>
      </c>
      <c r="D101" s="343" t="s">
        <v>1746</v>
      </c>
      <c r="F101" s="338" t="s">
        <v>1747</v>
      </c>
      <c r="G101" s="337" t="s">
        <v>1748</v>
      </c>
      <c r="H101" s="337"/>
      <c r="I101" s="361" t="s">
        <v>1749</v>
      </c>
      <c r="J101" s="323">
        <v>115.94</v>
      </c>
      <c r="K101" s="323">
        <v>115.94</v>
      </c>
      <c r="L101" s="323">
        <v>5412.4</v>
      </c>
      <c r="M101" s="366">
        <f>-54+627568</f>
        <v>627514</v>
      </c>
      <c r="N101" s="367"/>
      <c r="O101" s="368">
        <v>575700.92</v>
      </c>
      <c r="P101" s="369" t="s">
        <v>1750</v>
      </c>
      <c r="Q101" s="369" t="s">
        <v>386</v>
      </c>
      <c r="R101" s="327"/>
      <c r="S101" s="330"/>
      <c r="T101" s="337" t="s">
        <v>1748</v>
      </c>
      <c r="U101" s="337" t="s">
        <v>1748</v>
      </c>
      <c r="V101" s="327">
        <v>20000</v>
      </c>
      <c r="W101" s="380" t="s">
        <v>1276</v>
      </c>
      <c r="X101" s="327">
        <v>177568</v>
      </c>
      <c r="Y101" s="389" t="s">
        <v>1245</v>
      </c>
      <c r="Z101" s="327">
        <v>430000</v>
      </c>
      <c r="AA101" s="323" t="s">
        <v>1335</v>
      </c>
      <c r="AB101" s="327">
        <v>-54</v>
      </c>
      <c r="AH101" s="327">
        <f t="shared" si="13"/>
        <v>627514</v>
      </c>
      <c r="AK101" s="328">
        <f t="shared" si="15"/>
        <v>0</v>
      </c>
      <c r="AL101" s="338" t="s">
        <v>1751</v>
      </c>
      <c r="AM101" s="338"/>
      <c r="AN101" s="393"/>
      <c r="AO101" s="393"/>
      <c r="AP101" s="393"/>
      <c r="AQ101" s="332">
        <f>0.6%+0.06%+0.14%</f>
        <v>0.008</v>
      </c>
      <c r="AR101" s="398">
        <f t="shared" si="14"/>
        <v>627568</v>
      </c>
      <c r="AS101" s="327"/>
      <c r="AT101" s="327"/>
      <c r="AU101" s="327"/>
      <c r="AV101" s="327">
        <v>197568</v>
      </c>
      <c r="AW101" s="327"/>
      <c r="AX101" s="327"/>
      <c r="AY101" s="401"/>
      <c r="AZ101" s="405">
        <v>430000</v>
      </c>
      <c r="BA101" s="327"/>
      <c r="BB101" s="327"/>
      <c r="BC101" s="327"/>
      <c r="BD101" s="327"/>
      <c r="BE101" s="327"/>
      <c r="BW101" s="323" t="s">
        <v>496</v>
      </c>
      <c r="BX101" s="323" t="s">
        <v>506</v>
      </c>
    </row>
    <row r="102" s="323" customFormat="1" customHeight="1" spans="1:76">
      <c r="A102" s="323">
        <v>60</v>
      </c>
      <c r="C102" s="323" t="s">
        <v>1316</v>
      </c>
      <c r="D102" s="343" t="s">
        <v>1752</v>
      </c>
      <c r="F102" s="338" t="s">
        <v>1753</v>
      </c>
      <c r="G102" s="337" t="s">
        <v>1754</v>
      </c>
      <c r="H102" s="839" t="s">
        <v>1755</v>
      </c>
      <c r="I102" s="361" t="s">
        <v>1756</v>
      </c>
      <c r="J102" s="323">
        <v>115.58</v>
      </c>
      <c r="K102" s="323">
        <v>115.58</v>
      </c>
      <c r="L102" s="323">
        <v>5341.38</v>
      </c>
      <c r="M102" s="366">
        <f>-53+617410</f>
        <v>617357</v>
      </c>
      <c r="N102" s="367"/>
      <c r="O102" s="368">
        <v>566382.57</v>
      </c>
      <c r="P102" s="369" t="s">
        <v>1757</v>
      </c>
      <c r="Q102" s="369" t="s">
        <v>386</v>
      </c>
      <c r="R102" s="327"/>
      <c r="S102" s="378"/>
      <c r="T102" s="381" t="s">
        <v>1758</v>
      </c>
      <c r="U102" s="378" t="s">
        <v>1759</v>
      </c>
      <c r="V102" s="327">
        <v>187410</v>
      </c>
      <c r="W102" s="323" t="s">
        <v>1316</v>
      </c>
      <c r="X102" s="327">
        <v>430000</v>
      </c>
      <c r="Y102" s="389" t="s">
        <v>1039</v>
      </c>
      <c r="Z102" s="327">
        <v>-53</v>
      </c>
      <c r="AB102" s="327"/>
      <c r="AH102" s="327">
        <f t="shared" si="13"/>
        <v>617357</v>
      </c>
      <c r="AK102" s="328">
        <f t="shared" si="15"/>
        <v>0</v>
      </c>
      <c r="AL102" s="338" t="s">
        <v>1760</v>
      </c>
      <c r="AM102" s="338"/>
      <c r="AN102" s="393"/>
      <c r="AO102" s="393"/>
      <c r="AP102" s="393"/>
      <c r="AQ102" s="332">
        <f t="shared" si="16"/>
        <v>0.0054</v>
      </c>
      <c r="AR102" s="398">
        <f t="shared" si="14"/>
        <v>617410</v>
      </c>
      <c r="AS102" s="327">
        <f t="shared" si="17"/>
        <v>100</v>
      </c>
      <c r="AT102" s="327">
        <v>100</v>
      </c>
      <c r="AU102" s="327"/>
      <c r="AV102" s="327">
        <v>187410</v>
      </c>
      <c r="AW102" s="327">
        <v>430000</v>
      </c>
      <c r="AX102" s="327"/>
      <c r="AY102" s="401"/>
      <c r="AZ102" s="402"/>
      <c r="BA102" s="327"/>
      <c r="BB102" s="327"/>
      <c r="BC102" s="327"/>
      <c r="BD102" s="327"/>
      <c r="BE102" s="327"/>
      <c r="BW102" s="323" t="s">
        <v>496</v>
      </c>
      <c r="BX102" s="323" t="s">
        <v>506</v>
      </c>
    </row>
    <row r="103" s="323" customFormat="1" customHeight="1" spans="1:76">
      <c r="A103" s="323">
        <v>61</v>
      </c>
      <c r="C103" s="323" t="s">
        <v>1276</v>
      </c>
      <c r="D103" s="343" t="s">
        <v>1761</v>
      </c>
      <c r="F103" s="338" t="s">
        <v>1762</v>
      </c>
      <c r="G103" s="323" t="s">
        <v>1763</v>
      </c>
      <c r="H103" s="833" t="s">
        <v>1764</v>
      </c>
      <c r="I103" s="364" t="s">
        <v>1765</v>
      </c>
      <c r="J103" s="323">
        <v>115.94</v>
      </c>
      <c r="K103" s="323">
        <v>115.94</v>
      </c>
      <c r="L103" s="323">
        <v>5377.38</v>
      </c>
      <c r="M103" s="366">
        <f>-54+623508</f>
        <v>623454</v>
      </c>
      <c r="N103" s="367"/>
      <c r="O103" s="368">
        <v>571976.15</v>
      </c>
      <c r="P103" s="369" t="s">
        <v>1766</v>
      </c>
      <c r="Q103" s="369" t="s">
        <v>386</v>
      </c>
      <c r="R103" s="327"/>
      <c r="S103" s="330"/>
      <c r="T103" s="381" t="s">
        <v>1767</v>
      </c>
      <c r="U103" s="378" t="s">
        <v>1768</v>
      </c>
      <c r="V103" s="327">
        <v>167508</v>
      </c>
      <c r="W103" s="389" t="s">
        <v>1276</v>
      </c>
      <c r="X103" s="327">
        <v>20000</v>
      </c>
      <c r="Y103" s="389" t="s">
        <v>1769</v>
      </c>
      <c r="Z103" s="327">
        <v>436000</v>
      </c>
      <c r="AA103" s="323" t="s">
        <v>872</v>
      </c>
      <c r="AB103" s="327">
        <v>-54</v>
      </c>
      <c r="AH103" s="327">
        <f t="shared" si="13"/>
        <v>623454</v>
      </c>
      <c r="AK103" s="328">
        <f t="shared" si="15"/>
        <v>0</v>
      </c>
      <c r="AL103" s="338" t="s">
        <v>1770</v>
      </c>
      <c r="AM103" s="338"/>
      <c r="AN103" s="393"/>
      <c r="AO103" s="393"/>
      <c r="AP103" s="393"/>
      <c r="AQ103" s="332">
        <f t="shared" si="16"/>
        <v>0.0054</v>
      </c>
      <c r="AR103" s="398">
        <f t="shared" si="14"/>
        <v>623508</v>
      </c>
      <c r="AS103" s="327">
        <f t="shared" si="17"/>
        <v>100</v>
      </c>
      <c r="AT103" s="327"/>
      <c r="AU103" s="327"/>
      <c r="AV103" s="327">
        <v>187508</v>
      </c>
      <c r="AW103" s="327">
        <v>436000</v>
      </c>
      <c r="AX103" s="327"/>
      <c r="AY103" s="401"/>
      <c r="AZ103" s="402"/>
      <c r="BA103" s="327"/>
      <c r="BB103" s="327"/>
      <c r="BC103" s="327"/>
      <c r="BD103" s="327"/>
      <c r="BE103" s="327"/>
      <c r="BW103" s="323" t="s">
        <v>496</v>
      </c>
      <c r="BX103" s="323" t="s">
        <v>506</v>
      </c>
    </row>
    <row r="104" s="323" customFormat="1" customHeight="1" spans="1:76">
      <c r="A104" s="323">
        <v>62</v>
      </c>
      <c r="C104" s="323" t="s">
        <v>1276</v>
      </c>
      <c r="D104" s="343" t="s">
        <v>1771</v>
      </c>
      <c r="F104" s="338" t="s">
        <v>1772</v>
      </c>
      <c r="G104" s="337" t="s">
        <v>1598</v>
      </c>
      <c r="H104" s="337"/>
      <c r="I104" s="361" t="s">
        <v>1773</v>
      </c>
      <c r="J104" s="323">
        <v>115.58</v>
      </c>
      <c r="K104" s="323">
        <v>115.58</v>
      </c>
      <c r="L104" s="323">
        <v>5534.04</v>
      </c>
      <c r="M104" s="366">
        <f>-55+639680</f>
        <v>639625</v>
      </c>
      <c r="N104" s="367"/>
      <c r="O104" s="368">
        <v>586811.93</v>
      </c>
      <c r="P104" s="369" t="s">
        <v>1774</v>
      </c>
      <c r="Q104" s="369" t="s">
        <v>1775</v>
      </c>
      <c r="R104" s="327"/>
      <c r="S104" s="330"/>
      <c r="T104" s="330" t="s">
        <v>1598</v>
      </c>
      <c r="U104" s="330" t="s">
        <v>1598</v>
      </c>
      <c r="V104" s="327">
        <v>20000</v>
      </c>
      <c r="W104" s="380" t="s">
        <v>1344</v>
      </c>
      <c r="X104" s="327">
        <v>619680</v>
      </c>
      <c r="Y104" s="389" t="s">
        <v>1276</v>
      </c>
      <c r="Z104" s="327">
        <v>-55</v>
      </c>
      <c r="AB104" s="327"/>
      <c r="AH104" s="327">
        <f t="shared" si="13"/>
        <v>639625</v>
      </c>
      <c r="AK104" s="328">
        <f t="shared" si="15"/>
        <v>0</v>
      </c>
      <c r="AL104" s="338" t="s">
        <v>1776</v>
      </c>
      <c r="AM104" s="338"/>
      <c r="AN104" s="393"/>
      <c r="AO104" s="393"/>
      <c r="AP104" s="393"/>
      <c r="AQ104" s="332">
        <f>0.5%+0.05%+0.14%</f>
        <v>0.0069</v>
      </c>
      <c r="AR104" s="398">
        <f t="shared" si="14"/>
        <v>639680</v>
      </c>
      <c r="AS104" s="327"/>
      <c r="AT104" s="327">
        <v>100</v>
      </c>
      <c r="AU104" s="327"/>
      <c r="AV104" s="327">
        <v>639680</v>
      </c>
      <c r="AW104" s="327"/>
      <c r="AX104" s="327"/>
      <c r="AY104" s="401"/>
      <c r="AZ104" s="402"/>
      <c r="BA104" s="327"/>
      <c r="BB104" s="327"/>
      <c r="BC104" s="327"/>
      <c r="BD104" s="327"/>
      <c r="BE104" s="327"/>
      <c r="BW104" s="323" t="s">
        <v>496</v>
      </c>
      <c r="BX104" s="323" t="s">
        <v>506</v>
      </c>
    </row>
    <row r="105" s="323" customFormat="1" customHeight="1" spans="1:76">
      <c r="A105" s="323">
        <v>63</v>
      </c>
      <c r="C105" s="323" t="s">
        <v>1237</v>
      </c>
      <c r="D105" s="343" t="s">
        <v>1777</v>
      </c>
      <c r="F105" s="338" t="s">
        <v>1778</v>
      </c>
      <c r="G105" s="323" t="s">
        <v>1779</v>
      </c>
      <c r="I105" s="364" t="s">
        <v>1780</v>
      </c>
      <c r="J105" s="323">
        <v>115.94</v>
      </c>
      <c r="K105" s="323">
        <v>115.94</v>
      </c>
      <c r="L105" s="323">
        <v>5528.81</v>
      </c>
      <c r="M105" s="366">
        <f>-55+641066</f>
        <v>641011</v>
      </c>
      <c r="N105" s="367"/>
      <c r="O105" s="368">
        <v>588083.49</v>
      </c>
      <c r="P105" s="369" t="s">
        <v>1781</v>
      </c>
      <c r="Q105" s="369" t="s">
        <v>1775</v>
      </c>
      <c r="R105" s="327"/>
      <c r="S105" s="330"/>
      <c r="T105" s="378" t="s">
        <v>1779</v>
      </c>
      <c r="U105" s="378" t="s">
        <v>1779</v>
      </c>
      <c r="V105" s="327">
        <f>52066</f>
        <v>52066</v>
      </c>
      <c r="W105" s="379" t="s">
        <v>1245</v>
      </c>
      <c r="X105" s="327">
        <v>90000</v>
      </c>
      <c r="Y105" s="389" t="s">
        <v>1246</v>
      </c>
      <c r="Z105" s="327">
        <v>499000</v>
      </c>
      <c r="AA105" s="330" t="s">
        <v>866</v>
      </c>
      <c r="AB105" s="327">
        <v>-55</v>
      </c>
      <c r="AH105" s="327">
        <f t="shared" si="13"/>
        <v>641011</v>
      </c>
      <c r="AK105" s="328">
        <f t="shared" si="15"/>
        <v>0</v>
      </c>
      <c r="AL105" s="338"/>
      <c r="AM105" s="338"/>
      <c r="AN105" s="393"/>
      <c r="AO105" s="393"/>
      <c r="AP105" s="393"/>
      <c r="AQ105" s="332">
        <f>0.5%+0.05%+0.14%</f>
        <v>0.0069</v>
      </c>
      <c r="AR105" s="398">
        <f t="shared" si="14"/>
        <v>641066</v>
      </c>
      <c r="AS105" s="327">
        <f>100</f>
        <v>100</v>
      </c>
      <c r="AT105" s="327"/>
      <c r="AU105" s="327"/>
      <c r="AV105" s="327">
        <v>142066</v>
      </c>
      <c r="AW105" s="327"/>
      <c r="AX105" s="327"/>
      <c r="AY105" s="401"/>
      <c r="AZ105" s="402"/>
      <c r="BA105" s="327">
        <v>499000</v>
      </c>
      <c r="BB105" s="327"/>
      <c r="BC105" s="327"/>
      <c r="BD105" s="327"/>
      <c r="BE105" s="327"/>
      <c r="BW105" s="323" t="s">
        <v>496</v>
      </c>
      <c r="BX105" s="323" t="s">
        <v>506</v>
      </c>
    </row>
    <row r="106" s="323" customFormat="1" customHeight="1" spans="1:76">
      <c r="A106" s="323">
        <v>64</v>
      </c>
      <c r="C106" s="323" t="s">
        <v>1316</v>
      </c>
      <c r="D106" s="343" t="s">
        <v>1782</v>
      </c>
      <c r="F106" s="338" t="s">
        <v>1783</v>
      </c>
      <c r="G106" s="323" t="s">
        <v>1784</v>
      </c>
      <c r="H106" s="833" t="s">
        <v>1785</v>
      </c>
      <c r="I106" s="361" t="s">
        <v>1786</v>
      </c>
      <c r="J106" s="323">
        <v>115.58</v>
      </c>
      <c r="K106" s="323">
        <v>115.58</v>
      </c>
      <c r="L106" s="323">
        <v>5406.38</v>
      </c>
      <c r="M106" s="366">
        <f>-54+624924</f>
        <v>624870</v>
      </c>
      <c r="N106" s="367"/>
      <c r="O106" s="368">
        <v>573275.23</v>
      </c>
      <c r="P106" s="369" t="s">
        <v>1787</v>
      </c>
      <c r="Q106" s="369" t="s">
        <v>177</v>
      </c>
      <c r="R106" s="327"/>
      <c r="S106" s="330"/>
      <c r="T106" s="331" t="s">
        <v>1788</v>
      </c>
      <c r="U106" s="330" t="s">
        <v>1789</v>
      </c>
      <c r="V106" s="327">
        <v>187924</v>
      </c>
      <c r="W106" s="389" t="s">
        <v>1316</v>
      </c>
      <c r="X106" s="327">
        <v>437000</v>
      </c>
      <c r="Y106" s="389" t="s">
        <v>1790</v>
      </c>
      <c r="Z106" s="327">
        <v>-54</v>
      </c>
      <c r="AB106" s="327"/>
      <c r="AH106" s="327">
        <f t="shared" si="13"/>
        <v>624870</v>
      </c>
      <c r="AK106" s="328">
        <f t="shared" si="15"/>
        <v>0</v>
      </c>
      <c r="AL106" s="338" t="s">
        <v>1791</v>
      </c>
      <c r="AM106" s="338"/>
      <c r="AN106" s="393"/>
      <c r="AO106" s="393"/>
      <c r="AP106" s="393"/>
      <c r="AQ106" s="332">
        <f>0.4%+0.04%+0.1%</f>
        <v>0.0054</v>
      </c>
      <c r="AR106" s="398">
        <f t="shared" si="14"/>
        <v>624924</v>
      </c>
      <c r="AS106" s="327"/>
      <c r="AT106" s="327">
        <v>100</v>
      </c>
      <c r="AU106" s="327"/>
      <c r="AV106" s="327">
        <v>187924</v>
      </c>
      <c r="AW106" s="327">
        <v>437000</v>
      </c>
      <c r="AX106" s="327"/>
      <c r="AY106" s="401"/>
      <c r="AZ106" s="402"/>
      <c r="BA106" s="327"/>
      <c r="BB106" s="327"/>
      <c r="BC106" s="327"/>
      <c r="BD106" s="327"/>
      <c r="BE106" s="327"/>
      <c r="BW106" s="323" t="s">
        <v>496</v>
      </c>
      <c r="BX106" s="323" t="s">
        <v>506</v>
      </c>
    </row>
    <row r="107" s="323" customFormat="1" customHeight="1" spans="1:76">
      <c r="A107" s="323">
        <v>65</v>
      </c>
      <c r="C107" s="323" t="s">
        <v>1344</v>
      </c>
      <c r="D107" s="343" t="s">
        <v>1792</v>
      </c>
      <c r="F107" s="338" t="s">
        <v>1793</v>
      </c>
      <c r="G107" s="340" t="s">
        <v>1794</v>
      </c>
      <c r="H107" s="839" t="s">
        <v>1795</v>
      </c>
      <c r="I107" s="364" t="s">
        <v>1796</v>
      </c>
      <c r="J107" s="323">
        <v>115.94</v>
      </c>
      <c r="K107" s="323">
        <v>115.94</v>
      </c>
      <c r="L107" s="323">
        <v>6560.42</v>
      </c>
      <c r="M107" s="366">
        <f>-66+760681</f>
        <v>760615</v>
      </c>
      <c r="N107" s="367"/>
      <c r="O107" s="368">
        <v>697811.93</v>
      </c>
      <c r="P107" s="369" t="s">
        <v>1797</v>
      </c>
      <c r="Q107" s="369" t="s">
        <v>1775</v>
      </c>
      <c r="R107" s="327"/>
      <c r="S107" s="378"/>
      <c r="T107" s="381" t="s">
        <v>1798</v>
      </c>
      <c r="U107" s="378" t="s">
        <v>1799</v>
      </c>
      <c r="V107" s="327">
        <v>460681</v>
      </c>
      <c r="W107" s="323" t="s">
        <v>1344</v>
      </c>
      <c r="X107" s="327">
        <v>300000</v>
      </c>
      <c r="Y107" s="323" t="s">
        <v>1283</v>
      </c>
      <c r="Z107" s="327">
        <v>-66</v>
      </c>
      <c r="AB107" s="327"/>
      <c r="AH107" s="327">
        <f t="shared" si="13"/>
        <v>760615</v>
      </c>
      <c r="AK107" s="328">
        <f t="shared" si="15"/>
        <v>0</v>
      </c>
      <c r="AL107" s="338" t="s">
        <v>1800</v>
      </c>
      <c r="AM107" s="338"/>
      <c r="AN107" s="393"/>
      <c r="AO107" s="393"/>
      <c r="AP107" s="393"/>
      <c r="AQ107" s="332">
        <f>0.6%+0.1%</f>
        <v>0.007</v>
      </c>
      <c r="AR107" s="398">
        <f t="shared" si="14"/>
        <v>760681</v>
      </c>
      <c r="AS107" s="327"/>
      <c r="AT107" s="327">
        <f>100+100</f>
        <v>200</v>
      </c>
      <c r="AU107" s="327"/>
      <c r="AV107" s="327">
        <v>760681</v>
      </c>
      <c r="AW107" s="327"/>
      <c r="AX107" s="327"/>
      <c r="AY107" s="401"/>
      <c r="AZ107" s="402"/>
      <c r="BA107" s="327"/>
      <c r="BB107" s="327"/>
      <c r="BC107" s="327"/>
      <c r="BD107" s="327"/>
      <c r="BE107" s="327"/>
      <c r="BW107" s="323" t="s">
        <v>496</v>
      </c>
      <c r="BX107" s="323" t="s">
        <v>506</v>
      </c>
    </row>
    <row r="108" s="323" customFormat="1" customHeight="1" spans="1:76">
      <c r="A108" s="323">
        <v>66</v>
      </c>
      <c r="C108" s="323" t="s">
        <v>656</v>
      </c>
      <c r="D108" s="343" t="s">
        <v>1801</v>
      </c>
      <c r="F108" s="338" t="s">
        <v>1802</v>
      </c>
      <c r="G108" s="337" t="s">
        <v>1803</v>
      </c>
      <c r="H108" s="839" t="s">
        <v>1804</v>
      </c>
      <c r="I108" s="361" t="s">
        <v>1805</v>
      </c>
      <c r="J108" s="323">
        <v>115.58</v>
      </c>
      <c r="K108" s="323">
        <v>115.58</v>
      </c>
      <c r="L108" s="323">
        <v>6630</v>
      </c>
      <c r="M108" s="366">
        <f>-66+766362</f>
        <v>766296</v>
      </c>
      <c r="N108" s="367">
        <v>6566.42</v>
      </c>
      <c r="O108" s="368"/>
      <c r="P108" s="369"/>
      <c r="Q108" s="369"/>
      <c r="R108" s="327"/>
      <c r="S108" s="330"/>
      <c r="T108" s="330" t="s">
        <v>1803</v>
      </c>
      <c r="U108" s="330" t="s">
        <v>1427</v>
      </c>
      <c r="V108" s="327">
        <v>20000</v>
      </c>
      <c r="W108" s="380" t="s">
        <v>1806</v>
      </c>
      <c r="X108" s="327">
        <v>100000</v>
      </c>
      <c r="Y108" s="389" t="s">
        <v>1248</v>
      </c>
      <c r="Z108" s="327">
        <v>400000</v>
      </c>
      <c r="AA108" s="330" t="s">
        <v>963</v>
      </c>
      <c r="AB108" s="327">
        <v>100000</v>
      </c>
      <c r="AC108" s="330" t="s">
        <v>767</v>
      </c>
      <c r="AD108" s="323">
        <v>146362</v>
      </c>
      <c r="AE108" s="323" t="s">
        <v>951</v>
      </c>
      <c r="AF108" s="323">
        <v>-66</v>
      </c>
      <c r="AH108" s="327">
        <f t="shared" si="13"/>
        <v>766296</v>
      </c>
      <c r="AK108" s="328">
        <f t="shared" si="15"/>
        <v>0</v>
      </c>
      <c r="AL108" s="338" t="s">
        <v>1807</v>
      </c>
      <c r="AM108" s="338"/>
      <c r="AN108" s="393"/>
      <c r="AO108" s="393"/>
      <c r="AP108" s="393"/>
      <c r="AQ108" s="332">
        <f t="shared" ref="AQ108:AQ110" si="18">0.6%+0.06%+0.14%</f>
        <v>0.008</v>
      </c>
      <c r="AR108" s="398">
        <f t="shared" si="14"/>
        <v>766362</v>
      </c>
      <c r="AS108" s="327"/>
      <c r="AT108" s="327"/>
      <c r="AU108" s="327"/>
      <c r="AV108" s="327"/>
      <c r="AW108" s="327"/>
      <c r="AX108" s="327"/>
      <c r="AY108" s="184"/>
      <c r="AZ108" s="268"/>
      <c r="BA108" s="327"/>
      <c r="BB108" s="327"/>
      <c r="BC108" s="327"/>
      <c r="BD108" s="327"/>
      <c r="BE108" s="327"/>
      <c r="BG108" s="323">
        <v>766362</v>
      </c>
      <c r="BW108" s="323" t="s">
        <v>496</v>
      </c>
      <c r="BX108" s="323" t="s">
        <v>506</v>
      </c>
    </row>
    <row r="109" s="323" customFormat="1" ht="45" customHeight="1" spans="1:76">
      <c r="A109" s="323">
        <v>67</v>
      </c>
      <c r="C109" s="323" t="s">
        <v>1808</v>
      </c>
      <c r="D109" s="343" t="s">
        <v>1809</v>
      </c>
      <c r="F109" s="338" t="s">
        <v>799</v>
      </c>
      <c r="G109" s="337" t="s">
        <v>1810</v>
      </c>
      <c r="H109" s="839" t="s">
        <v>1811</v>
      </c>
      <c r="I109" s="364" t="s">
        <v>1812</v>
      </c>
      <c r="J109" s="323">
        <v>117.14</v>
      </c>
      <c r="K109" s="323">
        <v>117.14</v>
      </c>
      <c r="L109" s="323">
        <v>8050</v>
      </c>
      <c r="M109" s="366">
        <v>942977</v>
      </c>
      <c r="N109" s="367">
        <v>8047</v>
      </c>
      <c r="O109" s="368">
        <v>865116.51</v>
      </c>
      <c r="P109" s="369" t="s">
        <v>1813</v>
      </c>
      <c r="Q109" s="369" t="s">
        <v>1814</v>
      </c>
      <c r="R109" s="327"/>
      <c r="S109" s="330"/>
      <c r="T109" s="378" t="s">
        <v>800</v>
      </c>
      <c r="U109" s="378" t="s">
        <v>800</v>
      </c>
      <c r="V109" s="327">
        <f>2000-2000</f>
        <v>0</v>
      </c>
      <c r="W109" s="380">
        <v>44757</v>
      </c>
      <c r="X109" s="327">
        <v>20000</v>
      </c>
      <c r="Y109" s="389" t="s">
        <v>1815</v>
      </c>
      <c r="Z109" s="327">
        <v>400000</v>
      </c>
      <c r="AA109" s="323" t="s">
        <v>1808</v>
      </c>
      <c r="AB109" s="327">
        <v>522977</v>
      </c>
      <c r="AC109" s="330" t="s">
        <v>866</v>
      </c>
      <c r="AH109" s="327">
        <f t="shared" si="13"/>
        <v>942977</v>
      </c>
      <c r="AK109" s="328">
        <f t="shared" si="15"/>
        <v>0</v>
      </c>
      <c r="AL109" s="338" t="s">
        <v>1816</v>
      </c>
      <c r="AM109" s="338"/>
      <c r="AN109" s="393"/>
      <c r="AO109" s="393"/>
      <c r="AP109" s="393"/>
      <c r="AQ109" s="332">
        <f>0.6%+0.14%</f>
        <v>0.0074</v>
      </c>
      <c r="AR109" s="398">
        <f t="shared" si="14"/>
        <v>942977</v>
      </c>
      <c r="AS109" s="327">
        <f>100</f>
        <v>100</v>
      </c>
      <c r="AT109" s="327"/>
      <c r="AU109" s="327"/>
      <c r="AV109" s="327"/>
      <c r="AW109" s="327"/>
      <c r="AX109" s="327"/>
      <c r="AY109" s="184"/>
      <c r="AZ109" s="403"/>
      <c r="BA109" s="327">
        <v>942977</v>
      </c>
      <c r="BB109" s="327"/>
      <c r="BC109" s="327"/>
      <c r="BD109" s="327"/>
      <c r="BE109" s="327"/>
      <c r="BW109" s="323" t="s">
        <v>496</v>
      </c>
      <c r="BX109" s="323" t="s">
        <v>506</v>
      </c>
    </row>
    <row r="110" s="323" customFormat="1" customHeight="1" spans="1:76">
      <c r="A110" s="323">
        <v>68</v>
      </c>
      <c r="C110" s="323" t="s">
        <v>1237</v>
      </c>
      <c r="D110" s="343" t="s">
        <v>1817</v>
      </c>
      <c r="F110" s="338" t="s">
        <v>1818</v>
      </c>
      <c r="G110" s="323" t="s">
        <v>1819</v>
      </c>
      <c r="H110" s="833" t="s">
        <v>1820</v>
      </c>
      <c r="I110" s="361" t="s">
        <v>1821</v>
      </c>
      <c r="J110" s="323">
        <v>116.67</v>
      </c>
      <c r="K110" s="323">
        <v>116.67</v>
      </c>
      <c r="L110" s="323">
        <v>8057</v>
      </c>
      <c r="M110" s="366">
        <f>940091-81</f>
        <v>940010</v>
      </c>
      <c r="N110" s="367"/>
      <c r="O110" s="368">
        <v>862394.5</v>
      </c>
      <c r="P110" s="369" t="s">
        <v>1822</v>
      </c>
      <c r="Q110" s="369" t="s">
        <v>1814</v>
      </c>
      <c r="R110" s="327"/>
      <c r="S110" s="330"/>
      <c r="T110" s="323" t="s">
        <v>1819</v>
      </c>
      <c r="U110" s="323" t="s">
        <v>1823</v>
      </c>
      <c r="V110" s="327">
        <v>20000</v>
      </c>
      <c r="W110" s="380" t="s">
        <v>1245</v>
      </c>
      <c r="X110" s="327">
        <v>20000</v>
      </c>
      <c r="Y110" s="389" t="s">
        <v>1824</v>
      </c>
      <c r="Z110" s="327">
        <v>200000</v>
      </c>
      <c r="AA110" s="323" t="s">
        <v>1246</v>
      </c>
      <c r="AB110" s="327">
        <v>270000</v>
      </c>
      <c r="AC110" s="323" t="s">
        <v>1247</v>
      </c>
      <c r="AD110" s="323">
        <v>140091</v>
      </c>
      <c r="AE110" s="323" t="s">
        <v>1514</v>
      </c>
      <c r="AF110" s="327">
        <f>290000-81</f>
        <v>289919</v>
      </c>
      <c r="AG110" s="330" t="s">
        <v>1033</v>
      </c>
      <c r="AH110" s="327">
        <f t="shared" si="13"/>
        <v>940010</v>
      </c>
      <c r="AK110" s="328">
        <f t="shared" si="15"/>
        <v>0</v>
      </c>
      <c r="AL110" s="338" t="s">
        <v>1825</v>
      </c>
      <c r="AM110" s="338"/>
      <c r="AN110" s="393"/>
      <c r="AO110" s="393"/>
      <c r="AP110" s="393"/>
      <c r="AQ110" s="332">
        <f t="shared" si="18"/>
        <v>0.008</v>
      </c>
      <c r="AR110" s="398">
        <f t="shared" si="14"/>
        <v>940091</v>
      </c>
      <c r="AS110" s="327"/>
      <c r="AT110" s="327"/>
      <c r="AU110" s="327"/>
      <c r="AV110" s="327">
        <v>240000</v>
      </c>
      <c r="AW110" s="327"/>
      <c r="AX110" s="327"/>
      <c r="AY110" s="401"/>
      <c r="AZ110" s="402"/>
      <c r="BA110" s="327">
        <v>700091</v>
      </c>
      <c r="BB110" s="327"/>
      <c r="BC110" s="327"/>
      <c r="BD110" s="327"/>
      <c r="BE110" s="327"/>
      <c r="BW110" s="323" t="s">
        <v>496</v>
      </c>
      <c r="BX110" s="323" t="s">
        <v>506</v>
      </c>
    </row>
    <row r="111" s="323" customFormat="1" customHeight="1" spans="1:76">
      <c r="A111" s="323">
        <v>69</v>
      </c>
      <c r="C111" s="323" t="s">
        <v>1826</v>
      </c>
      <c r="D111" s="343" t="s">
        <v>1827</v>
      </c>
      <c r="F111" s="338" t="s">
        <v>1828</v>
      </c>
      <c r="G111" s="323" t="s">
        <v>1829</v>
      </c>
      <c r="I111" s="364" t="s">
        <v>1830</v>
      </c>
      <c r="J111" s="323">
        <v>115.58</v>
      </c>
      <c r="K111" s="323">
        <v>115.58</v>
      </c>
      <c r="L111" s="323">
        <v>5680</v>
      </c>
      <c r="M111" s="366">
        <f>-57+656551</f>
        <v>656494</v>
      </c>
      <c r="N111" s="367">
        <v>5587.19</v>
      </c>
      <c r="O111" s="368">
        <v>602288.07</v>
      </c>
      <c r="P111" s="369" t="s">
        <v>1831</v>
      </c>
      <c r="Q111" s="369" t="s">
        <v>1814</v>
      </c>
      <c r="R111" s="327"/>
      <c r="S111" s="330"/>
      <c r="T111" s="330"/>
      <c r="U111" s="330" t="s">
        <v>515</v>
      </c>
      <c r="V111" s="327">
        <v>20000</v>
      </c>
      <c r="W111" s="330" t="s">
        <v>963</v>
      </c>
      <c r="X111" s="327">
        <f>120000+56551</f>
        <v>176551</v>
      </c>
      <c r="Y111" s="330" t="s">
        <v>1832</v>
      </c>
      <c r="Z111" s="327">
        <v>460000</v>
      </c>
      <c r="AA111" s="330" t="s">
        <v>968</v>
      </c>
      <c r="AB111" s="327">
        <v>-57</v>
      </c>
      <c r="AH111" s="327">
        <f t="shared" si="13"/>
        <v>656494</v>
      </c>
      <c r="AK111" s="328">
        <f t="shared" si="15"/>
        <v>0</v>
      </c>
      <c r="AL111" s="338" t="s">
        <v>1833</v>
      </c>
      <c r="AM111" s="338"/>
      <c r="AN111" s="393"/>
      <c r="AO111" s="393"/>
      <c r="AP111" s="393"/>
      <c r="AQ111" s="332">
        <f>0.5%+0.03%+0.14%</f>
        <v>0.0067</v>
      </c>
      <c r="AR111" s="398">
        <f t="shared" si="14"/>
        <v>656551</v>
      </c>
      <c r="AS111" s="327"/>
      <c r="AT111" s="327"/>
      <c r="AU111" s="327"/>
      <c r="AV111" s="327"/>
      <c r="AW111" s="327"/>
      <c r="AX111" s="327"/>
      <c r="AY111" s="401"/>
      <c r="AZ111" s="404"/>
      <c r="BA111" s="327"/>
      <c r="BB111" s="327">
        <v>196551</v>
      </c>
      <c r="BC111" s="327">
        <v>460000</v>
      </c>
      <c r="BD111" s="327"/>
      <c r="BE111" s="327"/>
      <c r="BW111" s="323" t="s">
        <v>496</v>
      </c>
      <c r="BX111" s="323" t="s">
        <v>506</v>
      </c>
    </row>
    <row r="112" s="323" customFormat="1" customHeight="1" spans="1:76">
      <c r="A112" s="323">
        <v>70</v>
      </c>
      <c r="C112" s="323" t="s">
        <v>558</v>
      </c>
      <c r="D112" s="343" t="s">
        <v>1834</v>
      </c>
      <c r="F112" s="338" t="s">
        <v>1835</v>
      </c>
      <c r="G112" s="323" t="s">
        <v>1836</v>
      </c>
      <c r="H112" s="833" t="s">
        <v>1837</v>
      </c>
      <c r="I112" s="361" t="s">
        <v>1838</v>
      </c>
      <c r="J112" s="323">
        <v>115.58</v>
      </c>
      <c r="K112" s="323">
        <v>115.58</v>
      </c>
      <c r="L112" s="323">
        <v>5623.32</v>
      </c>
      <c r="M112" s="366">
        <f>-56+650000</f>
        <v>649944</v>
      </c>
      <c r="N112" s="367">
        <v>5293.39</v>
      </c>
      <c r="O112" s="368">
        <v>596278.9</v>
      </c>
      <c r="P112" s="369" t="s">
        <v>1839</v>
      </c>
      <c r="Q112" s="369" t="s">
        <v>1814</v>
      </c>
      <c r="R112" s="327"/>
      <c r="S112" s="330"/>
      <c r="T112" s="330"/>
      <c r="U112" s="330" t="s">
        <v>594</v>
      </c>
      <c r="V112" s="327">
        <v>20000</v>
      </c>
      <c r="W112" s="330" t="s">
        <v>1579</v>
      </c>
      <c r="X112" s="327">
        <v>80000</v>
      </c>
      <c r="Y112" s="330" t="s">
        <v>558</v>
      </c>
      <c r="Z112" s="327">
        <f>25000+5000</f>
        <v>30000</v>
      </c>
      <c r="AA112" s="330" t="s">
        <v>911</v>
      </c>
      <c r="AB112" s="327">
        <v>520000</v>
      </c>
      <c r="AC112" s="330" t="s">
        <v>1840</v>
      </c>
      <c r="AD112" s="323">
        <v>-56</v>
      </c>
      <c r="AH112" s="327">
        <f t="shared" si="13"/>
        <v>649944</v>
      </c>
      <c r="AK112" s="328">
        <f t="shared" si="15"/>
        <v>0</v>
      </c>
      <c r="AL112" s="338" t="s">
        <v>1841</v>
      </c>
      <c r="AM112" s="338"/>
      <c r="AN112" s="393"/>
      <c r="AO112" s="393"/>
      <c r="AP112" s="393"/>
      <c r="AQ112" s="332">
        <f>0.6%+0.05%+0.14%</f>
        <v>0.0079</v>
      </c>
      <c r="AR112" s="398">
        <f t="shared" si="14"/>
        <v>650000</v>
      </c>
      <c r="AS112" s="327"/>
      <c r="AT112" s="327"/>
      <c r="AU112" s="327"/>
      <c r="AV112" s="327"/>
      <c r="AW112" s="327"/>
      <c r="AX112" s="327"/>
      <c r="AY112" s="184"/>
      <c r="AZ112" s="268"/>
      <c r="BA112" s="327">
        <v>130000</v>
      </c>
      <c r="BB112" s="327">
        <v>520000</v>
      </c>
      <c r="BC112" s="327"/>
      <c r="BD112" s="327"/>
      <c r="BE112" s="327"/>
      <c r="BW112" s="323" t="s">
        <v>496</v>
      </c>
      <c r="BX112" s="323" t="s">
        <v>506</v>
      </c>
    </row>
    <row r="113" s="323" customFormat="1" customHeight="1" spans="1:76">
      <c r="A113" s="323">
        <v>71</v>
      </c>
      <c r="C113" s="323" t="s">
        <v>1842</v>
      </c>
      <c r="D113" s="343" t="s">
        <v>1843</v>
      </c>
      <c r="F113" s="338" t="s">
        <v>1844</v>
      </c>
      <c r="G113" s="337" t="s">
        <v>1604</v>
      </c>
      <c r="H113" s="337"/>
      <c r="I113" s="364" t="s">
        <v>1845</v>
      </c>
      <c r="J113" s="323">
        <v>115.58</v>
      </c>
      <c r="K113" s="323">
        <v>115.58</v>
      </c>
      <c r="L113" s="323">
        <v>5363.79</v>
      </c>
      <c r="M113" s="366">
        <f>-54+620000</f>
        <v>619946</v>
      </c>
      <c r="N113" s="367">
        <v>5339.16</v>
      </c>
      <c r="O113" s="368">
        <v>568757.8</v>
      </c>
      <c r="P113" s="369" t="s">
        <v>1846</v>
      </c>
      <c r="Q113" s="369" t="s">
        <v>1814</v>
      </c>
      <c r="R113" s="327"/>
      <c r="S113" s="378"/>
      <c r="T113" s="378" t="s">
        <v>1604</v>
      </c>
      <c r="U113" s="378" t="s">
        <v>1604</v>
      </c>
      <c r="V113" s="327">
        <f>2000</f>
        <v>2000</v>
      </c>
      <c r="W113" s="379">
        <v>44753</v>
      </c>
      <c r="X113" s="327">
        <v>20000</v>
      </c>
      <c r="Y113" s="389" t="s">
        <v>924</v>
      </c>
      <c r="Z113" s="327">
        <v>330000</v>
      </c>
      <c r="AA113" s="323" t="s">
        <v>989</v>
      </c>
      <c r="AB113" s="327">
        <v>270000</v>
      </c>
      <c r="AC113" s="378" t="s">
        <v>1847</v>
      </c>
      <c r="AD113" s="323">
        <v>-54</v>
      </c>
      <c r="AH113" s="327">
        <f t="shared" si="13"/>
        <v>621946</v>
      </c>
      <c r="AK113" s="328">
        <f t="shared" si="15"/>
        <v>-2000</v>
      </c>
      <c r="AL113" s="338" t="s">
        <v>1848</v>
      </c>
      <c r="AM113" s="338"/>
      <c r="AN113" s="393"/>
      <c r="AO113" s="393"/>
      <c r="AP113" s="393"/>
      <c r="AQ113" s="332">
        <f>0.6%+0.05%+0.14%+0.06%</f>
        <v>0.0085</v>
      </c>
      <c r="AR113" s="398">
        <f t="shared" si="14"/>
        <v>620000</v>
      </c>
      <c r="AS113" s="327">
        <f>100+100+100</f>
        <v>300</v>
      </c>
      <c r="AT113" s="327">
        <f>100+100</f>
        <v>200</v>
      </c>
      <c r="AU113" s="327"/>
      <c r="AV113" s="327"/>
      <c r="AW113" s="327"/>
      <c r="AX113" s="327"/>
      <c r="AY113" s="184">
        <v>350000</v>
      </c>
      <c r="AZ113" s="403"/>
      <c r="BA113" s="327"/>
      <c r="BB113" s="327">
        <v>270000</v>
      </c>
      <c r="BC113" s="327"/>
      <c r="BD113" s="327"/>
      <c r="BE113" s="327"/>
      <c r="BW113" s="323" t="s">
        <v>496</v>
      </c>
      <c r="BX113" s="323" t="s">
        <v>506</v>
      </c>
    </row>
    <row r="114" s="323" customFormat="1" customHeight="1" spans="1:76">
      <c r="A114" s="323">
        <v>72</v>
      </c>
      <c r="C114" s="323" t="s">
        <v>1316</v>
      </c>
      <c r="D114" s="343" t="s">
        <v>1849</v>
      </c>
      <c r="F114" s="338" t="s">
        <v>1850</v>
      </c>
      <c r="G114" s="337" t="s">
        <v>1851</v>
      </c>
      <c r="H114" s="337"/>
      <c r="I114" s="361" t="s">
        <v>1852</v>
      </c>
      <c r="J114" s="323">
        <v>115.58</v>
      </c>
      <c r="K114" s="323">
        <v>115.58</v>
      </c>
      <c r="L114" s="323">
        <v>5284.66</v>
      </c>
      <c r="M114" s="366">
        <f>-53+610854</f>
        <v>610801</v>
      </c>
      <c r="N114" s="367"/>
      <c r="O114" s="368">
        <v>560367.89</v>
      </c>
      <c r="P114" s="369" t="s">
        <v>1853</v>
      </c>
      <c r="Q114" s="369" t="s">
        <v>1814</v>
      </c>
      <c r="R114" s="327"/>
      <c r="S114" s="378"/>
      <c r="T114" s="378" t="s">
        <v>1854</v>
      </c>
      <c r="U114" s="378" t="s">
        <v>1854</v>
      </c>
      <c r="V114" s="327">
        <v>310854</v>
      </c>
      <c r="W114" s="389" t="s">
        <v>1316</v>
      </c>
      <c r="X114" s="323">
        <v>300000</v>
      </c>
      <c r="Y114" s="323" t="s">
        <v>1283</v>
      </c>
      <c r="Z114" s="327">
        <v>-53</v>
      </c>
      <c r="AB114" s="327"/>
      <c r="AH114" s="327">
        <f t="shared" si="13"/>
        <v>610801</v>
      </c>
      <c r="AK114" s="328">
        <f t="shared" si="15"/>
        <v>0</v>
      </c>
      <c r="AL114" s="338" t="s">
        <v>1855</v>
      </c>
      <c r="AM114" s="338"/>
      <c r="AN114" s="393"/>
      <c r="AO114" s="393"/>
      <c r="AP114" s="393"/>
      <c r="AQ114" s="332">
        <f>0.6%+0.05%+0.14%</f>
        <v>0.0079</v>
      </c>
      <c r="AR114" s="398">
        <f t="shared" si="14"/>
        <v>610854</v>
      </c>
      <c r="AS114" s="327">
        <f t="shared" ref="AS114:AS119" si="19">100</f>
        <v>100</v>
      </c>
      <c r="AT114" s="327">
        <v>100</v>
      </c>
      <c r="AU114" s="327"/>
      <c r="AV114" s="327">
        <v>610854</v>
      </c>
      <c r="AW114" s="327"/>
      <c r="AX114" s="327"/>
      <c r="AY114" s="401"/>
      <c r="AZ114" s="402"/>
      <c r="BA114" s="327"/>
      <c r="BB114" s="327"/>
      <c r="BC114" s="327"/>
      <c r="BD114" s="327"/>
      <c r="BE114" s="327"/>
      <c r="BW114" s="323" t="s">
        <v>496</v>
      </c>
      <c r="BX114" s="323" t="s">
        <v>506</v>
      </c>
    </row>
    <row r="115" s="323" customFormat="1" customHeight="1" spans="1:76">
      <c r="A115" s="323">
        <v>73</v>
      </c>
      <c r="C115" s="323" t="s">
        <v>1277</v>
      </c>
      <c r="D115" s="343" t="s">
        <v>1856</v>
      </c>
      <c r="F115" s="338" t="s">
        <v>1857</v>
      </c>
      <c r="G115" s="337" t="s">
        <v>1858</v>
      </c>
      <c r="H115" s="839" t="s">
        <v>1859</v>
      </c>
      <c r="I115" s="361" t="s">
        <v>1860</v>
      </c>
      <c r="J115" s="323">
        <v>115.58</v>
      </c>
      <c r="K115" s="323">
        <v>115.58</v>
      </c>
      <c r="L115" s="323">
        <v>5182.38</v>
      </c>
      <c r="M115" s="366">
        <f>-52+599032</f>
        <v>598980</v>
      </c>
      <c r="N115" s="367"/>
      <c r="O115" s="368">
        <v>549522.94</v>
      </c>
      <c r="P115" s="369" t="s">
        <v>1861</v>
      </c>
      <c r="Q115" s="369" t="s">
        <v>1814</v>
      </c>
      <c r="R115" s="327"/>
      <c r="S115" s="330"/>
      <c r="T115" s="331" t="s">
        <v>1862</v>
      </c>
      <c r="U115" s="330" t="s">
        <v>1863</v>
      </c>
      <c r="V115" s="327">
        <v>120032</v>
      </c>
      <c r="W115" s="323" t="s">
        <v>1277</v>
      </c>
      <c r="X115" s="327">
        <v>130000</v>
      </c>
      <c r="Y115" s="389" t="s">
        <v>1864</v>
      </c>
      <c r="Z115" s="327">
        <v>349000</v>
      </c>
      <c r="AA115" s="323" t="s">
        <v>1383</v>
      </c>
      <c r="AB115" s="327">
        <v>-52</v>
      </c>
      <c r="AH115" s="327">
        <f t="shared" si="13"/>
        <v>598980</v>
      </c>
      <c r="AK115" s="328">
        <f t="shared" si="15"/>
        <v>0</v>
      </c>
      <c r="AL115" s="338" t="s">
        <v>1865</v>
      </c>
      <c r="AM115" s="338"/>
      <c r="AN115" s="393"/>
      <c r="AO115" s="393"/>
      <c r="AP115" s="393"/>
      <c r="AQ115" s="332">
        <f>0.6%+0.04%+0.1%</f>
        <v>0.0074</v>
      </c>
      <c r="AR115" s="398">
        <f t="shared" si="14"/>
        <v>599032</v>
      </c>
      <c r="AS115" s="327">
        <v>100</v>
      </c>
      <c r="AT115" s="327"/>
      <c r="AU115" s="327"/>
      <c r="AV115" s="327"/>
      <c r="AW115" s="327"/>
      <c r="AX115" s="327">
        <v>599032</v>
      </c>
      <c r="AY115" s="401"/>
      <c r="AZ115" s="402"/>
      <c r="BA115" s="327"/>
      <c r="BB115" s="327"/>
      <c r="BC115" s="327"/>
      <c r="BD115" s="327"/>
      <c r="BE115" s="327"/>
      <c r="BW115" s="323" t="s">
        <v>496</v>
      </c>
      <c r="BX115" s="323" t="s">
        <v>506</v>
      </c>
    </row>
    <row r="116" s="323" customFormat="1" customHeight="1" spans="1:76">
      <c r="A116" s="323">
        <v>74</v>
      </c>
      <c r="C116" s="323" t="s">
        <v>1866</v>
      </c>
      <c r="D116" s="343" t="s">
        <v>1867</v>
      </c>
      <c r="F116" s="338" t="s">
        <v>1868</v>
      </c>
      <c r="G116" s="337" t="s">
        <v>1608</v>
      </c>
      <c r="H116" s="839" t="s">
        <v>1869</v>
      </c>
      <c r="I116" s="361" t="s">
        <v>1870</v>
      </c>
      <c r="J116" s="323">
        <v>115.58</v>
      </c>
      <c r="K116" s="323">
        <v>115.58</v>
      </c>
      <c r="L116" s="323">
        <v>5380</v>
      </c>
      <c r="M116" s="366">
        <f>621874-54</f>
        <v>621820</v>
      </c>
      <c r="N116" s="367">
        <v>5376.36</v>
      </c>
      <c r="O116" s="368">
        <v>570477.06</v>
      </c>
      <c r="P116" s="369" t="s">
        <v>1871</v>
      </c>
      <c r="Q116" s="369" t="s">
        <v>1814</v>
      </c>
      <c r="R116" s="327"/>
      <c r="S116" s="330"/>
      <c r="T116" s="337" t="s">
        <v>1608</v>
      </c>
      <c r="U116" s="337" t="s">
        <v>1872</v>
      </c>
      <c r="V116" s="327">
        <v>20000</v>
      </c>
      <c r="W116" s="380" t="s">
        <v>1246</v>
      </c>
      <c r="X116" s="327">
        <v>501874</v>
      </c>
      <c r="Y116" s="389" t="s">
        <v>1815</v>
      </c>
      <c r="Z116" s="327">
        <v>100000</v>
      </c>
      <c r="AA116" s="323" t="s">
        <v>1873</v>
      </c>
      <c r="AB116" s="327">
        <v>-54</v>
      </c>
      <c r="AH116" s="327">
        <f t="shared" si="13"/>
        <v>621820</v>
      </c>
      <c r="AK116" s="328">
        <f t="shared" si="15"/>
        <v>0</v>
      </c>
      <c r="AL116" s="338" t="s">
        <v>1874</v>
      </c>
      <c r="AM116" s="338"/>
      <c r="AN116" s="393"/>
      <c r="AO116" s="393"/>
      <c r="AP116" s="393"/>
      <c r="AQ116" s="332">
        <f>0.4%+0.14%</f>
        <v>0.0054</v>
      </c>
      <c r="AR116" s="398">
        <f t="shared" si="14"/>
        <v>621874</v>
      </c>
      <c r="AS116" s="327"/>
      <c r="AT116" s="327">
        <v>100</v>
      </c>
      <c r="AU116" s="327"/>
      <c r="AV116" s="323">
        <v>521874</v>
      </c>
      <c r="AW116" s="327"/>
      <c r="AX116" s="327">
        <v>100000</v>
      </c>
      <c r="AY116" s="401"/>
      <c r="AZ116" s="402"/>
      <c r="BA116" s="327"/>
      <c r="BB116" s="327"/>
      <c r="BC116" s="327"/>
      <c r="BD116" s="327"/>
      <c r="BE116" s="327"/>
      <c r="BW116" s="323" t="s">
        <v>496</v>
      </c>
      <c r="BX116" s="323" t="s">
        <v>506</v>
      </c>
    </row>
    <row r="117" s="323" customFormat="1" customHeight="1" spans="1:76">
      <c r="A117" s="323">
        <v>75</v>
      </c>
      <c r="C117" s="323" t="s">
        <v>1276</v>
      </c>
      <c r="D117" s="343" t="s">
        <v>1875</v>
      </c>
      <c r="F117" s="338" t="s">
        <v>1876</v>
      </c>
      <c r="G117" s="337" t="s">
        <v>1877</v>
      </c>
      <c r="H117" s="839" t="s">
        <v>1878</v>
      </c>
      <c r="I117" s="364" t="s">
        <v>1879</v>
      </c>
      <c r="J117" s="323">
        <v>115.58</v>
      </c>
      <c r="K117" s="323">
        <v>115.58</v>
      </c>
      <c r="L117" s="323">
        <v>5232.38</v>
      </c>
      <c r="M117" s="366">
        <f>-52+604811</f>
        <v>604759</v>
      </c>
      <c r="N117" s="367"/>
      <c r="O117" s="368">
        <v>554824.77</v>
      </c>
      <c r="P117" s="369" t="s">
        <v>1880</v>
      </c>
      <c r="Q117" s="369" t="s">
        <v>1814</v>
      </c>
      <c r="R117" s="327"/>
      <c r="S117" s="330"/>
      <c r="T117" s="381" t="s">
        <v>1881</v>
      </c>
      <c r="U117" s="378" t="s">
        <v>1882</v>
      </c>
      <c r="V117" s="327">
        <v>6411</v>
      </c>
      <c r="W117" s="389" t="s">
        <v>1276</v>
      </c>
      <c r="X117" s="327">
        <v>20000</v>
      </c>
      <c r="Y117" s="389" t="s">
        <v>1769</v>
      </c>
      <c r="Z117" s="327">
        <v>95400</v>
      </c>
      <c r="AA117" s="323" t="s">
        <v>1709</v>
      </c>
      <c r="AB117" s="327">
        <v>483000</v>
      </c>
      <c r="AC117" s="323" t="s">
        <v>1495</v>
      </c>
      <c r="AD117" s="323">
        <v>-52</v>
      </c>
      <c r="AH117" s="327">
        <f t="shared" si="13"/>
        <v>604759</v>
      </c>
      <c r="AK117" s="328">
        <f t="shared" si="15"/>
        <v>0</v>
      </c>
      <c r="AL117" s="338" t="s">
        <v>1883</v>
      </c>
      <c r="AM117" s="338"/>
      <c r="AN117" s="393"/>
      <c r="AO117" s="393"/>
      <c r="AP117" s="393"/>
      <c r="AQ117" s="332">
        <f>0.6%+0.1%</f>
        <v>0.007</v>
      </c>
      <c r="AR117" s="398">
        <f t="shared" si="14"/>
        <v>604811</v>
      </c>
      <c r="AS117" s="327">
        <f t="shared" si="19"/>
        <v>100</v>
      </c>
      <c r="AT117" s="327"/>
      <c r="AU117" s="327"/>
      <c r="AV117" s="327"/>
      <c r="AW117" s="327"/>
      <c r="AX117" s="327">
        <v>121811</v>
      </c>
      <c r="AY117" s="401">
        <v>483000</v>
      </c>
      <c r="AZ117" s="402"/>
      <c r="BA117" s="327"/>
      <c r="BB117" s="327"/>
      <c r="BC117" s="327"/>
      <c r="BD117" s="327"/>
      <c r="BE117" s="327"/>
      <c r="BW117" s="323" t="s">
        <v>496</v>
      </c>
      <c r="BX117" s="323" t="s">
        <v>506</v>
      </c>
    </row>
    <row r="118" s="323" customFormat="1" customHeight="1" spans="1:76">
      <c r="A118" s="323">
        <v>76</v>
      </c>
      <c r="C118" s="323" t="s">
        <v>1406</v>
      </c>
      <c r="D118" s="343" t="s">
        <v>1884</v>
      </c>
      <c r="F118" s="417" t="s">
        <v>1885</v>
      </c>
      <c r="G118" s="337" t="s">
        <v>1886</v>
      </c>
      <c r="H118" s="839" t="s">
        <v>666</v>
      </c>
      <c r="I118" s="361" t="s">
        <v>1887</v>
      </c>
      <c r="J118" s="323">
        <v>115.58</v>
      </c>
      <c r="K118" s="323">
        <v>115.58</v>
      </c>
      <c r="L118" s="323">
        <v>5238.39</v>
      </c>
      <c r="M118" s="366">
        <f>-52+605505</f>
        <v>605453</v>
      </c>
      <c r="N118" s="367"/>
      <c r="O118" s="368">
        <v>555461.47</v>
      </c>
      <c r="P118" s="369" t="s">
        <v>1888</v>
      </c>
      <c r="Q118" s="369" t="s">
        <v>1814</v>
      </c>
      <c r="R118" s="327"/>
      <c r="S118" s="378"/>
      <c r="T118" s="381" t="s">
        <v>1889</v>
      </c>
      <c r="U118" s="378" t="s">
        <v>1890</v>
      </c>
      <c r="V118" s="327">
        <f>2000</f>
        <v>2000</v>
      </c>
      <c r="W118" s="379">
        <v>44773</v>
      </c>
      <c r="X118" s="327">
        <v>18000</v>
      </c>
      <c r="Y118" s="389" t="s">
        <v>1297</v>
      </c>
      <c r="Z118" s="327">
        <v>45505</v>
      </c>
      <c r="AA118" s="323" t="s">
        <v>1406</v>
      </c>
      <c r="AB118" s="327">
        <v>60000</v>
      </c>
      <c r="AC118" s="323" t="s">
        <v>678</v>
      </c>
      <c r="AD118" s="327">
        <v>30000</v>
      </c>
      <c r="AE118" s="378" t="s">
        <v>773</v>
      </c>
      <c r="AF118" s="323">
        <f>-52+450000</f>
        <v>449948</v>
      </c>
      <c r="AG118" s="323" t="s">
        <v>1891</v>
      </c>
      <c r="AH118" s="327">
        <f t="shared" si="13"/>
        <v>605453</v>
      </c>
      <c r="AK118" s="328">
        <f t="shared" si="15"/>
        <v>0</v>
      </c>
      <c r="AL118" s="338" t="s">
        <v>1892</v>
      </c>
      <c r="AM118" s="338"/>
      <c r="AN118" s="393"/>
      <c r="AO118" s="393"/>
      <c r="AP118" s="393"/>
      <c r="AQ118" s="332">
        <f>0.4%+0.04%+0.1%+0.04%</f>
        <v>0.0058</v>
      </c>
      <c r="AR118" s="398">
        <f t="shared" si="14"/>
        <v>605505</v>
      </c>
      <c r="AS118" s="327">
        <f>100+100+100</f>
        <v>300</v>
      </c>
      <c r="AT118" s="327">
        <v>100</v>
      </c>
      <c r="AU118" s="327"/>
      <c r="AV118" s="327"/>
      <c r="AW118" s="327"/>
      <c r="AX118" s="327"/>
      <c r="AY118" s="401"/>
      <c r="AZ118" s="405">
        <v>125505</v>
      </c>
      <c r="BA118" s="327"/>
      <c r="BB118" s="327"/>
      <c r="BC118" s="327"/>
      <c r="BD118" s="327"/>
      <c r="BE118" s="327"/>
      <c r="BM118" s="323">
        <v>480000</v>
      </c>
      <c r="BW118" s="323" t="s">
        <v>496</v>
      </c>
      <c r="BX118" s="323" t="s">
        <v>506</v>
      </c>
    </row>
    <row r="119" s="323" customFormat="1" customHeight="1" spans="1:76">
      <c r="A119" s="323">
        <v>77</v>
      </c>
      <c r="C119" s="323" t="s">
        <v>1344</v>
      </c>
      <c r="D119" s="343" t="s">
        <v>1893</v>
      </c>
      <c r="F119" s="338" t="s">
        <v>1894</v>
      </c>
      <c r="G119" s="337" t="s">
        <v>1616</v>
      </c>
      <c r="H119" s="839" t="s">
        <v>1895</v>
      </c>
      <c r="I119" s="364" t="s">
        <v>1896</v>
      </c>
      <c r="J119" s="323">
        <v>115.58</v>
      </c>
      <c r="K119" s="323">
        <v>115.58</v>
      </c>
      <c r="L119" s="323">
        <v>5277.38</v>
      </c>
      <c r="M119" s="366">
        <f>-53+610013</f>
        <v>609960</v>
      </c>
      <c r="N119" s="367"/>
      <c r="O119" s="368">
        <v>559596.33</v>
      </c>
      <c r="P119" s="369" t="s">
        <v>1897</v>
      </c>
      <c r="Q119" s="369" t="s">
        <v>1814</v>
      </c>
      <c r="R119" s="327"/>
      <c r="S119" s="378"/>
      <c r="T119" s="381" t="s">
        <v>1898</v>
      </c>
      <c r="U119" s="378" t="s">
        <v>1899</v>
      </c>
      <c r="V119" s="327">
        <v>122013</v>
      </c>
      <c r="W119" s="323" t="s">
        <v>1344</v>
      </c>
      <c r="X119" s="327">
        <v>488000</v>
      </c>
      <c r="Y119" s="389" t="s">
        <v>1514</v>
      </c>
      <c r="Z119" s="327">
        <v>-53</v>
      </c>
      <c r="AB119" s="327"/>
      <c r="AH119" s="327">
        <f t="shared" si="13"/>
        <v>609960</v>
      </c>
      <c r="AK119" s="328">
        <f t="shared" si="15"/>
        <v>0</v>
      </c>
      <c r="AL119" s="338" t="s">
        <v>1900</v>
      </c>
      <c r="AM119" s="338"/>
      <c r="AN119" s="393"/>
      <c r="AO119" s="393"/>
      <c r="AP119" s="393"/>
      <c r="AQ119" s="332">
        <f t="shared" ref="AQ119:AQ122" si="20">0.6%+0.04%+0.1%</f>
        <v>0.0074</v>
      </c>
      <c r="AR119" s="398">
        <f t="shared" si="14"/>
        <v>610013</v>
      </c>
      <c r="AS119" s="327">
        <f t="shared" si="19"/>
        <v>100</v>
      </c>
      <c r="AT119" s="327">
        <v>100</v>
      </c>
      <c r="AU119" s="327"/>
      <c r="AV119" s="327"/>
      <c r="AW119" s="327">
        <v>610013</v>
      </c>
      <c r="AX119" s="327"/>
      <c r="AY119" s="401"/>
      <c r="AZ119" s="404"/>
      <c r="BA119" s="327"/>
      <c r="BB119" s="327"/>
      <c r="BC119" s="327"/>
      <c r="BD119" s="327"/>
      <c r="BE119" s="327"/>
      <c r="BW119" s="323" t="s">
        <v>496</v>
      </c>
      <c r="BX119" s="323" t="s">
        <v>506</v>
      </c>
    </row>
    <row r="120" s="323" customFormat="1" customHeight="1" spans="1:76">
      <c r="A120" s="323">
        <v>78</v>
      </c>
      <c r="C120" s="323" t="s">
        <v>1316</v>
      </c>
      <c r="D120" s="343" t="s">
        <v>1901</v>
      </c>
      <c r="F120" s="338" t="s">
        <v>1902</v>
      </c>
      <c r="G120" s="340" t="s">
        <v>1618</v>
      </c>
      <c r="H120" s="837" t="s">
        <v>1903</v>
      </c>
      <c r="I120" s="361" t="s">
        <v>1904</v>
      </c>
      <c r="J120" s="323">
        <v>115.58</v>
      </c>
      <c r="K120" s="323">
        <v>115.58</v>
      </c>
      <c r="L120" s="323">
        <v>5283.38</v>
      </c>
      <c r="M120" s="366">
        <f>-53+610706</f>
        <v>610653</v>
      </c>
      <c r="N120" s="367"/>
      <c r="O120" s="368">
        <v>560232.11</v>
      </c>
      <c r="P120" s="369" t="s">
        <v>1905</v>
      </c>
      <c r="Q120" s="369" t="s">
        <v>1814</v>
      </c>
      <c r="R120" s="327"/>
      <c r="S120" s="378"/>
      <c r="T120" s="381" t="s">
        <v>1906</v>
      </c>
      <c r="U120" s="378" t="s">
        <v>1907</v>
      </c>
      <c r="V120" s="327">
        <v>150706</v>
      </c>
      <c r="W120" s="323" t="s">
        <v>1316</v>
      </c>
      <c r="X120" s="327">
        <v>460000</v>
      </c>
      <c r="Y120" s="389" t="s">
        <v>1692</v>
      </c>
      <c r="Z120" s="327">
        <v>-53</v>
      </c>
      <c r="AB120" s="327"/>
      <c r="AH120" s="327">
        <f t="shared" ref="AH120:AH128" si="21">V120+X120+Z120+AB120+AD120+AF120</f>
        <v>610653</v>
      </c>
      <c r="AK120" s="328">
        <f t="shared" si="15"/>
        <v>0</v>
      </c>
      <c r="AL120" s="338" t="s">
        <v>1908</v>
      </c>
      <c r="AM120" s="338"/>
      <c r="AN120" s="393"/>
      <c r="AO120" s="393"/>
      <c r="AP120" s="393"/>
      <c r="AQ120" s="332">
        <f t="shared" si="20"/>
        <v>0.0074</v>
      </c>
      <c r="AR120" s="398">
        <f t="shared" si="14"/>
        <v>610706</v>
      </c>
      <c r="AS120" s="327">
        <f>100+100</f>
        <v>200</v>
      </c>
      <c r="AT120" s="327"/>
      <c r="AU120" s="327"/>
      <c r="AV120" s="327">
        <v>150706</v>
      </c>
      <c r="AW120" s="327"/>
      <c r="AX120" s="327"/>
      <c r="AY120" s="401"/>
      <c r="AZ120" s="405">
        <v>460000</v>
      </c>
      <c r="BA120" s="327"/>
      <c r="BB120" s="327"/>
      <c r="BC120" s="327"/>
      <c r="BD120" s="327"/>
      <c r="BE120" s="327"/>
      <c r="BW120" s="323" t="s">
        <v>496</v>
      </c>
      <c r="BX120" s="323" t="s">
        <v>506</v>
      </c>
    </row>
    <row r="121" s="323" customFormat="1" customHeight="1" spans="1:76">
      <c r="A121" s="323">
        <v>79</v>
      </c>
      <c r="C121" s="323" t="s">
        <v>1237</v>
      </c>
      <c r="D121" s="343" t="s">
        <v>1909</v>
      </c>
      <c r="F121" s="338" t="s">
        <v>1910</v>
      </c>
      <c r="G121" s="337" t="s">
        <v>1911</v>
      </c>
      <c r="H121" s="839" t="s">
        <v>1912</v>
      </c>
      <c r="I121" s="364" t="s">
        <v>1913</v>
      </c>
      <c r="J121" s="323">
        <v>115.58</v>
      </c>
      <c r="K121" s="323">
        <v>115.58</v>
      </c>
      <c r="L121" s="323">
        <v>5452.23</v>
      </c>
      <c r="M121" s="366">
        <f>630223-55</f>
        <v>630168</v>
      </c>
      <c r="N121" s="367"/>
      <c r="O121" s="368">
        <v>578135.78</v>
      </c>
      <c r="P121" s="369" t="s">
        <v>1914</v>
      </c>
      <c r="Q121" s="369" t="s">
        <v>1814</v>
      </c>
      <c r="R121" s="327"/>
      <c r="S121" s="330"/>
      <c r="T121" s="337" t="s">
        <v>1911</v>
      </c>
      <c r="U121" s="337" t="s">
        <v>1911</v>
      </c>
      <c r="V121" s="327">
        <v>20000</v>
      </c>
      <c r="W121" s="380" t="s">
        <v>1382</v>
      </c>
      <c r="X121" s="327">
        <v>61223</v>
      </c>
      <c r="Y121" s="389" t="s">
        <v>1237</v>
      </c>
      <c r="Z121" s="327">
        <v>50000</v>
      </c>
      <c r="AA121" s="323" t="s">
        <v>1915</v>
      </c>
      <c r="AB121" s="327">
        <v>499000</v>
      </c>
      <c r="AC121" s="330" t="s">
        <v>802</v>
      </c>
      <c r="AD121" s="323">
        <v>-55</v>
      </c>
      <c r="AH121" s="327">
        <f t="shared" si="21"/>
        <v>630168</v>
      </c>
      <c r="AK121" s="328">
        <f t="shared" si="15"/>
        <v>0</v>
      </c>
      <c r="AL121" s="338" t="s">
        <v>1916</v>
      </c>
      <c r="AM121" s="338"/>
      <c r="AN121" s="393"/>
      <c r="AO121" s="393"/>
      <c r="AP121" s="393"/>
      <c r="AQ121" s="332">
        <f>0.5%+0.05%+0.14%+0.06%</f>
        <v>0.0075</v>
      </c>
      <c r="AR121" s="398">
        <f t="shared" si="14"/>
        <v>630223</v>
      </c>
      <c r="AS121" s="327"/>
      <c r="AT121" s="327"/>
      <c r="AU121" s="327"/>
      <c r="AV121" s="327"/>
      <c r="AW121" s="327">
        <v>131223</v>
      </c>
      <c r="AX121" s="327"/>
      <c r="AY121" s="401"/>
      <c r="AZ121" s="402"/>
      <c r="BA121" s="327"/>
      <c r="BB121" s="327"/>
      <c r="BC121" s="327"/>
      <c r="BD121" s="327">
        <v>499000</v>
      </c>
      <c r="BE121" s="327"/>
      <c r="BW121" s="323" t="s">
        <v>496</v>
      </c>
      <c r="BX121" s="323" t="s">
        <v>506</v>
      </c>
    </row>
    <row r="122" s="323" customFormat="1" customHeight="1" spans="1:76">
      <c r="A122" s="323">
        <v>80</v>
      </c>
      <c r="C122" s="323" t="s">
        <v>1316</v>
      </c>
      <c r="D122" s="343" t="s">
        <v>1917</v>
      </c>
      <c r="F122" s="417" t="s">
        <v>1918</v>
      </c>
      <c r="G122" s="337" t="s">
        <v>1919</v>
      </c>
      <c r="H122" s="839" t="s">
        <v>1920</v>
      </c>
      <c r="I122" s="361" t="s">
        <v>1921</v>
      </c>
      <c r="J122" s="323">
        <v>115.58</v>
      </c>
      <c r="K122" s="323">
        <v>115.58</v>
      </c>
      <c r="L122" s="323">
        <v>5328.38</v>
      </c>
      <c r="M122" s="366">
        <f>615908-53</f>
        <v>615855</v>
      </c>
      <c r="N122" s="367"/>
      <c r="O122" s="368">
        <v>565004.59</v>
      </c>
      <c r="P122" s="369" t="s">
        <v>1922</v>
      </c>
      <c r="Q122" s="369" t="s">
        <v>1814</v>
      </c>
      <c r="R122" s="327"/>
      <c r="S122" s="378"/>
      <c r="T122" s="381" t="s">
        <v>1923</v>
      </c>
      <c r="U122" s="378" t="s">
        <v>1924</v>
      </c>
      <c r="V122" s="327">
        <v>184908</v>
      </c>
      <c r="W122" s="323" t="s">
        <v>1316</v>
      </c>
      <c r="X122" s="327">
        <v>431000</v>
      </c>
      <c r="Y122" s="389" t="s">
        <v>1790</v>
      </c>
      <c r="Z122" s="327">
        <v>-53</v>
      </c>
      <c r="AB122" s="327"/>
      <c r="AH122" s="327">
        <f t="shared" si="21"/>
        <v>615855</v>
      </c>
      <c r="AK122" s="328">
        <f t="shared" si="15"/>
        <v>0</v>
      </c>
      <c r="AL122" s="338" t="s">
        <v>1925</v>
      </c>
      <c r="AM122" s="338"/>
      <c r="AN122" s="393"/>
      <c r="AO122" s="393"/>
      <c r="AP122" s="393"/>
      <c r="AQ122" s="332">
        <f t="shared" si="20"/>
        <v>0.0074</v>
      </c>
      <c r="AR122" s="398">
        <f t="shared" si="14"/>
        <v>615908</v>
      </c>
      <c r="AS122" s="327">
        <f>100</f>
        <v>100</v>
      </c>
      <c r="AT122" s="327">
        <v>100</v>
      </c>
      <c r="AU122" s="327"/>
      <c r="AV122" s="327">
        <v>184908</v>
      </c>
      <c r="AW122" s="327">
        <v>431000</v>
      </c>
      <c r="AX122" s="327"/>
      <c r="AY122" s="401"/>
      <c r="AZ122" s="402"/>
      <c r="BA122" s="327"/>
      <c r="BB122" s="327"/>
      <c r="BC122" s="327"/>
      <c r="BD122" s="327"/>
      <c r="BE122" s="327"/>
      <c r="BW122" s="323" t="s">
        <v>496</v>
      </c>
      <c r="BX122" s="323" t="s">
        <v>506</v>
      </c>
    </row>
    <row r="123" s="323" customFormat="1" customHeight="1" spans="1:76">
      <c r="A123" s="323">
        <v>81</v>
      </c>
      <c r="C123" s="323" t="s">
        <v>1926</v>
      </c>
      <c r="D123" s="343" t="s">
        <v>1927</v>
      </c>
      <c r="F123" s="338" t="s">
        <v>1928</v>
      </c>
      <c r="G123" s="337" t="s">
        <v>1929</v>
      </c>
      <c r="H123" s="839" t="s">
        <v>1930</v>
      </c>
      <c r="I123" s="364" t="s">
        <v>1931</v>
      </c>
      <c r="J123" s="323">
        <v>115.58</v>
      </c>
      <c r="K123" s="323">
        <v>115.58</v>
      </c>
      <c r="L123" s="323">
        <v>5347.38</v>
      </c>
      <c r="M123" s="366">
        <f>-53+618104</f>
        <v>618051</v>
      </c>
      <c r="N123" s="367"/>
      <c r="O123" s="368">
        <v>567019.27</v>
      </c>
      <c r="P123" s="369" t="s">
        <v>1932</v>
      </c>
      <c r="Q123" s="369" t="s">
        <v>1814</v>
      </c>
      <c r="R123" s="327"/>
      <c r="S123" s="378"/>
      <c r="T123" s="840" t="s">
        <v>1933</v>
      </c>
      <c r="U123" s="330" t="s">
        <v>1934</v>
      </c>
      <c r="V123" s="327">
        <v>2000</v>
      </c>
      <c r="W123" s="380">
        <v>44752</v>
      </c>
      <c r="X123" s="327">
        <v>18000</v>
      </c>
      <c r="Y123" s="389" t="s">
        <v>1297</v>
      </c>
      <c r="Z123" s="327">
        <v>18104</v>
      </c>
      <c r="AA123" s="323" t="s">
        <v>783</v>
      </c>
      <c r="AB123" s="327">
        <v>20000</v>
      </c>
      <c r="AC123" s="378" t="s">
        <v>1735</v>
      </c>
      <c r="AD123" s="327">
        <v>70000</v>
      </c>
      <c r="AE123" s="378" t="s">
        <v>1431</v>
      </c>
      <c r="AF123" s="327">
        <f>-53+490000</f>
        <v>489947</v>
      </c>
      <c r="AG123" s="378" t="s">
        <v>1935</v>
      </c>
      <c r="AH123" s="327">
        <f t="shared" si="21"/>
        <v>618051</v>
      </c>
      <c r="AK123" s="328">
        <f t="shared" si="15"/>
        <v>0</v>
      </c>
      <c r="AL123" s="338" t="s">
        <v>1936</v>
      </c>
      <c r="AM123" s="338"/>
      <c r="AN123" s="393"/>
      <c r="AO123" s="393"/>
      <c r="AP123" s="393"/>
      <c r="AQ123" s="332">
        <f>0.4%+0.04%+0.1%+0.04%</f>
        <v>0.0058</v>
      </c>
      <c r="AR123" s="398">
        <f t="shared" si="14"/>
        <v>618104</v>
      </c>
      <c r="AS123" s="327"/>
      <c r="AT123" s="327">
        <v>100</v>
      </c>
      <c r="AU123" s="327"/>
      <c r="AV123" s="327"/>
      <c r="AW123" s="327"/>
      <c r="AX123" s="327"/>
      <c r="AY123" s="401"/>
      <c r="AZ123" s="402"/>
      <c r="BA123" s="327"/>
      <c r="BB123" s="327">
        <v>128104</v>
      </c>
      <c r="BC123" s="327"/>
      <c r="BD123" s="327">
        <v>490000</v>
      </c>
      <c r="BE123" s="327"/>
      <c r="BW123" s="323" t="s">
        <v>496</v>
      </c>
      <c r="BX123" s="323" t="s">
        <v>506</v>
      </c>
    </row>
    <row r="124" s="323" customFormat="1" customHeight="1" spans="1:76">
      <c r="A124" s="323">
        <v>82</v>
      </c>
      <c r="C124" s="323" t="s">
        <v>1276</v>
      </c>
      <c r="D124" s="343" t="s">
        <v>1937</v>
      </c>
      <c r="F124" s="338" t="s">
        <v>1938</v>
      </c>
      <c r="G124" s="337" t="s">
        <v>1939</v>
      </c>
      <c r="H124" s="839" t="s">
        <v>1940</v>
      </c>
      <c r="I124" s="361" t="s">
        <v>1941</v>
      </c>
      <c r="J124" s="323">
        <v>115.58</v>
      </c>
      <c r="K124" s="323">
        <v>115.58</v>
      </c>
      <c r="L124" s="323">
        <v>5353.38</v>
      </c>
      <c r="M124" s="366">
        <f>-54+618797</f>
        <v>618743</v>
      </c>
      <c r="N124" s="367"/>
      <c r="O124" s="368">
        <v>567654.13</v>
      </c>
      <c r="P124" s="369" t="s">
        <v>1942</v>
      </c>
      <c r="Q124" s="369" t="s">
        <v>1814</v>
      </c>
      <c r="R124" s="327"/>
      <c r="S124" s="330"/>
      <c r="T124" s="381" t="s">
        <v>1943</v>
      </c>
      <c r="U124" s="378" t="s">
        <v>1944</v>
      </c>
      <c r="V124" s="327">
        <v>289797</v>
      </c>
      <c r="W124" s="389" t="s">
        <v>1276</v>
      </c>
      <c r="X124" s="323">
        <v>30000</v>
      </c>
      <c r="Y124" s="323" t="s">
        <v>1245</v>
      </c>
      <c r="Z124" s="327">
        <v>299000</v>
      </c>
      <c r="AA124" s="330" t="s">
        <v>1083</v>
      </c>
      <c r="AB124" s="327">
        <v>-54</v>
      </c>
      <c r="AH124" s="327">
        <f t="shared" si="21"/>
        <v>618743</v>
      </c>
      <c r="AK124" s="328">
        <f t="shared" si="15"/>
        <v>0</v>
      </c>
      <c r="AL124" s="338" t="s">
        <v>1945</v>
      </c>
      <c r="AM124" s="338"/>
      <c r="AN124" s="393"/>
      <c r="AO124" s="393"/>
      <c r="AP124" s="393"/>
      <c r="AQ124" s="332">
        <f>0.4%+0.04%+0.1%</f>
        <v>0.0054</v>
      </c>
      <c r="AR124" s="398">
        <f t="shared" si="14"/>
        <v>618797</v>
      </c>
      <c r="AS124" s="327"/>
      <c r="AT124" s="327">
        <v>100</v>
      </c>
      <c r="AU124" s="327"/>
      <c r="AV124" s="327">
        <v>319797</v>
      </c>
      <c r="AW124" s="327"/>
      <c r="AX124" s="327"/>
      <c r="AY124" s="401"/>
      <c r="AZ124" s="402"/>
      <c r="BA124" s="327">
        <v>299000</v>
      </c>
      <c r="BB124" s="327"/>
      <c r="BC124" s="327"/>
      <c r="BD124" s="327"/>
      <c r="BE124" s="327"/>
      <c r="BW124" s="323" t="s">
        <v>496</v>
      </c>
      <c r="BX124" s="323" t="s">
        <v>506</v>
      </c>
    </row>
    <row r="125" s="323" customFormat="1" customHeight="1" spans="1:76">
      <c r="A125" s="323">
        <v>83</v>
      </c>
      <c r="C125" s="323" t="s">
        <v>1245</v>
      </c>
      <c r="D125" s="343" t="s">
        <v>1946</v>
      </c>
      <c r="F125" s="338" t="s">
        <v>1947</v>
      </c>
      <c r="G125" s="337" t="s">
        <v>1948</v>
      </c>
      <c r="H125" s="839" t="s">
        <v>1949</v>
      </c>
      <c r="I125" s="364" t="s">
        <v>1950</v>
      </c>
      <c r="J125" s="323">
        <v>115.58</v>
      </c>
      <c r="K125" s="323">
        <v>115.58</v>
      </c>
      <c r="L125" s="323">
        <v>5392.38</v>
      </c>
      <c r="M125" s="366">
        <f>-54+623305</f>
        <v>623251</v>
      </c>
      <c r="N125" s="367"/>
      <c r="O125" s="368">
        <v>571789.91</v>
      </c>
      <c r="P125" s="369" t="s">
        <v>1951</v>
      </c>
      <c r="Q125" s="369" t="s">
        <v>1814</v>
      </c>
      <c r="R125" s="327"/>
      <c r="S125" s="330"/>
      <c r="T125" s="331" t="s">
        <v>1952</v>
      </c>
      <c r="U125" s="330" t="s">
        <v>1953</v>
      </c>
      <c r="V125" s="327">
        <v>233305</v>
      </c>
      <c r="W125" s="323" t="s">
        <v>1245</v>
      </c>
      <c r="X125" s="327">
        <f>72000+18000</f>
        <v>90000</v>
      </c>
      <c r="Y125" s="330" t="s">
        <v>1954</v>
      </c>
      <c r="Z125" s="327">
        <v>300000</v>
      </c>
      <c r="AA125" s="330" t="s">
        <v>1955</v>
      </c>
      <c r="AB125" s="327">
        <v>-54</v>
      </c>
      <c r="AH125" s="327">
        <f t="shared" si="21"/>
        <v>623251</v>
      </c>
      <c r="AK125" s="328">
        <f t="shared" si="15"/>
        <v>0</v>
      </c>
      <c r="AL125" s="338" t="s">
        <v>1956</v>
      </c>
      <c r="AM125" s="338"/>
      <c r="AN125" s="393"/>
      <c r="AO125" s="393"/>
      <c r="AP125" s="393"/>
      <c r="AQ125" s="332">
        <f>0.6%+0.1%+0.04%</f>
        <v>0.0074</v>
      </c>
      <c r="AR125" s="398">
        <f t="shared" si="14"/>
        <v>623305</v>
      </c>
      <c r="AS125" s="327"/>
      <c r="AT125" s="327">
        <v>100</v>
      </c>
      <c r="AU125" s="327"/>
      <c r="AV125" s="327"/>
      <c r="AW125" s="327"/>
      <c r="AX125" s="327"/>
      <c r="AY125" s="401"/>
      <c r="AZ125" s="402"/>
      <c r="BA125" s="327">
        <v>323305</v>
      </c>
      <c r="BB125" s="327"/>
      <c r="BC125" s="327">
        <v>300000</v>
      </c>
      <c r="BD125" s="327"/>
      <c r="BE125" s="327"/>
      <c r="BW125" s="323" t="s">
        <v>496</v>
      </c>
      <c r="BX125" s="323" t="s">
        <v>506</v>
      </c>
    </row>
    <row r="126" s="323" customFormat="1" customHeight="1" spans="1:76">
      <c r="A126" s="323">
        <v>84</v>
      </c>
      <c r="C126" s="323" t="s">
        <v>1382</v>
      </c>
      <c r="D126" s="343" t="s">
        <v>1957</v>
      </c>
      <c r="F126" s="338" t="s">
        <v>1958</v>
      </c>
      <c r="G126" s="337" t="s">
        <v>1959</v>
      </c>
      <c r="H126" s="839" t="s">
        <v>1960</v>
      </c>
      <c r="I126" s="361" t="s">
        <v>1961</v>
      </c>
      <c r="J126" s="323">
        <v>115.58</v>
      </c>
      <c r="K126" s="323">
        <v>115.58</v>
      </c>
      <c r="L126" s="323">
        <v>5398.38</v>
      </c>
      <c r="M126" s="366">
        <f>-54+623999</f>
        <v>623945</v>
      </c>
      <c r="N126" s="367"/>
      <c r="O126" s="368">
        <v>572426.61</v>
      </c>
      <c r="P126" s="369" t="s">
        <v>1962</v>
      </c>
      <c r="Q126" s="369" t="s">
        <v>1814</v>
      </c>
      <c r="R126" s="327"/>
      <c r="S126" s="330"/>
      <c r="T126" s="331" t="s">
        <v>1963</v>
      </c>
      <c r="U126" s="330" t="s">
        <v>1964</v>
      </c>
      <c r="V126" s="327">
        <v>2000</v>
      </c>
      <c r="W126" s="380">
        <v>44775</v>
      </c>
      <c r="X126" s="327">
        <v>18000</v>
      </c>
      <c r="Y126" s="389" t="s">
        <v>1297</v>
      </c>
      <c r="Z126" s="327">
        <v>179999</v>
      </c>
      <c r="AA126" s="323" t="s">
        <v>1382</v>
      </c>
      <c r="AB126" s="327">
        <v>374000</v>
      </c>
      <c r="AC126" s="323" t="s">
        <v>1965</v>
      </c>
      <c r="AD126" s="327">
        <v>50000</v>
      </c>
      <c r="AE126" s="330" t="s">
        <v>1083</v>
      </c>
      <c r="AF126" s="323">
        <v>-54</v>
      </c>
      <c r="AH126" s="327">
        <f t="shared" si="21"/>
        <v>623945</v>
      </c>
      <c r="AK126" s="328">
        <f t="shared" si="15"/>
        <v>0</v>
      </c>
      <c r="AL126" s="338" t="s">
        <v>1966</v>
      </c>
      <c r="AM126" s="338"/>
      <c r="AN126" s="393"/>
      <c r="AO126" s="393"/>
      <c r="AP126" s="393"/>
      <c r="AQ126" s="332">
        <f>0.4%+0.04%+0.1%</f>
        <v>0.0054</v>
      </c>
      <c r="AR126" s="398">
        <f t="shared" si="14"/>
        <v>623999</v>
      </c>
      <c r="AS126" s="327"/>
      <c r="AT126" s="327"/>
      <c r="AU126" s="327"/>
      <c r="AV126" s="327"/>
      <c r="AW126" s="327"/>
      <c r="AX126" s="327"/>
      <c r="AY126" s="401"/>
      <c r="AZ126" s="404"/>
      <c r="BA126" s="327">
        <v>623999</v>
      </c>
      <c r="BB126" s="327"/>
      <c r="BC126" s="327"/>
      <c r="BD126" s="327"/>
      <c r="BE126" s="327"/>
      <c r="BW126" s="323" t="s">
        <v>496</v>
      </c>
      <c r="BX126" s="323" t="s">
        <v>506</v>
      </c>
    </row>
    <row r="127" s="323" customFormat="1" customHeight="1" spans="1:76">
      <c r="A127" s="323">
        <v>85</v>
      </c>
      <c r="C127" s="323" t="s">
        <v>1276</v>
      </c>
      <c r="D127" s="343" t="s">
        <v>1967</v>
      </c>
      <c r="F127" s="338" t="s">
        <v>1968</v>
      </c>
      <c r="G127" s="342" t="s">
        <v>1969</v>
      </c>
      <c r="H127" s="838" t="s">
        <v>1970</v>
      </c>
      <c r="I127" s="364" t="s">
        <v>1971</v>
      </c>
      <c r="J127" s="323">
        <v>115.58</v>
      </c>
      <c r="K127" s="323">
        <v>115.58</v>
      </c>
      <c r="L127" s="323">
        <v>5549.78</v>
      </c>
      <c r="M127" s="366">
        <f>-55+641500</f>
        <v>641445</v>
      </c>
      <c r="N127" s="367"/>
      <c r="O127" s="368">
        <v>588481.65</v>
      </c>
      <c r="P127" s="369" t="s">
        <v>1972</v>
      </c>
      <c r="Q127" s="369" t="s">
        <v>1814</v>
      </c>
      <c r="R127" s="327"/>
      <c r="S127" s="330"/>
      <c r="T127" s="342" t="s">
        <v>1969</v>
      </c>
      <c r="U127" s="342" t="s">
        <v>1969</v>
      </c>
      <c r="V127" s="327">
        <v>10000</v>
      </c>
      <c r="W127" s="380" t="s">
        <v>1382</v>
      </c>
      <c r="X127" s="327">
        <v>122500</v>
      </c>
      <c r="Y127" s="380" t="s">
        <v>1276</v>
      </c>
      <c r="Z127" s="327">
        <v>10000</v>
      </c>
      <c r="AA127" s="380" t="s">
        <v>1973</v>
      </c>
      <c r="AB127" s="327">
        <v>499000</v>
      </c>
      <c r="AC127" s="330" t="s">
        <v>1974</v>
      </c>
      <c r="AD127" s="323">
        <v>-55</v>
      </c>
      <c r="AH127" s="327">
        <f t="shared" si="21"/>
        <v>641445</v>
      </c>
      <c r="AK127" s="328">
        <f t="shared" si="15"/>
        <v>0</v>
      </c>
      <c r="AL127" s="338" t="s">
        <v>1975</v>
      </c>
      <c r="AM127" s="338"/>
      <c r="AN127" s="393"/>
      <c r="AO127" s="393"/>
      <c r="AP127" s="393"/>
      <c r="AQ127" s="332">
        <f>0.4%+0.04%+0.14%</f>
        <v>0.0058</v>
      </c>
      <c r="AR127" s="398">
        <f t="shared" si="14"/>
        <v>641500</v>
      </c>
      <c r="AS127" s="327"/>
      <c r="AT127" s="327"/>
      <c r="AU127" s="327"/>
      <c r="AV127" s="327">
        <v>132500</v>
      </c>
      <c r="AW127" s="327"/>
      <c r="AX127" s="327"/>
      <c r="AY127" s="401"/>
      <c r="AZ127" s="402"/>
      <c r="BA127" s="327">
        <v>509000</v>
      </c>
      <c r="BB127" s="327"/>
      <c r="BC127" s="327"/>
      <c r="BD127" s="327"/>
      <c r="BE127" s="327"/>
      <c r="BW127" s="323" t="s">
        <v>496</v>
      </c>
      <c r="BX127" s="323" t="s">
        <v>506</v>
      </c>
    </row>
    <row r="128" s="323" customFormat="1" customHeight="1" spans="1:76">
      <c r="A128" s="323">
        <v>86</v>
      </c>
      <c r="C128" s="323" t="s">
        <v>1383</v>
      </c>
      <c r="D128" s="343" t="s">
        <v>1976</v>
      </c>
      <c r="F128" s="338" t="s">
        <v>1977</v>
      </c>
      <c r="G128" s="342" t="s">
        <v>1978</v>
      </c>
      <c r="H128" s="838" t="s">
        <v>1979</v>
      </c>
      <c r="I128" s="361" t="s">
        <v>1980</v>
      </c>
      <c r="J128" s="323">
        <v>115.58</v>
      </c>
      <c r="K128" s="323">
        <v>115.58</v>
      </c>
      <c r="L128" s="323">
        <v>5500</v>
      </c>
      <c r="M128" s="366">
        <f>-55+635745</f>
        <v>635690</v>
      </c>
      <c r="N128" s="367"/>
      <c r="O128" s="368">
        <v>583201.83</v>
      </c>
      <c r="P128" s="369" t="s">
        <v>1981</v>
      </c>
      <c r="Q128" s="369" t="s">
        <v>1814</v>
      </c>
      <c r="R128" s="327"/>
      <c r="S128" s="330"/>
      <c r="T128" s="330" t="s">
        <v>1982</v>
      </c>
      <c r="U128" s="330" t="s">
        <v>1983</v>
      </c>
      <c r="V128" s="327">
        <f>2000</f>
        <v>2000</v>
      </c>
      <c r="W128" s="380">
        <v>44751</v>
      </c>
      <c r="X128" s="327">
        <v>18000</v>
      </c>
      <c r="Y128" s="384" t="s">
        <v>1237</v>
      </c>
      <c r="Z128" s="327">
        <v>100000</v>
      </c>
      <c r="AA128" s="323" t="s">
        <v>1984</v>
      </c>
      <c r="AB128" s="327">
        <v>185745</v>
      </c>
      <c r="AC128" s="323" t="s">
        <v>1383</v>
      </c>
      <c r="AD128" s="323">
        <v>330000</v>
      </c>
      <c r="AE128" s="323" t="s">
        <v>1299</v>
      </c>
      <c r="AF128" s="323">
        <v>-55</v>
      </c>
      <c r="AH128" s="327">
        <f t="shared" si="21"/>
        <v>635690</v>
      </c>
      <c r="AK128" s="328">
        <f t="shared" si="15"/>
        <v>0</v>
      </c>
      <c r="AL128" s="338" t="s">
        <v>1985</v>
      </c>
      <c r="AM128" s="338"/>
      <c r="AN128" s="393"/>
      <c r="AO128" s="393"/>
      <c r="AP128" s="393"/>
      <c r="AQ128" s="332">
        <f>0.6%+0.06%+0.14%</f>
        <v>0.008</v>
      </c>
      <c r="AR128" s="398">
        <f t="shared" si="14"/>
        <v>635754</v>
      </c>
      <c r="AS128" s="327"/>
      <c r="AT128" s="327"/>
      <c r="AU128" s="327"/>
      <c r="AV128" s="327"/>
      <c r="AW128" s="327"/>
      <c r="AX128" s="327">
        <v>305754</v>
      </c>
      <c r="AY128" s="401">
        <v>330000</v>
      </c>
      <c r="AZ128" s="402"/>
      <c r="BA128" s="327"/>
      <c r="BB128" s="327"/>
      <c r="BC128" s="327"/>
      <c r="BD128" s="327"/>
      <c r="BE128" s="327"/>
      <c r="BW128" s="323" t="s">
        <v>496</v>
      </c>
      <c r="BX128" s="323" t="s">
        <v>506</v>
      </c>
    </row>
    <row r="129" s="323" customFormat="1" customHeight="1" spans="1:76">
      <c r="A129" s="323">
        <v>87</v>
      </c>
      <c r="C129" s="323" t="s">
        <v>1382</v>
      </c>
      <c r="D129" s="343" t="s">
        <v>1986</v>
      </c>
      <c r="F129" s="338" t="s">
        <v>1987</v>
      </c>
      <c r="G129" s="340" t="s">
        <v>1988</v>
      </c>
      <c r="H129" s="837" t="s">
        <v>1989</v>
      </c>
      <c r="I129" s="361" t="s">
        <v>1990</v>
      </c>
      <c r="J129" s="323">
        <v>115.58</v>
      </c>
      <c r="K129" s="323">
        <v>115.58</v>
      </c>
      <c r="L129" s="323">
        <v>6572.42</v>
      </c>
      <c r="M129" s="366">
        <f>-66+759706</f>
        <v>759640</v>
      </c>
      <c r="N129" s="367"/>
      <c r="O129" s="368">
        <v>696917.43</v>
      </c>
      <c r="P129" s="369" t="s">
        <v>1991</v>
      </c>
      <c r="Q129" s="369" t="s">
        <v>1814</v>
      </c>
      <c r="R129" s="327"/>
      <c r="S129" s="330"/>
      <c r="T129" s="381" t="s">
        <v>1992</v>
      </c>
      <c r="U129" s="378" t="s">
        <v>1993</v>
      </c>
      <c r="V129" s="327">
        <v>39706</v>
      </c>
      <c r="W129" s="323" t="s">
        <v>1277</v>
      </c>
      <c r="X129" s="327">
        <v>390000</v>
      </c>
      <c r="Y129" s="323" t="s">
        <v>873</v>
      </c>
      <c r="Z129" s="327">
        <v>330000</v>
      </c>
      <c r="AA129" s="323" t="s">
        <v>1535</v>
      </c>
      <c r="AB129" s="327">
        <v>-66</v>
      </c>
      <c r="AH129" s="327">
        <f t="shared" ref="AH129:AH160" si="22">V129+X129+Z129+AB129+AD129+AF129</f>
        <v>759640</v>
      </c>
      <c r="AK129" s="328">
        <f t="shared" si="15"/>
        <v>0</v>
      </c>
      <c r="AL129" s="338" t="s">
        <v>1994</v>
      </c>
      <c r="AM129" s="338"/>
      <c r="AN129" s="393"/>
      <c r="AO129" s="393"/>
      <c r="AP129" s="393"/>
      <c r="AQ129" s="332">
        <f>0.6%+0.1%</f>
        <v>0.007</v>
      </c>
      <c r="AR129" s="398">
        <f t="shared" si="14"/>
        <v>759706</v>
      </c>
      <c r="AS129" s="327"/>
      <c r="AT129" s="327">
        <f>100+100</f>
        <v>200</v>
      </c>
      <c r="AU129" s="327"/>
      <c r="AV129" s="327"/>
      <c r="AW129" s="327"/>
      <c r="AX129" s="327">
        <v>429706</v>
      </c>
      <c r="AY129" s="401">
        <v>330000</v>
      </c>
      <c r="AZ129" s="402"/>
      <c r="BA129" s="327"/>
      <c r="BB129" s="327"/>
      <c r="BC129" s="327"/>
      <c r="BD129" s="327"/>
      <c r="BE129" s="327"/>
      <c r="BW129" s="323" t="s">
        <v>496</v>
      </c>
      <c r="BX129" s="323" t="s">
        <v>506</v>
      </c>
    </row>
    <row r="130" s="323" customFormat="1" customHeight="1" spans="1:76">
      <c r="A130" s="323">
        <v>88</v>
      </c>
      <c r="C130" s="323" t="s">
        <v>1344</v>
      </c>
      <c r="D130" s="338" t="s">
        <v>1995</v>
      </c>
      <c r="F130" s="435" t="s">
        <v>1996</v>
      </c>
      <c r="G130" s="340" t="s">
        <v>1997</v>
      </c>
      <c r="H130" s="837" t="s">
        <v>1998</v>
      </c>
      <c r="I130" s="361" t="s">
        <v>1999</v>
      </c>
      <c r="J130" s="323">
        <v>115.58</v>
      </c>
      <c r="K130" s="323">
        <v>115.58</v>
      </c>
      <c r="L130" s="323">
        <v>6630.42</v>
      </c>
      <c r="M130" s="366">
        <f>-66+766410</f>
        <v>766344</v>
      </c>
      <c r="N130" s="367"/>
      <c r="O130" s="368">
        <v>703067.89</v>
      </c>
      <c r="P130" s="369" t="s">
        <v>2000</v>
      </c>
      <c r="Q130" s="369" t="s">
        <v>1814</v>
      </c>
      <c r="R130" s="327"/>
      <c r="S130" s="330"/>
      <c r="T130" s="381" t="s">
        <v>2001</v>
      </c>
      <c r="U130" s="378" t="s">
        <v>2002</v>
      </c>
      <c r="V130" s="327">
        <v>26410</v>
      </c>
      <c r="W130" s="384" t="s">
        <v>1344</v>
      </c>
      <c r="X130" s="327">
        <v>479000</v>
      </c>
      <c r="Y130" s="323" t="s">
        <v>1382</v>
      </c>
      <c r="Z130" s="327">
        <v>140000</v>
      </c>
      <c r="AA130" s="323" t="s">
        <v>2003</v>
      </c>
      <c r="AB130" s="327">
        <v>121000</v>
      </c>
      <c r="AC130" s="330" t="s">
        <v>2004</v>
      </c>
      <c r="AD130" s="323">
        <v>-66</v>
      </c>
      <c r="AH130" s="327">
        <f t="shared" si="22"/>
        <v>766344</v>
      </c>
      <c r="AK130" s="328">
        <f t="shared" si="15"/>
        <v>0</v>
      </c>
      <c r="AL130" s="338" t="s">
        <v>2005</v>
      </c>
      <c r="AM130" s="338"/>
      <c r="AN130" s="393"/>
      <c r="AO130" s="393"/>
      <c r="AP130" s="393"/>
      <c r="AQ130" s="332">
        <f>0.6%+0.04%+0.1%</f>
        <v>0.0074</v>
      </c>
      <c r="AR130" s="398">
        <f t="shared" si="14"/>
        <v>766410</v>
      </c>
      <c r="AS130" s="327"/>
      <c r="AT130" s="327">
        <v>100</v>
      </c>
      <c r="AU130" s="327"/>
      <c r="AV130" s="327">
        <v>505410</v>
      </c>
      <c r="AW130" s="327"/>
      <c r="AX130" s="327"/>
      <c r="AY130" s="401"/>
      <c r="AZ130" s="402"/>
      <c r="BA130" s="327">
        <v>261000</v>
      </c>
      <c r="BB130" s="327"/>
      <c r="BC130" s="327"/>
      <c r="BD130" s="327"/>
      <c r="BE130" s="327"/>
      <c r="BW130" s="323" t="s">
        <v>496</v>
      </c>
      <c r="BX130" s="323" t="s">
        <v>506</v>
      </c>
    </row>
    <row r="131" s="323" customFormat="1" ht="65" customHeight="1" spans="1:76">
      <c r="A131" s="323">
        <v>89</v>
      </c>
      <c r="C131" s="323" t="s">
        <v>1316</v>
      </c>
      <c r="D131" s="833" t="s">
        <v>2006</v>
      </c>
      <c r="F131" s="338" t="s">
        <v>2007</v>
      </c>
      <c r="G131" s="340" t="s">
        <v>2008</v>
      </c>
      <c r="H131" s="837" t="s">
        <v>2009</v>
      </c>
      <c r="I131" s="361" t="s">
        <v>2010</v>
      </c>
      <c r="J131" s="323">
        <v>143.33</v>
      </c>
      <c r="K131" s="323">
        <v>143.33</v>
      </c>
      <c r="L131" s="323">
        <v>7857</v>
      </c>
      <c r="M131" s="326">
        <v>1126144</v>
      </c>
      <c r="N131" s="327"/>
      <c r="O131" s="328">
        <v>1033159.63</v>
      </c>
      <c r="P131" s="841" t="s">
        <v>2011</v>
      </c>
      <c r="Q131" s="445">
        <v>45630</v>
      </c>
      <c r="R131" s="327"/>
      <c r="S131" s="378"/>
      <c r="T131" s="381" t="s">
        <v>2012</v>
      </c>
      <c r="U131" s="378" t="s">
        <v>2013</v>
      </c>
      <c r="V131" s="327">
        <f>4000-4000</f>
        <v>0</v>
      </c>
      <c r="W131" s="379" t="s">
        <v>2014</v>
      </c>
      <c r="X131" s="327">
        <v>487144</v>
      </c>
      <c r="Y131" s="384" t="s">
        <v>1316</v>
      </c>
      <c r="Z131" s="327">
        <v>140000</v>
      </c>
      <c r="AA131" s="380" t="s">
        <v>1965</v>
      </c>
      <c r="AB131" s="327">
        <v>499000</v>
      </c>
      <c r="AC131" s="378" t="s">
        <v>2015</v>
      </c>
      <c r="AH131" s="327">
        <f t="shared" si="22"/>
        <v>1126144</v>
      </c>
      <c r="AK131" s="328">
        <f t="shared" si="15"/>
        <v>0</v>
      </c>
      <c r="AL131" s="338" t="s">
        <v>2016</v>
      </c>
      <c r="AM131" s="338"/>
      <c r="AN131" s="392"/>
      <c r="AO131" s="392"/>
      <c r="AP131" s="392"/>
      <c r="AQ131" s="332">
        <f>0.6%+0.04%+0.1%+0.04%</f>
        <v>0.0078</v>
      </c>
      <c r="AR131" s="398">
        <f t="shared" si="14"/>
        <v>1126144</v>
      </c>
      <c r="AS131" s="327">
        <f t="shared" ref="AS131:AS133" si="23">100</f>
        <v>100</v>
      </c>
      <c r="AT131" s="327">
        <f>100+100+100+100</f>
        <v>400</v>
      </c>
      <c r="AU131" s="327"/>
      <c r="AV131" s="327"/>
      <c r="AW131" s="327">
        <v>627144</v>
      </c>
      <c r="AX131" s="327"/>
      <c r="AY131" s="401"/>
      <c r="AZ131" s="404"/>
      <c r="BA131" s="327"/>
      <c r="BB131" s="327">
        <v>499000</v>
      </c>
      <c r="BC131" s="327"/>
      <c r="BD131" s="327"/>
      <c r="BE131" s="327"/>
      <c r="BW131" s="323" t="s">
        <v>496</v>
      </c>
      <c r="BX131" s="323" t="s">
        <v>506</v>
      </c>
    </row>
    <row r="132" s="59" customFormat="1" customHeight="1" spans="1:57">
      <c r="A132" s="436">
        <v>90</v>
      </c>
      <c r="B132" s="172"/>
      <c r="C132" s="172"/>
      <c r="D132" s="415"/>
      <c r="E132" s="172"/>
      <c r="F132" s="415"/>
      <c r="G132" s="437"/>
      <c r="H132" s="438"/>
      <c r="I132" s="439" t="s">
        <v>2017</v>
      </c>
      <c r="J132" s="172">
        <v>152.79</v>
      </c>
      <c r="K132" s="172"/>
      <c r="L132" s="172"/>
      <c r="M132" s="440"/>
      <c r="N132" s="441">
        <v>8079.72</v>
      </c>
      <c r="O132" s="419"/>
      <c r="P132" s="420"/>
      <c r="Q132" s="420"/>
      <c r="R132" s="446"/>
      <c r="S132" s="447"/>
      <c r="T132" s="448"/>
      <c r="U132" s="448"/>
      <c r="V132" s="358"/>
      <c r="W132" s="449"/>
      <c r="X132" s="358"/>
      <c r="Y132" s="387"/>
      <c r="Z132" s="358"/>
      <c r="AA132" s="423"/>
      <c r="AB132" s="358"/>
      <c r="AC132" s="172"/>
      <c r="AD132" s="172"/>
      <c r="AE132" s="172"/>
      <c r="AF132" s="172"/>
      <c r="AG132" s="172"/>
      <c r="AH132" s="327">
        <f t="shared" si="22"/>
        <v>0</v>
      </c>
      <c r="AI132" s="172"/>
      <c r="AJ132" s="172"/>
      <c r="AK132" s="359">
        <f t="shared" si="15"/>
        <v>0</v>
      </c>
      <c r="AL132" s="415"/>
      <c r="AM132" s="415"/>
      <c r="AN132" s="429"/>
      <c r="AO132" s="429"/>
      <c r="AP132" s="429"/>
      <c r="AQ132" s="456"/>
      <c r="AR132" s="397">
        <f t="shared" si="14"/>
        <v>0</v>
      </c>
      <c r="AS132" s="457">
        <f t="shared" si="23"/>
        <v>100</v>
      </c>
      <c r="AT132" s="457">
        <f>100+100+100</f>
        <v>300</v>
      </c>
      <c r="AU132" s="457"/>
      <c r="AV132" s="457"/>
      <c r="AW132" s="457"/>
      <c r="AX132" s="457"/>
      <c r="AY132" s="459"/>
      <c r="AZ132" s="460"/>
      <c r="BA132" s="457"/>
      <c r="BB132" s="457"/>
      <c r="BC132" s="457"/>
      <c r="BD132" s="457"/>
      <c r="BE132" s="457"/>
    </row>
    <row r="133" s="323" customFormat="1" customHeight="1" spans="1:76">
      <c r="A133" s="323">
        <v>91</v>
      </c>
      <c r="C133" s="323" t="s">
        <v>1382</v>
      </c>
      <c r="D133" s="343" t="s">
        <v>2018</v>
      </c>
      <c r="F133" s="338" t="s">
        <v>2019</v>
      </c>
      <c r="G133" s="342" t="s">
        <v>2020</v>
      </c>
      <c r="H133" s="838" t="s">
        <v>2021</v>
      </c>
      <c r="I133" s="361" t="s">
        <v>2022</v>
      </c>
      <c r="J133" s="323">
        <v>142.14</v>
      </c>
      <c r="K133" s="323">
        <v>142.14</v>
      </c>
      <c r="L133" s="323">
        <v>5086.1</v>
      </c>
      <c r="M133" s="366">
        <v>722938</v>
      </c>
      <c r="N133" s="367"/>
      <c r="O133" s="368">
        <v>663245.87</v>
      </c>
      <c r="P133" s="369" t="s">
        <v>2023</v>
      </c>
      <c r="Q133" s="445">
        <v>45630</v>
      </c>
      <c r="R133" s="327"/>
      <c r="S133" s="330"/>
      <c r="T133" s="331" t="s">
        <v>2024</v>
      </c>
      <c r="U133" s="330" t="s">
        <v>2025</v>
      </c>
      <c r="V133" s="327">
        <v>122938</v>
      </c>
      <c r="W133" s="323" t="s">
        <v>1382</v>
      </c>
      <c r="X133" s="327">
        <v>110000</v>
      </c>
      <c r="Y133" s="323" t="s">
        <v>1513</v>
      </c>
      <c r="Z133" s="327">
        <v>490000</v>
      </c>
      <c r="AA133" s="330" t="s">
        <v>1090</v>
      </c>
      <c r="AB133" s="327"/>
      <c r="AH133" s="327">
        <f t="shared" si="22"/>
        <v>722938</v>
      </c>
      <c r="AK133" s="328">
        <f t="shared" si="15"/>
        <v>0</v>
      </c>
      <c r="AL133" s="338" t="s">
        <v>2026</v>
      </c>
      <c r="AM133" s="338"/>
      <c r="AN133" s="393"/>
      <c r="AO133" s="393"/>
      <c r="AP133" s="393"/>
      <c r="AQ133" s="332">
        <f>0.6%+0.1%</f>
        <v>0.007</v>
      </c>
      <c r="AR133" s="398">
        <f t="shared" si="14"/>
        <v>722938</v>
      </c>
      <c r="AS133" s="327">
        <f t="shared" si="23"/>
        <v>100</v>
      </c>
      <c r="AT133" s="327"/>
      <c r="AU133" s="327"/>
      <c r="AV133" s="327">
        <v>232938</v>
      </c>
      <c r="AW133" s="327"/>
      <c r="AX133" s="327"/>
      <c r="AY133" s="401"/>
      <c r="AZ133" s="402"/>
      <c r="BA133" s="327">
        <v>490000</v>
      </c>
      <c r="BB133" s="327"/>
      <c r="BC133" s="327"/>
      <c r="BD133" s="327"/>
      <c r="BE133" s="327"/>
      <c r="BW133" s="323" t="s">
        <v>496</v>
      </c>
      <c r="BX133" s="323" t="s">
        <v>506</v>
      </c>
    </row>
    <row r="134" s="323" customFormat="1" customHeight="1" spans="1:76">
      <c r="A134" s="323">
        <v>92</v>
      </c>
      <c r="C134" s="380" t="s">
        <v>2027</v>
      </c>
      <c r="D134" s="343" t="s">
        <v>2028</v>
      </c>
      <c r="F134" s="338" t="s">
        <v>2029</v>
      </c>
      <c r="G134" s="342" t="s">
        <v>2030</v>
      </c>
      <c r="H134" s="838" t="s">
        <v>2031</v>
      </c>
      <c r="I134" s="364" t="s">
        <v>2032</v>
      </c>
      <c r="J134" s="323">
        <v>151.48</v>
      </c>
      <c r="K134" s="323">
        <v>151.48</v>
      </c>
      <c r="L134" s="323">
        <v>5253.73</v>
      </c>
      <c r="M134" s="366">
        <f>805888-10000-53</f>
        <v>795835</v>
      </c>
      <c r="N134" s="367">
        <v>5246.59</v>
      </c>
      <c r="O134" s="368">
        <v>730123.85</v>
      </c>
      <c r="P134" s="369" t="s">
        <v>2033</v>
      </c>
      <c r="Q134" s="445">
        <v>45630</v>
      </c>
      <c r="R134" s="327"/>
      <c r="S134" s="330"/>
      <c r="T134" s="330"/>
      <c r="U134" s="330" t="s">
        <v>2034</v>
      </c>
      <c r="V134" s="327">
        <v>20000</v>
      </c>
      <c r="W134" s="330" t="s">
        <v>895</v>
      </c>
      <c r="X134" s="327">
        <v>225888</v>
      </c>
      <c r="Y134" s="380" t="s">
        <v>2027</v>
      </c>
      <c r="Z134" s="327">
        <v>550000</v>
      </c>
      <c r="AA134" s="380" t="s">
        <v>1692</v>
      </c>
      <c r="AB134" s="327">
        <v>-53</v>
      </c>
      <c r="AC134" s="380"/>
      <c r="AD134" s="380"/>
      <c r="AE134" s="380"/>
      <c r="AF134" s="380"/>
      <c r="AG134" s="380"/>
      <c r="AH134" s="327">
        <f t="shared" si="22"/>
        <v>795835</v>
      </c>
      <c r="AK134" s="328">
        <f t="shared" si="15"/>
        <v>0</v>
      </c>
      <c r="AL134" s="338" t="s">
        <v>2035</v>
      </c>
      <c r="AM134" s="338"/>
      <c r="AN134" s="393"/>
      <c r="AO134" s="393"/>
      <c r="AP134" s="393"/>
      <c r="AQ134" s="332">
        <f>0.6%+0.06%+0.14%</f>
        <v>0.008</v>
      </c>
      <c r="AR134" s="398">
        <f t="shared" ref="AR134:AR197" si="24">SUM(AU134:BR134)</f>
        <v>795888</v>
      </c>
      <c r="AS134" s="327"/>
      <c r="AT134" s="327"/>
      <c r="AU134" s="327"/>
      <c r="AV134" s="327"/>
      <c r="AW134" s="327"/>
      <c r="AX134" s="327"/>
      <c r="AY134" s="184">
        <v>245888</v>
      </c>
      <c r="AZ134" s="268">
        <v>550000</v>
      </c>
      <c r="BA134" s="327"/>
      <c r="BB134" s="327"/>
      <c r="BC134" s="327"/>
      <c r="BD134" s="327"/>
      <c r="BE134" s="327"/>
      <c r="BW134" s="323" t="s">
        <v>496</v>
      </c>
      <c r="BX134" s="323" t="s">
        <v>506</v>
      </c>
    </row>
    <row r="135" s="323" customFormat="1" customHeight="1" spans="1:76">
      <c r="A135" s="323">
        <v>93</v>
      </c>
      <c r="C135" s="323" t="s">
        <v>1237</v>
      </c>
      <c r="D135" s="323">
        <v>20230001471</v>
      </c>
      <c r="F135" s="341" t="s">
        <v>2036</v>
      </c>
      <c r="G135" s="340" t="s">
        <v>2037</v>
      </c>
      <c r="H135" s="837" t="s">
        <v>2038</v>
      </c>
      <c r="I135" s="361" t="s">
        <v>2039</v>
      </c>
      <c r="J135" s="323">
        <v>142.14</v>
      </c>
      <c r="K135" s="323">
        <v>142.14</v>
      </c>
      <c r="L135" s="323">
        <v>5136.38</v>
      </c>
      <c r="M135" s="366">
        <v>730085</v>
      </c>
      <c r="N135" s="367"/>
      <c r="O135" s="368">
        <v>669802.75</v>
      </c>
      <c r="P135" s="369" t="s">
        <v>2040</v>
      </c>
      <c r="Q135" s="445">
        <v>45630</v>
      </c>
      <c r="R135" s="327"/>
      <c r="S135" s="378"/>
      <c r="T135" s="381" t="s">
        <v>2041</v>
      </c>
      <c r="U135" s="378" t="s">
        <v>2042</v>
      </c>
      <c r="V135" s="327">
        <v>400085</v>
      </c>
      <c r="W135" s="384" t="s">
        <v>1237</v>
      </c>
      <c r="X135" s="327">
        <v>330000</v>
      </c>
      <c r="Y135" s="384" t="s">
        <v>1336</v>
      </c>
      <c r="Z135" s="327"/>
      <c r="AA135" s="384"/>
      <c r="AB135" s="327"/>
      <c r="AH135" s="327">
        <f t="shared" si="22"/>
        <v>730085</v>
      </c>
      <c r="AK135" s="328">
        <f t="shared" si="15"/>
        <v>0</v>
      </c>
      <c r="AL135" s="338" t="s">
        <v>2043</v>
      </c>
      <c r="AM135" s="338"/>
      <c r="AN135" s="393"/>
      <c r="AO135" s="393"/>
      <c r="AP135" s="393"/>
      <c r="AQ135" s="332">
        <f>0.6%+0.04%+0.1%</f>
        <v>0.0074</v>
      </c>
      <c r="AR135" s="398">
        <f t="shared" si="24"/>
        <v>730085</v>
      </c>
      <c r="AS135" s="327">
        <f>100</f>
        <v>100</v>
      </c>
      <c r="AT135" s="327">
        <f>100+100+100</f>
        <v>300</v>
      </c>
      <c r="AU135" s="327"/>
      <c r="AV135" s="327">
        <v>400085</v>
      </c>
      <c r="AW135" s="327">
        <v>330000</v>
      </c>
      <c r="AX135" s="327"/>
      <c r="AY135" s="401"/>
      <c r="AZ135" s="402"/>
      <c r="BA135" s="327"/>
      <c r="BB135" s="327"/>
      <c r="BC135" s="327"/>
      <c r="BD135" s="327"/>
      <c r="BE135" s="327"/>
      <c r="BW135" s="323" t="s">
        <v>496</v>
      </c>
      <c r="BX135" s="323" t="s">
        <v>506</v>
      </c>
    </row>
    <row r="136" s="323" customFormat="1" ht="71" customHeight="1" spans="1:76">
      <c r="A136" s="323">
        <v>94</v>
      </c>
      <c r="C136" s="323" t="s">
        <v>2044</v>
      </c>
      <c r="D136" s="323">
        <v>20230003708</v>
      </c>
      <c r="F136" s="338" t="s">
        <v>2045</v>
      </c>
      <c r="G136" s="340" t="s">
        <v>2046</v>
      </c>
      <c r="H136" s="837" t="s">
        <v>2047</v>
      </c>
      <c r="I136" s="364" t="s">
        <v>2048</v>
      </c>
      <c r="J136" s="323">
        <v>151.48</v>
      </c>
      <c r="K136" s="323">
        <v>151.48</v>
      </c>
      <c r="L136" s="323">
        <v>5313.88</v>
      </c>
      <c r="M136" s="326">
        <f>-53+805000</f>
        <v>804947</v>
      </c>
      <c r="N136" s="327">
        <v>5298.56</v>
      </c>
      <c r="O136" s="328">
        <v>738483.49</v>
      </c>
      <c r="P136" s="442" t="s">
        <v>2049</v>
      </c>
      <c r="Q136" s="445">
        <v>45630</v>
      </c>
      <c r="R136" s="327"/>
      <c r="S136" s="330"/>
      <c r="T136" s="378" t="s">
        <v>2050</v>
      </c>
      <c r="U136" s="378" t="s">
        <v>2051</v>
      </c>
      <c r="V136" s="327">
        <f>1000-1000+20000</f>
        <v>20000</v>
      </c>
      <c r="W136" s="450" t="s">
        <v>2052</v>
      </c>
      <c r="X136" s="327">
        <v>175000</v>
      </c>
      <c r="Y136" s="380" t="s">
        <v>2053</v>
      </c>
      <c r="Z136" s="327">
        <v>610000</v>
      </c>
      <c r="AA136" s="330" t="s">
        <v>2054</v>
      </c>
      <c r="AB136" s="327">
        <v>-53</v>
      </c>
      <c r="AC136" s="454"/>
      <c r="AD136" s="454"/>
      <c r="AE136" s="454"/>
      <c r="AF136" s="454"/>
      <c r="AG136" s="454"/>
      <c r="AH136" s="327">
        <f t="shared" si="22"/>
        <v>804947</v>
      </c>
      <c r="AK136" s="328">
        <f t="shared" si="15"/>
        <v>0</v>
      </c>
      <c r="AL136" s="338" t="s">
        <v>2055</v>
      </c>
      <c r="AM136" s="338"/>
      <c r="AN136" s="392"/>
      <c r="AO136" s="392"/>
      <c r="AP136" s="392"/>
      <c r="AQ136" s="332">
        <f>0.4%+0.05%+0.14%+0.06%</f>
        <v>0.0065</v>
      </c>
      <c r="AR136" s="398">
        <f t="shared" si="24"/>
        <v>805000</v>
      </c>
      <c r="AS136" s="327"/>
      <c r="AT136" s="327">
        <v>100</v>
      </c>
      <c r="AU136" s="327"/>
      <c r="AV136" s="327"/>
      <c r="AW136" s="327"/>
      <c r="AX136" s="327">
        <v>195000</v>
      </c>
      <c r="AY136" s="184"/>
      <c r="AZ136" s="403"/>
      <c r="BA136" s="327"/>
      <c r="BB136" s="327"/>
      <c r="BC136" s="327">
        <v>610000</v>
      </c>
      <c r="BD136" s="327"/>
      <c r="BE136" s="327"/>
      <c r="BW136" s="323" t="s">
        <v>496</v>
      </c>
      <c r="BX136" s="323" t="s">
        <v>506</v>
      </c>
    </row>
    <row r="137" s="323" customFormat="1" ht="62" customHeight="1" spans="1:76">
      <c r="A137" s="323">
        <v>95</v>
      </c>
      <c r="C137" s="323" t="s">
        <v>1316</v>
      </c>
      <c r="D137" s="343" t="s">
        <v>2056</v>
      </c>
      <c r="F137" s="338" t="s">
        <v>2057</v>
      </c>
      <c r="G137" s="340" t="s">
        <v>2058</v>
      </c>
      <c r="H137" s="837" t="s">
        <v>2059</v>
      </c>
      <c r="I137" s="361" t="s">
        <v>2060</v>
      </c>
      <c r="J137" s="323">
        <v>142.14</v>
      </c>
      <c r="K137" s="323">
        <v>142.14</v>
      </c>
      <c r="L137" s="323">
        <v>5166.38</v>
      </c>
      <c r="M137" s="366">
        <v>734350</v>
      </c>
      <c r="N137" s="367"/>
      <c r="O137" s="368">
        <v>673715.6</v>
      </c>
      <c r="P137" s="369" t="s">
        <v>2061</v>
      </c>
      <c r="Q137" s="445">
        <v>45630</v>
      </c>
      <c r="R137" s="327"/>
      <c r="S137" s="378"/>
      <c r="T137" s="381" t="s">
        <v>2062</v>
      </c>
      <c r="U137" s="378" t="s">
        <v>2063</v>
      </c>
      <c r="V137" s="323">
        <v>3350</v>
      </c>
      <c r="W137" s="380" t="s">
        <v>1316</v>
      </c>
      <c r="X137" s="327">
        <v>281000</v>
      </c>
      <c r="Y137" s="380" t="s">
        <v>873</v>
      </c>
      <c r="Z137" s="327">
        <v>450000</v>
      </c>
      <c r="AA137" s="378" t="s">
        <v>1033</v>
      </c>
      <c r="AB137" s="327"/>
      <c r="AH137" s="327">
        <f t="shared" si="22"/>
        <v>734350</v>
      </c>
      <c r="AK137" s="328">
        <f t="shared" si="15"/>
        <v>0</v>
      </c>
      <c r="AL137" s="338" t="s">
        <v>2064</v>
      </c>
      <c r="AM137" s="338"/>
      <c r="AN137" s="393"/>
      <c r="AO137" s="393"/>
      <c r="AP137" s="393"/>
      <c r="AQ137" s="332">
        <f>0.4%+0.05%+0.14%</f>
        <v>0.0059</v>
      </c>
      <c r="AR137" s="398">
        <f t="shared" si="24"/>
        <v>734350</v>
      </c>
      <c r="AS137" s="327"/>
      <c r="AT137" s="327">
        <f>100+100</f>
        <v>200</v>
      </c>
      <c r="AU137" s="327"/>
      <c r="AV137" s="327"/>
      <c r="AW137" s="327"/>
      <c r="AX137" s="327">
        <v>284350</v>
      </c>
      <c r="AY137" s="401"/>
      <c r="AZ137" s="402"/>
      <c r="BA137" s="327">
        <v>450000</v>
      </c>
      <c r="BB137" s="327"/>
      <c r="BC137" s="327"/>
      <c r="BD137" s="327"/>
      <c r="BE137" s="327"/>
      <c r="BW137" s="323" t="s">
        <v>496</v>
      </c>
      <c r="BX137" s="323" t="s">
        <v>506</v>
      </c>
    </row>
    <row r="138" s="323" customFormat="1" ht="47" customHeight="1" spans="1:76">
      <c r="A138" s="323">
        <v>96</v>
      </c>
      <c r="C138" s="323" t="s">
        <v>872</v>
      </c>
      <c r="D138" s="343" t="s">
        <v>2065</v>
      </c>
      <c r="F138" s="338" t="s">
        <v>2066</v>
      </c>
      <c r="G138" s="340" t="s">
        <v>2067</v>
      </c>
      <c r="H138" s="340"/>
      <c r="I138" s="364" t="s">
        <v>2068</v>
      </c>
      <c r="J138" s="323">
        <v>151.48</v>
      </c>
      <c r="K138" s="323">
        <v>151.48</v>
      </c>
      <c r="L138" s="323">
        <v>5329.57</v>
      </c>
      <c r="M138" s="366">
        <f>-53+802897</f>
        <v>802844</v>
      </c>
      <c r="N138" s="367">
        <v>5329.57</v>
      </c>
      <c r="O138" s="368">
        <v>736554.13</v>
      </c>
      <c r="P138" s="369" t="s">
        <v>2069</v>
      </c>
      <c r="Q138" s="445">
        <v>45631</v>
      </c>
      <c r="R138" s="327"/>
      <c r="S138" s="330"/>
      <c r="T138" s="378" t="s">
        <v>2067</v>
      </c>
      <c r="U138" s="378" t="s">
        <v>2067</v>
      </c>
      <c r="V138" s="327">
        <v>302897</v>
      </c>
      <c r="W138" s="384" t="s">
        <v>872</v>
      </c>
      <c r="X138" s="327">
        <v>500000</v>
      </c>
      <c r="Y138" s="330" t="s">
        <v>2070</v>
      </c>
      <c r="Z138" s="327">
        <v>-53</v>
      </c>
      <c r="AB138" s="327"/>
      <c r="AH138" s="327">
        <f t="shared" si="22"/>
        <v>802844</v>
      </c>
      <c r="AK138" s="328">
        <f t="shared" si="15"/>
        <v>0</v>
      </c>
      <c r="AL138" s="338" t="s">
        <v>2071</v>
      </c>
      <c r="AM138" s="338"/>
      <c r="AN138" s="393"/>
      <c r="AO138" s="393"/>
      <c r="AP138" s="393"/>
      <c r="AQ138" s="332">
        <f>0.6%+0.06%+0.14%+0.06%</f>
        <v>0.0086</v>
      </c>
      <c r="AR138" s="398">
        <f t="shared" si="24"/>
        <v>802897</v>
      </c>
      <c r="AS138" s="327">
        <v>100</v>
      </c>
      <c r="AT138" s="327"/>
      <c r="AU138" s="327"/>
      <c r="AV138" s="327"/>
      <c r="AW138" s="327"/>
      <c r="AX138" s="327"/>
      <c r="AY138" s="184">
        <v>302897</v>
      </c>
      <c r="AZ138" s="403"/>
      <c r="BA138" s="327"/>
      <c r="BB138" s="327"/>
      <c r="BC138" s="327">
        <v>500000</v>
      </c>
      <c r="BD138" s="327"/>
      <c r="BE138" s="327"/>
      <c r="BW138" s="323" t="s">
        <v>496</v>
      </c>
      <c r="BX138" s="323" t="s">
        <v>506</v>
      </c>
    </row>
    <row r="139" s="323" customFormat="1" ht="60" customHeight="1" spans="1:76">
      <c r="A139" s="323">
        <v>97</v>
      </c>
      <c r="C139" s="323" t="s">
        <v>2072</v>
      </c>
      <c r="D139" s="343" t="s">
        <v>2073</v>
      </c>
      <c r="F139" s="338" t="s">
        <v>2074</v>
      </c>
      <c r="G139" s="340" t="s">
        <v>2075</v>
      </c>
      <c r="H139" s="340" t="s">
        <v>2076</v>
      </c>
      <c r="I139" s="361" t="s">
        <v>2077</v>
      </c>
      <c r="J139" s="323">
        <v>142.14</v>
      </c>
      <c r="K139" s="323">
        <v>142.14</v>
      </c>
      <c r="L139" s="323">
        <v>5944.84</v>
      </c>
      <c r="M139" s="366">
        <v>845000</v>
      </c>
      <c r="N139" s="367"/>
      <c r="O139" s="368">
        <v>775229.36</v>
      </c>
      <c r="P139" s="369" t="s">
        <v>2078</v>
      </c>
      <c r="Q139" s="445">
        <v>45631</v>
      </c>
      <c r="R139" s="327"/>
      <c r="S139" s="378"/>
      <c r="T139" s="381" t="s">
        <v>2079</v>
      </c>
      <c r="U139" s="378" t="s">
        <v>2080</v>
      </c>
      <c r="V139" s="327">
        <v>255000</v>
      </c>
      <c r="W139" s="378" t="s">
        <v>2072</v>
      </c>
      <c r="X139" s="327">
        <v>590000</v>
      </c>
      <c r="Y139" s="378" t="s">
        <v>568</v>
      </c>
      <c r="Z139" s="327"/>
      <c r="AA139" s="378"/>
      <c r="AB139" s="327"/>
      <c r="AC139" s="378"/>
      <c r="AH139" s="327">
        <f t="shared" si="22"/>
        <v>845000</v>
      </c>
      <c r="AK139" s="328">
        <f t="shared" si="15"/>
        <v>0</v>
      </c>
      <c r="AL139" s="338" t="s">
        <v>2081</v>
      </c>
      <c r="AM139" s="338"/>
      <c r="AN139" s="393"/>
      <c r="AO139" s="393"/>
      <c r="AP139" s="393"/>
      <c r="AQ139" s="332">
        <f>0.4%+0.02%+0.08%</f>
        <v>0.005</v>
      </c>
      <c r="AR139" s="398">
        <f t="shared" si="24"/>
        <v>845000</v>
      </c>
      <c r="AS139" s="327">
        <v>100</v>
      </c>
      <c r="AT139" s="327">
        <v>100</v>
      </c>
      <c r="AU139" s="327"/>
      <c r="AV139" s="327"/>
      <c r="AW139" s="327"/>
      <c r="AX139" s="327"/>
      <c r="AY139" s="401"/>
      <c r="AZ139" s="402"/>
      <c r="BA139" s="327"/>
      <c r="BB139" s="327"/>
      <c r="BC139" s="327"/>
      <c r="BD139" s="327"/>
      <c r="BE139" s="327">
        <v>255000</v>
      </c>
      <c r="BF139" s="323">
        <v>590000</v>
      </c>
      <c r="BU139" s="323" t="s">
        <v>2082</v>
      </c>
      <c r="BW139" s="323" t="s">
        <v>496</v>
      </c>
      <c r="BX139" s="323" t="s">
        <v>506</v>
      </c>
    </row>
    <row r="140" s="323" customFormat="1" customHeight="1" spans="1:76">
      <c r="A140" s="323">
        <v>98</v>
      </c>
      <c r="C140" s="323" t="s">
        <v>1630</v>
      </c>
      <c r="D140" s="343" t="s">
        <v>2083</v>
      </c>
      <c r="F140" s="338" t="s">
        <v>2084</v>
      </c>
      <c r="G140" s="340" t="s">
        <v>2085</v>
      </c>
      <c r="H140" s="837" t="s">
        <v>2086</v>
      </c>
      <c r="I140" s="364" t="s">
        <v>2087</v>
      </c>
      <c r="J140" s="323">
        <v>151.48</v>
      </c>
      <c r="K140" s="323">
        <v>151.48</v>
      </c>
      <c r="L140" s="323">
        <v>5360</v>
      </c>
      <c r="M140" s="366">
        <f>-53+811986</f>
        <v>811933</v>
      </c>
      <c r="N140" s="367"/>
      <c r="O140" s="368">
        <v>744892.66</v>
      </c>
      <c r="P140" s="369" t="s">
        <v>2088</v>
      </c>
      <c r="Q140" s="445">
        <v>45631</v>
      </c>
      <c r="R140" s="327"/>
      <c r="S140" s="330"/>
      <c r="T140" s="340" t="s">
        <v>2085</v>
      </c>
      <c r="U140" s="340" t="s">
        <v>2085</v>
      </c>
      <c r="V140" s="327">
        <v>20000</v>
      </c>
      <c r="W140" s="330" t="s">
        <v>1926</v>
      </c>
      <c r="X140" s="327">
        <v>272986</v>
      </c>
      <c r="Y140" s="380" t="s">
        <v>1630</v>
      </c>
      <c r="Z140" s="327">
        <v>20000</v>
      </c>
      <c r="AA140" s="380" t="s">
        <v>2089</v>
      </c>
      <c r="AB140" s="327">
        <v>499000</v>
      </c>
      <c r="AC140" s="330" t="s">
        <v>2090</v>
      </c>
      <c r="AD140" s="342">
        <v>-53</v>
      </c>
      <c r="AE140" s="380"/>
      <c r="AF140" s="380"/>
      <c r="AG140" s="380"/>
      <c r="AH140" s="327">
        <f t="shared" si="22"/>
        <v>811933</v>
      </c>
      <c r="AK140" s="328">
        <f t="shared" si="15"/>
        <v>0</v>
      </c>
      <c r="AL140" s="338" t="s">
        <v>2091</v>
      </c>
      <c r="AM140" s="338"/>
      <c r="AN140" s="393"/>
      <c r="AO140" s="393"/>
      <c r="AP140" s="393"/>
      <c r="AQ140" s="332">
        <f>0.6%+0.06%+0.14%+0.06%</f>
        <v>0.0086</v>
      </c>
      <c r="AR140" s="398">
        <f t="shared" si="24"/>
        <v>811986</v>
      </c>
      <c r="AS140" s="327"/>
      <c r="AT140" s="327"/>
      <c r="AU140" s="327"/>
      <c r="AV140" s="327"/>
      <c r="AW140" s="327"/>
      <c r="AX140" s="327">
        <v>312986</v>
      </c>
      <c r="AY140" s="401"/>
      <c r="AZ140" s="404"/>
      <c r="BA140" s="327"/>
      <c r="BB140" s="327">
        <v>499000</v>
      </c>
      <c r="BC140" s="327"/>
      <c r="BD140" s="327"/>
      <c r="BE140" s="327"/>
      <c r="BW140" s="323" t="s">
        <v>496</v>
      </c>
      <c r="BX140" s="323" t="s">
        <v>506</v>
      </c>
    </row>
    <row r="141" s="323" customFormat="1" ht="52" customHeight="1" spans="1:76">
      <c r="A141" s="323">
        <v>99</v>
      </c>
      <c r="C141" s="323" t="s">
        <v>1382</v>
      </c>
      <c r="D141" s="343" t="s">
        <v>2092</v>
      </c>
      <c r="F141" s="417" t="s">
        <v>2093</v>
      </c>
      <c r="G141" s="340" t="s">
        <v>2094</v>
      </c>
      <c r="H141" s="837" t="s">
        <v>2095</v>
      </c>
      <c r="I141" s="361" t="s">
        <v>2096</v>
      </c>
      <c r="J141" s="323">
        <v>142.14</v>
      </c>
      <c r="K141" s="323">
        <v>142.14</v>
      </c>
      <c r="L141" s="323">
        <v>5261.38</v>
      </c>
      <c r="M141" s="326">
        <v>747853</v>
      </c>
      <c r="N141" s="327"/>
      <c r="O141" s="328">
        <v>686103.67</v>
      </c>
      <c r="P141" s="369" t="s">
        <v>2097</v>
      </c>
      <c r="Q141" s="369" t="s">
        <v>412</v>
      </c>
      <c r="R141" s="327"/>
      <c r="S141" s="378"/>
      <c r="T141" s="381" t="s">
        <v>2098</v>
      </c>
      <c r="U141" s="378" t="s">
        <v>2099</v>
      </c>
      <c r="V141" s="327">
        <v>47853</v>
      </c>
      <c r="W141" s="323" t="s">
        <v>1382</v>
      </c>
      <c r="X141" s="327">
        <v>110000</v>
      </c>
      <c r="Y141" s="378" t="s">
        <v>896</v>
      </c>
      <c r="Z141" s="327">
        <v>590000</v>
      </c>
      <c r="AA141" s="323" t="s">
        <v>550</v>
      </c>
      <c r="AB141" s="327"/>
      <c r="AH141" s="327">
        <f t="shared" si="22"/>
        <v>747853</v>
      </c>
      <c r="AK141" s="328">
        <f t="shared" si="15"/>
        <v>0</v>
      </c>
      <c r="AL141" s="338" t="s">
        <v>2100</v>
      </c>
      <c r="AM141" s="338"/>
      <c r="AN141" s="392"/>
      <c r="AO141" s="392"/>
      <c r="AP141" s="392"/>
      <c r="AQ141" s="332">
        <f>0.4%+0.04%+0.1%+0.04%</f>
        <v>0.0058</v>
      </c>
      <c r="AR141" s="398">
        <f t="shared" si="24"/>
        <v>747853</v>
      </c>
      <c r="AS141" s="327">
        <f>100+100+100+100</f>
        <v>400</v>
      </c>
      <c r="AT141" s="327">
        <f>100+100+100</f>
        <v>300</v>
      </c>
      <c r="AU141" s="327"/>
      <c r="AV141" s="327"/>
      <c r="AW141" s="327"/>
      <c r="AX141" s="327"/>
      <c r="AY141" s="401"/>
      <c r="AZ141" s="402"/>
      <c r="BA141" s="327"/>
      <c r="BB141" s="327">
        <v>157853</v>
      </c>
      <c r="BC141" s="327"/>
      <c r="BD141" s="327"/>
      <c r="BE141" s="327"/>
      <c r="BI141" s="323">
        <v>590000</v>
      </c>
      <c r="BW141" s="323" t="s">
        <v>496</v>
      </c>
      <c r="BX141" s="323" t="s">
        <v>506</v>
      </c>
    </row>
    <row r="142" s="323" customFormat="1" customHeight="1" spans="1:76">
      <c r="A142" s="323">
        <v>100</v>
      </c>
      <c r="C142" s="323" t="s">
        <v>1245</v>
      </c>
      <c r="D142" s="343" t="s">
        <v>2101</v>
      </c>
      <c r="F142" s="338" t="s">
        <v>2102</v>
      </c>
      <c r="G142" s="340" t="s">
        <v>2103</v>
      </c>
      <c r="H142" s="837" t="s">
        <v>644</v>
      </c>
      <c r="I142" s="364" t="s">
        <v>2104</v>
      </c>
      <c r="J142" s="323">
        <v>151.48</v>
      </c>
      <c r="K142" s="323">
        <v>151.48</v>
      </c>
      <c r="L142" s="323">
        <v>5175.37</v>
      </c>
      <c r="M142" s="366">
        <f>-52+784017</f>
        <v>783965</v>
      </c>
      <c r="N142" s="367"/>
      <c r="O142" s="368">
        <v>719233.94</v>
      </c>
      <c r="P142" s="369" t="s">
        <v>2105</v>
      </c>
      <c r="Q142" s="369" t="s">
        <v>1775</v>
      </c>
      <c r="R142" s="327"/>
      <c r="S142" s="378"/>
      <c r="T142" s="381" t="s">
        <v>2106</v>
      </c>
      <c r="U142" s="378" t="s">
        <v>2107</v>
      </c>
      <c r="V142" s="327">
        <v>384017</v>
      </c>
      <c r="W142" s="380" t="s">
        <v>1245</v>
      </c>
      <c r="X142" s="327">
        <v>400000</v>
      </c>
      <c r="Y142" s="380" t="s">
        <v>1368</v>
      </c>
      <c r="Z142" s="327">
        <v>-52</v>
      </c>
      <c r="AA142" s="380"/>
      <c r="AB142" s="327"/>
      <c r="AH142" s="327">
        <f t="shared" si="22"/>
        <v>783965</v>
      </c>
      <c r="AK142" s="328">
        <f t="shared" si="15"/>
        <v>0</v>
      </c>
      <c r="AL142" s="338" t="s">
        <v>2108</v>
      </c>
      <c r="AM142" s="338"/>
      <c r="AN142" s="393"/>
      <c r="AO142" s="393"/>
      <c r="AP142" s="393"/>
      <c r="AQ142" s="332">
        <f t="shared" ref="AQ142:AQ145" si="25">0.6%+0.04%+0.1%</f>
        <v>0.0074</v>
      </c>
      <c r="AR142" s="398">
        <f t="shared" si="24"/>
        <v>784017</v>
      </c>
      <c r="AS142" s="327"/>
      <c r="AT142" s="327">
        <f>100+100</f>
        <v>200</v>
      </c>
      <c r="AU142" s="327"/>
      <c r="AV142" s="327">
        <v>384017</v>
      </c>
      <c r="AW142" s="327"/>
      <c r="AX142" s="327"/>
      <c r="AY142" s="401">
        <v>400000</v>
      </c>
      <c r="AZ142" s="402"/>
      <c r="BA142" s="327"/>
      <c r="BB142" s="327"/>
      <c r="BC142" s="327"/>
      <c r="BD142" s="327"/>
      <c r="BE142" s="327"/>
      <c r="BW142" s="323" t="s">
        <v>496</v>
      </c>
      <c r="BX142" s="323" t="s">
        <v>506</v>
      </c>
    </row>
    <row r="143" s="323" customFormat="1" ht="41" customHeight="1" spans="1:76">
      <c r="A143" s="323">
        <v>101</v>
      </c>
      <c r="C143" s="323" t="s">
        <v>1276</v>
      </c>
      <c r="D143" s="338" t="s">
        <v>2109</v>
      </c>
      <c r="F143" s="417" t="s">
        <v>2110</v>
      </c>
      <c r="G143" s="340" t="s">
        <v>2111</v>
      </c>
      <c r="H143" s="837" t="s">
        <v>2112</v>
      </c>
      <c r="I143" s="361" t="s">
        <v>2113</v>
      </c>
      <c r="J143" s="323">
        <v>142.14</v>
      </c>
      <c r="K143" s="323">
        <v>142.14</v>
      </c>
      <c r="L143" s="323">
        <v>5306.38</v>
      </c>
      <c r="M143" s="366">
        <v>754249</v>
      </c>
      <c r="N143" s="367"/>
      <c r="O143" s="368">
        <v>691971.56</v>
      </c>
      <c r="P143" s="369" t="s">
        <v>2114</v>
      </c>
      <c r="Q143" s="369" t="s">
        <v>1775</v>
      </c>
      <c r="R143" s="327"/>
      <c r="S143" s="378"/>
      <c r="T143" s="381" t="s">
        <v>2115</v>
      </c>
      <c r="U143" s="378" t="s">
        <v>2116</v>
      </c>
      <c r="V143" s="327">
        <f>2000-2000</f>
        <v>0</v>
      </c>
      <c r="W143" s="382">
        <v>44766</v>
      </c>
      <c r="X143" s="451">
        <v>154249</v>
      </c>
      <c r="Y143" s="380" t="s">
        <v>1276</v>
      </c>
      <c r="Z143" s="327">
        <v>600000</v>
      </c>
      <c r="AA143" s="380" t="s">
        <v>1299</v>
      </c>
      <c r="AB143" s="327"/>
      <c r="AH143" s="327">
        <f t="shared" si="22"/>
        <v>754249</v>
      </c>
      <c r="AK143" s="328">
        <f t="shared" si="15"/>
        <v>0</v>
      </c>
      <c r="AL143" s="417" t="s">
        <v>2117</v>
      </c>
      <c r="AM143" s="338"/>
      <c r="AN143" s="393"/>
      <c r="AO143" s="393"/>
      <c r="AP143" s="393"/>
      <c r="AQ143" s="332">
        <f t="shared" si="25"/>
        <v>0.0074</v>
      </c>
      <c r="AR143" s="398">
        <f t="shared" si="24"/>
        <v>754249</v>
      </c>
      <c r="AS143" s="327">
        <f>100+100</f>
        <v>200</v>
      </c>
      <c r="AT143" s="327">
        <v>100</v>
      </c>
      <c r="AU143" s="327"/>
      <c r="AV143" s="327">
        <v>154249</v>
      </c>
      <c r="AW143" s="327"/>
      <c r="AX143" s="327"/>
      <c r="AY143" s="401">
        <v>600000</v>
      </c>
      <c r="AZ143" s="402"/>
      <c r="BA143" s="327"/>
      <c r="BB143" s="327"/>
      <c r="BC143" s="327"/>
      <c r="BD143" s="327"/>
      <c r="BE143" s="327"/>
      <c r="BW143" s="323" t="s">
        <v>496</v>
      </c>
      <c r="BX143" s="323" t="s">
        <v>506</v>
      </c>
    </row>
    <row r="144" s="323" customFormat="1" customHeight="1" spans="1:76">
      <c r="A144" s="323">
        <v>102</v>
      </c>
      <c r="C144" s="323" t="s">
        <v>1237</v>
      </c>
      <c r="D144" s="343" t="s">
        <v>2118</v>
      </c>
      <c r="F144" s="435" t="s">
        <v>2119</v>
      </c>
      <c r="G144" s="342" t="s">
        <v>2120</v>
      </c>
      <c r="H144" s="342"/>
      <c r="I144" s="361" t="s">
        <v>2121</v>
      </c>
      <c r="J144" s="323">
        <v>151.48</v>
      </c>
      <c r="K144" s="323">
        <v>151.48</v>
      </c>
      <c r="L144" s="323">
        <v>5412.09</v>
      </c>
      <c r="M144" s="366">
        <f>-54+819879</f>
        <v>819825</v>
      </c>
      <c r="N144" s="367"/>
      <c r="O144" s="368">
        <v>752133.03</v>
      </c>
      <c r="P144" s="369" t="s">
        <v>2122</v>
      </c>
      <c r="Q144" s="369" t="s">
        <v>1775</v>
      </c>
      <c r="R144" s="327"/>
      <c r="S144" s="330"/>
      <c r="T144" s="330" t="s">
        <v>2123</v>
      </c>
      <c r="U144" s="330" t="s">
        <v>2123</v>
      </c>
      <c r="V144" s="327">
        <v>20000</v>
      </c>
      <c r="W144" s="380" t="s">
        <v>1277</v>
      </c>
      <c r="X144" s="327">
        <v>229878</v>
      </c>
      <c r="Y144" s="380" t="s">
        <v>1824</v>
      </c>
      <c r="Z144" s="327">
        <v>370001</v>
      </c>
      <c r="AA144" s="323" t="s">
        <v>2027</v>
      </c>
      <c r="AB144" s="327">
        <v>200000</v>
      </c>
      <c r="AC144" s="323" t="s">
        <v>911</v>
      </c>
      <c r="AD144" s="323">
        <v>-54</v>
      </c>
      <c r="AH144" s="327">
        <f t="shared" si="22"/>
        <v>819825</v>
      </c>
      <c r="AK144" s="328">
        <f t="shared" si="15"/>
        <v>0</v>
      </c>
      <c r="AL144" s="338" t="s">
        <v>2124</v>
      </c>
      <c r="AM144" s="338"/>
      <c r="AN144" s="393"/>
      <c r="AO144" s="393"/>
      <c r="AP144" s="393"/>
      <c r="AQ144" s="332">
        <f>0.4%+0.05%+0.14%</f>
        <v>0.0059</v>
      </c>
      <c r="AR144" s="398">
        <f t="shared" si="24"/>
        <v>819878</v>
      </c>
      <c r="AS144" s="327"/>
      <c r="AT144" s="327"/>
      <c r="AU144" s="327"/>
      <c r="AV144" s="327">
        <v>249878</v>
      </c>
      <c r="AW144" s="327"/>
      <c r="AX144" s="327"/>
      <c r="AY144" s="401"/>
      <c r="AZ144" s="402"/>
      <c r="BA144" s="327">
        <v>570000</v>
      </c>
      <c r="BB144" s="327"/>
      <c r="BC144" s="327"/>
      <c r="BD144" s="327"/>
      <c r="BE144" s="327"/>
      <c r="BW144" s="323" t="s">
        <v>496</v>
      </c>
      <c r="BX144" s="323" t="s">
        <v>506</v>
      </c>
    </row>
    <row r="145" s="323" customFormat="1" ht="61" customHeight="1" spans="1:76">
      <c r="A145" s="323">
        <v>103</v>
      </c>
      <c r="C145" s="323" t="s">
        <v>1245</v>
      </c>
      <c r="D145" s="343" t="s">
        <v>2125</v>
      </c>
      <c r="F145" s="338" t="s">
        <v>2126</v>
      </c>
      <c r="G145" s="340" t="s">
        <v>2127</v>
      </c>
      <c r="H145" s="837" t="s">
        <v>854</v>
      </c>
      <c r="I145" s="361" t="s">
        <v>2128</v>
      </c>
      <c r="J145" s="323">
        <v>142.14</v>
      </c>
      <c r="K145" s="323">
        <v>142.14</v>
      </c>
      <c r="L145" s="323">
        <v>5331.38</v>
      </c>
      <c r="M145" s="366">
        <v>757803</v>
      </c>
      <c r="N145" s="367"/>
      <c r="O145" s="368">
        <v>695232.11</v>
      </c>
      <c r="P145" s="369" t="s">
        <v>2129</v>
      </c>
      <c r="Q145" s="369" t="s">
        <v>1775</v>
      </c>
      <c r="R145" s="327"/>
      <c r="S145" s="378"/>
      <c r="T145" s="381" t="s">
        <v>2130</v>
      </c>
      <c r="U145" s="378" t="s">
        <v>2131</v>
      </c>
      <c r="V145" s="323">
        <v>757803</v>
      </c>
      <c r="W145" s="323" t="s">
        <v>1245</v>
      </c>
      <c r="Z145" s="327"/>
      <c r="AB145" s="327"/>
      <c r="AH145" s="327">
        <f t="shared" si="22"/>
        <v>757803</v>
      </c>
      <c r="AK145" s="328">
        <f t="shared" si="15"/>
        <v>0</v>
      </c>
      <c r="AL145" s="338" t="s">
        <v>2132</v>
      </c>
      <c r="AM145" s="338"/>
      <c r="AN145" s="393"/>
      <c r="AO145" s="393"/>
      <c r="AP145" s="393"/>
      <c r="AQ145" s="332">
        <f t="shared" si="25"/>
        <v>0.0074</v>
      </c>
      <c r="AR145" s="398">
        <f t="shared" si="24"/>
        <v>757803</v>
      </c>
      <c r="AS145" s="327">
        <f>100</f>
        <v>100</v>
      </c>
      <c r="AT145" s="327">
        <v>100</v>
      </c>
      <c r="AU145" s="327"/>
      <c r="AV145" s="327">
        <v>757803</v>
      </c>
      <c r="AW145" s="327"/>
      <c r="AX145" s="327"/>
      <c r="AY145" s="401"/>
      <c r="AZ145" s="402"/>
      <c r="BA145" s="327"/>
      <c r="BB145" s="327"/>
      <c r="BC145" s="327"/>
      <c r="BD145" s="327"/>
      <c r="BE145" s="327"/>
      <c r="BW145" s="323" t="s">
        <v>496</v>
      </c>
      <c r="BX145" s="323" t="s">
        <v>506</v>
      </c>
    </row>
    <row r="146" s="323" customFormat="1" customHeight="1" spans="1:76">
      <c r="A146" s="323">
        <v>104</v>
      </c>
      <c r="C146" s="323" t="s">
        <v>1681</v>
      </c>
      <c r="D146" s="323">
        <v>20230001886</v>
      </c>
      <c r="F146" s="338" t="s">
        <v>2133</v>
      </c>
      <c r="G146" s="342" t="s">
        <v>2134</v>
      </c>
      <c r="H146" s="838" t="s">
        <v>2135</v>
      </c>
      <c r="I146" s="364" t="s">
        <v>2136</v>
      </c>
      <c r="J146" s="323">
        <v>151.48</v>
      </c>
      <c r="K146" s="323">
        <v>151.48</v>
      </c>
      <c r="L146" s="323">
        <v>5460</v>
      </c>
      <c r="M146" s="326">
        <f>-55+827135</f>
        <v>827080</v>
      </c>
      <c r="N146" s="327"/>
      <c r="O146" s="328">
        <v>758788.99</v>
      </c>
      <c r="P146" s="841" t="s">
        <v>2137</v>
      </c>
      <c r="Q146" s="369" t="s">
        <v>1775</v>
      </c>
      <c r="R146" s="327"/>
      <c r="S146" s="330"/>
      <c r="T146" s="342" t="s">
        <v>2134</v>
      </c>
      <c r="U146" s="342" t="s">
        <v>2134</v>
      </c>
      <c r="V146" s="327">
        <v>20000</v>
      </c>
      <c r="W146" s="330" t="s">
        <v>1926</v>
      </c>
      <c r="X146" s="327">
        <v>268135</v>
      </c>
      <c r="Y146" s="384" t="s">
        <v>1681</v>
      </c>
      <c r="Z146" s="327">
        <v>40000</v>
      </c>
      <c r="AA146" s="323" t="s">
        <v>2138</v>
      </c>
      <c r="AB146" s="327">
        <v>499000</v>
      </c>
      <c r="AC146" s="330" t="s">
        <v>866</v>
      </c>
      <c r="AD146" s="323">
        <v>-55</v>
      </c>
      <c r="AH146" s="327">
        <f t="shared" si="22"/>
        <v>827080</v>
      </c>
      <c r="AK146" s="328">
        <f t="shared" si="15"/>
        <v>0</v>
      </c>
      <c r="AL146" s="338" t="s">
        <v>2139</v>
      </c>
      <c r="AM146" s="338"/>
      <c r="AN146" s="392"/>
      <c r="AO146" s="392"/>
      <c r="AP146" s="392"/>
      <c r="AQ146" s="332">
        <f>0.6%+0.06%+0.14%</f>
        <v>0.008</v>
      </c>
      <c r="AR146" s="398">
        <f t="shared" si="24"/>
        <v>827135</v>
      </c>
      <c r="AS146" s="327"/>
      <c r="AT146" s="327"/>
      <c r="AU146" s="327"/>
      <c r="AV146" s="327"/>
      <c r="AW146" s="327"/>
      <c r="AX146" s="327"/>
      <c r="AY146" s="401"/>
      <c r="AZ146" s="406">
        <v>328135</v>
      </c>
      <c r="BA146" s="327">
        <v>499000</v>
      </c>
      <c r="BB146" s="327"/>
      <c r="BC146" s="327"/>
      <c r="BD146" s="327"/>
      <c r="BE146" s="327"/>
      <c r="BW146" s="323" t="s">
        <v>496</v>
      </c>
      <c r="BX146" s="323" t="s">
        <v>506</v>
      </c>
    </row>
    <row r="147" s="323" customFormat="1" customHeight="1" spans="1:76">
      <c r="A147" s="323">
        <v>105</v>
      </c>
      <c r="C147" s="323" t="s">
        <v>872</v>
      </c>
      <c r="D147" s="343" t="s">
        <v>2140</v>
      </c>
      <c r="F147" s="417" t="s">
        <v>2141</v>
      </c>
      <c r="G147" s="340" t="s">
        <v>2142</v>
      </c>
      <c r="H147" s="837" t="s">
        <v>2143</v>
      </c>
      <c r="I147" s="361" t="s">
        <v>2144</v>
      </c>
      <c r="J147" s="323">
        <v>142.14</v>
      </c>
      <c r="K147" s="323">
        <v>142.14</v>
      </c>
      <c r="L147" s="323">
        <v>5376.38</v>
      </c>
      <c r="M147" s="366">
        <v>764199</v>
      </c>
      <c r="N147" s="367"/>
      <c r="O147" s="368">
        <v>701100</v>
      </c>
      <c r="P147" s="369" t="s">
        <v>2145</v>
      </c>
      <c r="Q147" s="369" t="s">
        <v>1775</v>
      </c>
      <c r="R147" s="327"/>
      <c r="S147" s="378"/>
      <c r="T147" s="381" t="s">
        <v>2146</v>
      </c>
      <c r="U147" s="378" t="s">
        <v>2147</v>
      </c>
      <c r="V147" s="327">
        <f>4000+20000</f>
        <v>24000</v>
      </c>
      <c r="W147" s="450" t="s">
        <v>1297</v>
      </c>
      <c r="X147" s="327">
        <v>480199</v>
      </c>
      <c r="Y147" s="384" t="s">
        <v>872</v>
      </c>
      <c r="Z147" s="327">
        <v>260000</v>
      </c>
      <c r="AA147" s="323" t="s">
        <v>872</v>
      </c>
      <c r="AB147" s="327"/>
      <c r="AH147" s="327">
        <f t="shared" si="22"/>
        <v>764199</v>
      </c>
      <c r="AK147" s="328">
        <f t="shared" si="15"/>
        <v>0</v>
      </c>
      <c r="AL147" s="417" t="s">
        <v>2148</v>
      </c>
      <c r="AM147" s="338"/>
      <c r="AN147" s="393"/>
      <c r="AO147" s="393"/>
      <c r="AP147" s="393"/>
      <c r="AQ147" s="332">
        <f>0.4%+0.04%+0.1%</f>
        <v>0.0054</v>
      </c>
      <c r="AR147" s="398">
        <f t="shared" si="24"/>
        <v>764199</v>
      </c>
      <c r="AS147" s="327">
        <f>100+100</f>
        <v>200</v>
      </c>
      <c r="AT147" s="327"/>
      <c r="AU147" s="327"/>
      <c r="AV147" s="327"/>
      <c r="AW147" s="327">
        <v>764199</v>
      </c>
      <c r="AX147" s="327"/>
      <c r="AY147" s="401"/>
      <c r="AZ147" s="402"/>
      <c r="BA147" s="327"/>
      <c r="BB147" s="327"/>
      <c r="BC147" s="327"/>
      <c r="BD147" s="327"/>
      <c r="BE147" s="327"/>
      <c r="BW147" s="323" t="s">
        <v>496</v>
      </c>
      <c r="BX147" s="323" t="s">
        <v>506</v>
      </c>
    </row>
    <row r="148" s="323" customFormat="1" customHeight="1" spans="1:76">
      <c r="A148" s="323">
        <v>106</v>
      </c>
      <c r="C148" s="323" t="s">
        <v>1681</v>
      </c>
      <c r="D148" s="338" t="s">
        <v>2149</v>
      </c>
      <c r="F148" s="338" t="s">
        <v>2150</v>
      </c>
      <c r="G148" s="340" t="s">
        <v>2151</v>
      </c>
      <c r="H148" s="340"/>
      <c r="I148" s="364" t="s">
        <v>2152</v>
      </c>
      <c r="J148" s="323">
        <v>151.48</v>
      </c>
      <c r="K148" s="323">
        <v>151.48</v>
      </c>
      <c r="L148" s="323">
        <v>5550</v>
      </c>
      <c r="M148" s="366">
        <f>-56+840770</f>
        <v>840714</v>
      </c>
      <c r="N148" s="367"/>
      <c r="O148" s="368">
        <v>771297.25</v>
      </c>
      <c r="P148" s="369" t="s">
        <v>2153</v>
      </c>
      <c r="Q148" s="369" t="s">
        <v>1775</v>
      </c>
      <c r="R148" s="327"/>
      <c r="S148" s="330"/>
      <c r="T148" s="378" t="s">
        <v>2151</v>
      </c>
      <c r="U148" s="378" t="s">
        <v>2151</v>
      </c>
      <c r="V148" s="327">
        <v>20000</v>
      </c>
      <c r="W148" s="384" t="s">
        <v>1513</v>
      </c>
      <c r="X148" s="323">
        <v>420770</v>
      </c>
      <c r="Y148" s="323" t="s">
        <v>1334</v>
      </c>
      <c r="Z148" s="327">
        <v>400000</v>
      </c>
      <c r="AA148" s="323" t="s">
        <v>1806</v>
      </c>
      <c r="AB148" s="327">
        <v>-56</v>
      </c>
      <c r="AH148" s="327">
        <f t="shared" si="22"/>
        <v>840714</v>
      </c>
      <c r="AK148" s="328">
        <f t="shared" si="15"/>
        <v>0</v>
      </c>
      <c r="AL148" s="338" t="s">
        <v>2154</v>
      </c>
      <c r="AM148" s="338"/>
      <c r="AN148" s="393"/>
      <c r="AO148" s="393"/>
      <c r="AP148" s="393"/>
      <c r="AQ148" s="332">
        <f>0.6%+0.06%+0.14%</f>
        <v>0.008</v>
      </c>
      <c r="AR148" s="398">
        <f t="shared" si="24"/>
        <v>840770</v>
      </c>
      <c r="AS148" s="327"/>
      <c r="AT148" s="327">
        <v>100</v>
      </c>
      <c r="AU148" s="327"/>
      <c r="AV148" s="327">
        <v>440770</v>
      </c>
      <c r="AW148" s="327">
        <v>400000</v>
      </c>
      <c r="AX148" s="327"/>
      <c r="AY148" s="401"/>
      <c r="AZ148" s="404"/>
      <c r="BA148" s="327"/>
      <c r="BB148" s="327"/>
      <c r="BC148" s="327"/>
      <c r="BD148" s="327"/>
      <c r="BE148" s="327"/>
      <c r="BW148" s="323" t="s">
        <v>496</v>
      </c>
      <c r="BX148" s="323" t="s">
        <v>506</v>
      </c>
    </row>
    <row r="149" s="323" customFormat="1" customHeight="1" spans="1:76">
      <c r="A149" s="323">
        <v>107</v>
      </c>
      <c r="C149" s="323" t="s">
        <v>1277</v>
      </c>
      <c r="D149" s="323">
        <v>20230000675</v>
      </c>
      <c r="F149" s="338" t="s">
        <v>521</v>
      </c>
      <c r="G149" s="340" t="s">
        <v>522</v>
      </c>
      <c r="H149" s="837" t="s">
        <v>2155</v>
      </c>
      <c r="I149" s="361" t="s">
        <v>2156</v>
      </c>
      <c r="J149" s="323">
        <v>142.14</v>
      </c>
      <c r="K149" s="323">
        <v>142.14</v>
      </c>
      <c r="L149" s="323">
        <v>5396.38</v>
      </c>
      <c r="M149" s="326">
        <v>767042</v>
      </c>
      <c r="N149" s="327"/>
      <c r="O149" s="328">
        <v>703708.26</v>
      </c>
      <c r="P149" s="841" t="s">
        <v>2157</v>
      </c>
      <c r="Q149" s="369" t="s">
        <v>1775</v>
      </c>
      <c r="R149" s="327"/>
      <c r="S149" s="330"/>
      <c r="T149" s="331" t="s">
        <v>2158</v>
      </c>
      <c r="U149" s="330" t="s">
        <v>2159</v>
      </c>
      <c r="V149" s="327">
        <v>115042</v>
      </c>
      <c r="W149" s="323" t="s">
        <v>1277</v>
      </c>
      <c r="X149" s="327">
        <v>129000</v>
      </c>
      <c r="Y149" s="384" t="s">
        <v>2160</v>
      </c>
      <c r="Z149" s="327">
        <v>610000</v>
      </c>
      <c r="AA149" s="323" t="s">
        <v>2161</v>
      </c>
      <c r="AB149" s="327">
        <v>-87000</v>
      </c>
      <c r="AC149" s="330" t="s">
        <v>1660</v>
      </c>
      <c r="AH149" s="327">
        <f t="shared" si="22"/>
        <v>767042</v>
      </c>
      <c r="AK149" s="328">
        <f t="shared" si="15"/>
        <v>0</v>
      </c>
      <c r="AL149" s="338" t="s">
        <v>2162</v>
      </c>
      <c r="AM149" s="338"/>
      <c r="AN149" s="392"/>
      <c r="AO149" s="392"/>
      <c r="AP149" s="392"/>
      <c r="AQ149" s="332">
        <f>0.6%+0.04%+0.1%</f>
        <v>0.0074</v>
      </c>
      <c r="AR149" s="398">
        <f t="shared" si="24"/>
        <v>767042</v>
      </c>
      <c r="AS149" s="327">
        <v>100</v>
      </c>
      <c r="AT149" s="327"/>
      <c r="AU149" s="327"/>
      <c r="AV149" s="327"/>
      <c r="AW149" s="327"/>
      <c r="AX149" s="327"/>
      <c r="AY149" s="401"/>
      <c r="AZ149" s="405">
        <v>157042</v>
      </c>
      <c r="BA149" s="327">
        <v>610000</v>
      </c>
      <c r="BB149" s="327"/>
      <c r="BC149" s="327"/>
      <c r="BD149" s="327"/>
      <c r="BE149" s="327"/>
      <c r="BW149" s="323" t="s">
        <v>496</v>
      </c>
      <c r="BX149" s="323" t="s">
        <v>506</v>
      </c>
    </row>
    <row r="150" s="323" customFormat="1" customHeight="1" spans="1:76">
      <c r="A150" s="323">
        <v>108</v>
      </c>
      <c r="C150" s="323" t="s">
        <v>1335</v>
      </c>
      <c r="D150" s="343" t="s">
        <v>2163</v>
      </c>
      <c r="F150" s="833" t="s">
        <v>2164</v>
      </c>
      <c r="G150" s="323" t="s">
        <v>2165</v>
      </c>
      <c r="H150" s="833" t="s">
        <v>2166</v>
      </c>
      <c r="I150" s="364" t="s">
        <v>2167</v>
      </c>
      <c r="J150" s="323">
        <v>151.48</v>
      </c>
      <c r="K150" s="323">
        <v>151.48</v>
      </c>
      <c r="L150" s="323">
        <v>5617.27</v>
      </c>
      <c r="M150" s="366">
        <f>-56+850960</f>
        <v>850904</v>
      </c>
      <c r="N150" s="367">
        <v>5567.27</v>
      </c>
      <c r="O150" s="368">
        <v>780645.87</v>
      </c>
      <c r="P150" s="369" t="s">
        <v>2168</v>
      </c>
      <c r="Q150" s="369" t="s">
        <v>1775</v>
      </c>
      <c r="R150" s="327"/>
      <c r="S150" s="330"/>
      <c r="T150" s="323" t="s">
        <v>2165</v>
      </c>
      <c r="U150" s="323" t="s">
        <v>2169</v>
      </c>
      <c r="V150" s="327">
        <v>20000</v>
      </c>
      <c r="W150" s="380" t="s">
        <v>1308</v>
      </c>
      <c r="X150" s="327">
        <v>81960</v>
      </c>
      <c r="Y150" s="380" t="s">
        <v>2170</v>
      </c>
      <c r="Z150" s="327">
        <v>250000</v>
      </c>
      <c r="AA150" s="323" t="s">
        <v>1335</v>
      </c>
      <c r="AB150" s="327">
        <v>499000</v>
      </c>
      <c r="AC150" s="330" t="s">
        <v>982</v>
      </c>
      <c r="AD150" s="323">
        <v>-56</v>
      </c>
      <c r="AH150" s="327">
        <f t="shared" si="22"/>
        <v>850904</v>
      </c>
      <c r="AK150" s="328">
        <f t="shared" si="15"/>
        <v>0</v>
      </c>
      <c r="AL150" s="338" t="s">
        <v>2171</v>
      </c>
      <c r="AM150" s="338"/>
      <c r="AN150" s="393"/>
      <c r="AO150" s="393"/>
      <c r="AP150" s="393"/>
      <c r="AQ150" s="332">
        <f>0.6%+0.06%+0.14%</f>
        <v>0.008</v>
      </c>
      <c r="AR150" s="398">
        <f t="shared" si="24"/>
        <v>850960</v>
      </c>
      <c r="AS150" s="327"/>
      <c r="AT150" s="327"/>
      <c r="AU150" s="327"/>
      <c r="AV150" s="327"/>
      <c r="AW150" s="327"/>
      <c r="AX150" s="327"/>
      <c r="AY150" s="401"/>
      <c r="AZ150" s="405">
        <v>351960</v>
      </c>
      <c r="BA150" s="327">
        <v>499000</v>
      </c>
      <c r="BB150" s="327"/>
      <c r="BC150" s="327"/>
      <c r="BD150" s="327"/>
      <c r="BE150" s="327"/>
      <c r="BW150" s="323" t="s">
        <v>496</v>
      </c>
      <c r="BX150" s="323" t="s">
        <v>506</v>
      </c>
    </row>
    <row r="151" s="323" customFormat="1" customHeight="1" spans="1:76">
      <c r="A151" s="323">
        <v>109</v>
      </c>
      <c r="C151" s="323" t="s">
        <v>1344</v>
      </c>
      <c r="D151" s="343" t="s">
        <v>2172</v>
      </c>
      <c r="F151" s="435" t="s">
        <v>2173</v>
      </c>
      <c r="G151" s="340" t="s">
        <v>2174</v>
      </c>
      <c r="H151" s="837" t="s">
        <v>2175</v>
      </c>
      <c r="I151" s="361" t="s">
        <v>2176</v>
      </c>
      <c r="J151" s="323">
        <v>142.14</v>
      </c>
      <c r="K151" s="323">
        <v>142.14</v>
      </c>
      <c r="L151" s="323">
        <v>6246.42</v>
      </c>
      <c r="M151" s="366">
        <v>887866</v>
      </c>
      <c r="N151" s="367"/>
      <c r="O151" s="368">
        <v>814555.96</v>
      </c>
      <c r="P151" s="369" t="s">
        <v>2177</v>
      </c>
      <c r="Q151" s="369" t="s">
        <v>2178</v>
      </c>
      <c r="R151" s="327"/>
      <c r="S151" s="378"/>
      <c r="T151" s="381" t="s">
        <v>2179</v>
      </c>
      <c r="U151" s="378" t="s">
        <v>2180</v>
      </c>
      <c r="V151" s="327">
        <v>167866</v>
      </c>
      <c r="W151" s="384" t="s">
        <v>1344</v>
      </c>
      <c r="X151" s="327">
        <v>270000</v>
      </c>
      <c r="Y151" s="384" t="s">
        <v>1476</v>
      </c>
      <c r="Z151" s="327">
        <v>450000</v>
      </c>
      <c r="AA151" s="378" t="s">
        <v>1735</v>
      </c>
      <c r="AB151" s="327"/>
      <c r="AH151" s="327">
        <f t="shared" si="22"/>
        <v>887866</v>
      </c>
      <c r="AK151" s="328">
        <f t="shared" si="15"/>
        <v>0</v>
      </c>
      <c r="AL151" s="338" t="s">
        <v>2181</v>
      </c>
      <c r="AM151" s="338"/>
      <c r="AN151" s="393"/>
      <c r="AO151" s="393"/>
      <c r="AP151" s="393"/>
      <c r="AQ151" s="332">
        <f>0.4%+0.04%+0.1%</f>
        <v>0.0054</v>
      </c>
      <c r="AR151" s="398">
        <f t="shared" si="24"/>
        <v>887866</v>
      </c>
      <c r="AS151" s="327">
        <f>100</f>
        <v>100</v>
      </c>
      <c r="AT151" s="327">
        <v>100</v>
      </c>
      <c r="AU151" s="327"/>
      <c r="AV151" s="327"/>
      <c r="AW151" s="327">
        <v>437866</v>
      </c>
      <c r="AX151" s="327"/>
      <c r="AY151" s="401"/>
      <c r="AZ151" s="402"/>
      <c r="BA151" s="327">
        <v>450000</v>
      </c>
      <c r="BB151" s="327"/>
      <c r="BC151" s="327"/>
      <c r="BD151" s="327"/>
      <c r="BE151" s="327"/>
      <c r="BW151" s="323" t="s">
        <v>496</v>
      </c>
      <c r="BX151" s="323" t="s">
        <v>506</v>
      </c>
    </row>
    <row r="152" s="323" customFormat="1" customHeight="1" spans="1:76">
      <c r="A152" s="323">
        <v>110</v>
      </c>
      <c r="C152" s="323" t="s">
        <v>2182</v>
      </c>
      <c r="D152" s="323">
        <v>20230004274</v>
      </c>
      <c r="F152" s="338" t="s">
        <v>2183</v>
      </c>
      <c r="G152" s="340" t="s">
        <v>2184</v>
      </c>
      <c r="H152" s="838" t="s">
        <v>2185</v>
      </c>
      <c r="I152" s="364" t="s">
        <v>2186</v>
      </c>
      <c r="J152" s="323">
        <v>151.48</v>
      </c>
      <c r="K152" s="323">
        <v>151.48</v>
      </c>
      <c r="L152" s="323">
        <v>6230</v>
      </c>
      <c r="M152" s="326">
        <f>-62+943783</f>
        <v>943721</v>
      </c>
      <c r="N152" s="327">
        <v>6168.42</v>
      </c>
      <c r="O152" s="328">
        <v>865799.08</v>
      </c>
      <c r="P152" s="363" t="s">
        <v>2187</v>
      </c>
      <c r="Q152" s="369" t="s">
        <v>1775</v>
      </c>
      <c r="R152" s="327"/>
      <c r="S152" s="330"/>
      <c r="T152" s="342" t="s">
        <v>2188</v>
      </c>
      <c r="U152" s="342" t="s">
        <v>2188</v>
      </c>
      <c r="V152" s="327">
        <v>20000</v>
      </c>
      <c r="W152" s="380" t="s">
        <v>1866</v>
      </c>
      <c r="X152" s="327">
        <v>93783</v>
      </c>
      <c r="Y152" s="384" t="s">
        <v>2182</v>
      </c>
      <c r="Z152" s="327">
        <v>80000</v>
      </c>
      <c r="AA152" s="384" t="s">
        <v>1248</v>
      </c>
      <c r="AB152" s="327">
        <v>33000</v>
      </c>
      <c r="AC152" s="380" t="s">
        <v>1248</v>
      </c>
      <c r="AD152" s="327">
        <v>717000</v>
      </c>
      <c r="AE152" s="330" t="s">
        <v>2090</v>
      </c>
      <c r="AF152" s="342">
        <v>-62</v>
      </c>
      <c r="AG152" s="380"/>
      <c r="AH152" s="327">
        <f t="shared" si="22"/>
        <v>943721</v>
      </c>
      <c r="AK152" s="328">
        <f t="shared" si="15"/>
        <v>0</v>
      </c>
      <c r="AL152" s="338" t="s">
        <v>2189</v>
      </c>
      <c r="AM152" s="338"/>
      <c r="AN152" s="392"/>
      <c r="AO152" s="392"/>
      <c r="AP152" s="392"/>
      <c r="AQ152" s="332">
        <f>0.6%+0.05%+0.14%+0.06%</f>
        <v>0.0085</v>
      </c>
      <c r="AR152" s="398">
        <f t="shared" si="24"/>
        <v>943783</v>
      </c>
      <c r="AS152" s="327"/>
      <c r="AT152" s="327"/>
      <c r="AU152" s="327"/>
      <c r="AV152" s="327"/>
      <c r="AW152" s="327"/>
      <c r="AX152" s="327"/>
      <c r="AY152" s="401"/>
      <c r="AZ152" s="405">
        <v>226783</v>
      </c>
      <c r="BA152" s="327"/>
      <c r="BB152" s="327">
        <v>717000</v>
      </c>
      <c r="BC152" s="327"/>
      <c r="BD152" s="327"/>
      <c r="BE152" s="327"/>
      <c r="BW152" s="323" t="s">
        <v>496</v>
      </c>
      <c r="BX152" s="323" t="s">
        <v>506</v>
      </c>
    </row>
    <row r="153" s="172" customFormat="1" customHeight="1" spans="6:85">
      <c r="F153" s="415"/>
      <c r="G153" s="416"/>
      <c r="H153" s="416"/>
      <c r="I153" s="443" t="s">
        <v>2190</v>
      </c>
      <c r="J153" s="172">
        <v>22.24</v>
      </c>
      <c r="M153" s="357"/>
      <c r="N153" s="358"/>
      <c r="O153" s="359"/>
      <c r="P153" s="444"/>
      <c r="Q153" s="369"/>
      <c r="R153" s="358"/>
      <c r="S153" s="377"/>
      <c r="T153" s="377"/>
      <c r="U153" s="377"/>
      <c r="V153" s="358"/>
      <c r="W153" s="423"/>
      <c r="X153" s="358"/>
      <c r="Y153" s="387"/>
      <c r="Z153" s="358"/>
      <c r="AA153" s="387"/>
      <c r="AB153" s="358"/>
      <c r="AC153" s="423"/>
      <c r="AD153" s="423"/>
      <c r="AE153" s="423"/>
      <c r="AF153" s="423"/>
      <c r="AG153" s="423"/>
      <c r="AH153" s="358">
        <f t="shared" si="22"/>
        <v>0</v>
      </c>
      <c r="AK153" s="359">
        <f t="shared" ref="AK153:AK177" si="26">M153-AH153</f>
        <v>0</v>
      </c>
      <c r="AL153" s="415"/>
      <c r="AM153" s="415"/>
      <c r="AN153" s="455"/>
      <c r="AO153" s="455"/>
      <c r="AP153" s="455"/>
      <c r="AQ153" s="430"/>
      <c r="AR153" s="397">
        <f t="shared" si="24"/>
        <v>0</v>
      </c>
      <c r="AS153" s="358"/>
      <c r="AT153" s="358"/>
      <c r="AU153" s="358"/>
      <c r="AV153" s="358"/>
      <c r="AW153" s="358"/>
      <c r="AX153" s="358"/>
      <c r="AY153" s="215"/>
      <c r="AZ153" s="432"/>
      <c r="BA153" s="358"/>
      <c r="BB153" s="358"/>
      <c r="BC153" s="358"/>
      <c r="BD153" s="358"/>
      <c r="BE153" s="358"/>
      <c r="CG153" s="137"/>
    </row>
    <row r="154" s="172" customFormat="1" customHeight="1" spans="6:85">
      <c r="F154" s="415"/>
      <c r="G154" s="416"/>
      <c r="H154" s="416"/>
      <c r="I154" s="443" t="s">
        <v>2191</v>
      </c>
      <c r="J154" s="172">
        <v>19.83</v>
      </c>
      <c r="M154" s="357"/>
      <c r="N154" s="358"/>
      <c r="O154" s="359"/>
      <c r="P154" s="444"/>
      <c r="Q154" s="452"/>
      <c r="R154" s="358"/>
      <c r="S154" s="377"/>
      <c r="T154" s="377"/>
      <c r="U154" s="377"/>
      <c r="V154" s="358"/>
      <c r="W154" s="423"/>
      <c r="X154" s="358"/>
      <c r="Y154" s="387"/>
      <c r="Z154" s="358"/>
      <c r="AA154" s="387"/>
      <c r="AB154" s="358"/>
      <c r="AC154" s="423"/>
      <c r="AD154" s="423"/>
      <c r="AE154" s="423"/>
      <c r="AF154" s="423"/>
      <c r="AG154" s="423"/>
      <c r="AH154" s="358">
        <f t="shared" si="22"/>
        <v>0</v>
      </c>
      <c r="AK154" s="359">
        <f t="shared" si="26"/>
        <v>0</v>
      </c>
      <c r="AL154" s="415"/>
      <c r="AM154" s="415"/>
      <c r="AN154" s="455"/>
      <c r="AO154" s="455"/>
      <c r="AP154" s="455"/>
      <c r="AQ154" s="430"/>
      <c r="AR154" s="397">
        <f t="shared" si="24"/>
        <v>0</v>
      </c>
      <c r="AS154" s="358"/>
      <c r="AT154" s="358"/>
      <c r="AU154" s="358"/>
      <c r="AV154" s="358"/>
      <c r="AW154" s="358"/>
      <c r="AX154" s="358"/>
      <c r="AY154" s="215"/>
      <c r="AZ154" s="432"/>
      <c r="BA154" s="358"/>
      <c r="BB154" s="358"/>
      <c r="BC154" s="358"/>
      <c r="BD154" s="358"/>
      <c r="BE154" s="358"/>
      <c r="CG154" s="137"/>
    </row>
    <row r="155" s="172" customFormat="1" customHeight="1" spans="6:85">
      <c r="F155" s="415"/>
      <c r="G155" s="416"/>
      <c r="H155" s="416"/>
      <c r="I155" s="443" t="s">
        <v>2192</v>
      </c>
      <c r="J155" s="172">
        <v>4.39</v>
      </c>
      <c r="M155" s="357"/>
      <c r="N155" s="358"/>
      <c r="O155" s="359"/>
      <c r="P155" s="444"/>
      <c r="Q155" s="452"/>
      <c r="R155" s="358"/>
      <c r="S155" s="377"/>
      <c r="T155" s="377"/>
      <c r="U155" s="377"/>
      <c r="V155" s="358"/>
      <c r="W155" s="423"/>
      <c r="X155" s="358"/>
      <c r="Y155" s="387"/>
      <c r="Z155" s="358"/>
      <c r="AA155" s="387"/>
      <c r="AB155" s="358"/>
      <c r="AC155" s="423"/>
      <c r="AD155" s="423"/>
      <c r="AE155" s="423"/>
      <c r="AF155" s="423"/>
      <c r="AG155" s="423"/>
      <c r="AH155" s="358">
        <f t="shared" si="22"/>
        <v>0</v>
      </c>
      <c r="AK155" s="359">
        <f t="shared" si="26"/>
        <v>0</v>
      </c>
      <c r="AL155" s="415"/>
      <c r="AM155" s="415"/>
      <c r="AN155" s="455"/>
      <c r="AO155" s="455"/>
      <c r="AP155" s="455"/>
      <c r="AQ155" s="430"/>
      <c r="AR155" s="397">
        <f t="shared" si="24"/>
        <v>0</v>
      </c>
      <c r="AS155" s="358"/>
      <c r="AT155" s="358"/>
      <c r="AU155" s="358"/>
      <c r="AV155" s="358"/>
      <c r="AW155" s="358"/>
      <c r="AX155" s="358"/>
      <c r="AY155" s="215"/>
      <c r="AZ155" s="432"/>
      <c r="BA155" s="358"/>
      <c r="BB155" s="358"/>
      <c r="BC155" s="358"/>
      <c r="BD155" s="358"/>
      <c r="BE155" s="358"/>
      <c r="CG155" s="137"/>
    </row>
    <row r="156" s="172" customFormat="1" customHeight="1" spans="6:85">
      <c r="F156" s="415"/>
      <c r="G156" s="416"/>
      <c r="H156" s="416"/>
      <c r="I156" s="443" t="s">
        <v>2193</v>
      </c>
      <c r="J156" s="172">
        <v>14.85</v>
      </c>
      <c r="L156" s="172">
        <v>2281.48</v>
      </c>
      <c r="M156" s="357">
        <v>33880</v>
      </c>
      <c r="N156" s="358"/>
      <c r="O156" s="359"/>
      <c r="P156" s="444"/>
      <c r="Q156" s="452"/>
      <c r="R156" s="358"/>
      <c r="S156" s="377"/>
      <c r="T156" s="377"/>
      <c r="U156" s="377"/>
      <c r="V156" s="358"/>
      <c r="W156" s="423"/>
      <c r="X156" s="358"/>
      <c r="Y156" s="387"/>
      <c r="Z156" s="358"/>
      <c r="AA156" s="387"/>
      <c r="AB156" s="358"/>
      <c r="AC156" s="423"/>
      <c r="AD156" s="423"/>
      <c r="AE156" s="423"/>
      <c r="AF156" s="423"/>
      <c r="AG156" s="423"/>
      <c r="AH156" s="358">
        <f t="shared" si="22"/>
        <v>0</v>
      </c>
      <c r="AK156" s="359">
        <f t="shared" si="26"/>
        <v>33880</v>
      </c>
      <c r="AL156" s="415"/>
      <c r="AM156" s="415"/>
      <c r="AN156" s="455"/>
      <c r="AO156" s="455"/>
      <c r="AP156" s="455"/>
      <c r="AQ156" s="430"/>
      <c r="AR156" s="397">
        <f t="shared" si="24"/>
        <v>0</v>
      </c>
      <c r="AS156" s="358"/>
      <c r="AT156" s="358"/>
      <c r="AU156" s="358"/>
      <c r="AV156" s="358"/>
      <c r="AW156" s="358"/>
      <c r="AX156" s="358"/>
      <c r="AY156" s="215"/>
      <c r="AZ156" s="432"/>
      <c r="BA156" s="358"/>
      <c r="BB156" s="358"/>
      <c r="BC156" s="358"/>
      <c r="BD156" s="358"/>
      <c r="BE156" s="358"/>
      <c r="CG156" s="137"/>
    </row>
    <row r="157" s="172" customFormat="1" customHeight="1" spans="6:85">
      <c r="F157" s="415"/>
      <c r="G157" s="416" t="s">
        <v>2194</v>
      </c>
      <c r="H157" s="416"/>
      <c r="I157" s="443" t="s">
        <v>2195</v>
      </c>
      <c r="J157" s="172">
        <v>14.5</v>
      </c>
      <c r="L157" s="172">
        <v>2281.38</v>
      </c>
      <c r="M157" s="357">
        <v>33080</v>
      </c>
      <c r="N157" s="358"/>
      <c r="O157" s="359"/>
      <c r="P157" s="444"/>
      <c r="Q157" s="452"/>
      <c r="R157" s="358"/>
      <c r="S157" s="377"/>
      <c r="T157" s="377"/>
      <c r="U157" s="377"/>
      <c r="V157" s="358">
        <v>2000</v>
      </c>
      <c r="W157" s="377">
        <v>45540</v>
      </c>
      <c r="X157" s="358">
        <v>31080</v>
      </c>
      <c r="Y157" s="387">
        <v>45542</v>
      </c>
      <c r="Z157" s="358"/>
      <c r="AA157" s="387"/>
      <c r="AB157" s="358"/>
      <c r="AC157" s="423"/>
      <c r="AD157" s="423"/>
      <c r="AE157" s="423"/>
      <c r="AF157" s="423"/>
      <c r="AG157" s="423"/>
      <c r="AH157" s="358">
        <f t="shared" si="22"/>
        <v>33080</v>
      </c>
      <c r="AK157" s="359">
        <f t="shared" si="26"/>
        <v>0</v>
      </c>
      <c r="AL157" s="415"/>
      <c r="AM157" s="415"/>
      <c r="AN157" s="455"/>
      <c r="AO157" s="455"/>
      <c r="AP157" s="455"/>
      <c r="AQ157" s="396">
        <v>0.02</v>
      </c>
      <c r="AR157" s="397">
        <f t="shared" si="24"/>
        <v>33080</v>
      </c>
      <c r="AS157" s="358"/>
      <c r="AT157" s="358"/>
      <c r="AU157" s="358"/>
      <c r="AV157" s="358"/>
      <c r="AW157" s="358"/>
      <c r="AX157" s="358"/>
      <c r="AY157" s="215"/>
      <c r="AZ157" s="433"/>
      <c r="BA157" s="358"/>
      <c r="BB157" s="358"/>
      <c r="BC157" s="358"/>
      <c r="BD157" s="358"/>
      <c r="BE157" s="358"/>
      <c r="BN157" s="172">
        <v>33080</v>
      </c>
      <c r="CG157" s="137"/>
    </row>
    <row r="158" s="172" customFormat="1" customHeight="1" spans="6:85">
      <c r="F158" s="415"/>
      <c r="G158" s="416" t="s">
        <v>2196</v>
      </c>
      <c r="H158" s="416"/>
      <c r="I158" s="443" t="s">
        <v>2197</v>
      </c>
      <c r="J158" s="172">
        <v>23.61</v>
      </c>
      <c r="L158" s="172">
        <v>2282.08</v>
      </c>
      <c r="M158" s="357">
        <v>53880</v>
      </c>
      <c r="N158" s="358"/>
      <c r="O158" s="359"/>
      <c r="P158" s="444"/>
      <c r="Q158" s="452"/>
      <c r="R158" s="358"/>
      <c r="S158" s="377"/>
      <c r="T158" s="377"/>
      <c r="U158" s="377"/>
      <c r="V158" s="358">
        <v>2000</v>
      </c>
      <c r="W158" s="377">
        <v>45537</v>
      </c>
      <c r="X158" s="358">
        <v>51880</v>
      </c>
      <c r="Y158" s="387">
        <v>45548</v>
      </c>
      <c r="Z158" s="358"/>
      <c r="AA158" s="387"/>
      <c r="AB158" s="358"/>
      <c r="AC158" s="423"/>
      <c r="AD158" s="423"/>
      <c r="AE158" s="423"/>
      <c r="AF158" s="423"/>
      <c r="AG158" s="423"/>
      <c r="AH158" s="358">
        <f t="shared" si="22"/>
        <v>53880</v>
      </c>
      <c r="AK158" s="359">
        <f t="shared" si="26"/>
        <v>0</v>
      </c>
      <c r="AL158" s="415"/>
      <c r="AM158" s="415"/>
      <c r="AN158" s="455"/>
      <c r="AO158" s="455"/>
      <c r="AP158" s="455"/>
      <c r="AQ158" s="396">
        <v>0.02</v>
      </c>
      <c r="AR158" s="397">
        <f t="shared" si="24"/>
        <v>53880</v>
      </c>
      <c r="AS158" s="358"/>
      <c r="AT158" s="358"/>
      <c r="AU158" s="358"/>
      <c r="AV158" s="358"/>
      <c r="AW158" s="358"/>
      <c r="AX158" s="358"/>
      <c r="AY158" s="215"/>
      <c r="AZ158" s="432"/>
      <c r="BA158" s="358"/>
      <c r="BB158" s="358"/>
      <c r="BC158" s="358"/>
      <c r="BD158" s="358"/>
      <c r="BE158" s="358"/>
      <c r="BN158" s="172">
        <v>53880</v>
      </c>
      <c r="CG158" s="137"/>
    </row>
    <row r="159" s="172" customFormat="1" customHeight="1" spans="6:85">
      <c r="F159" s="415"/>
      <c r="G159" s="416"/>
      <c r="H159" s="416"/>
      <c r="I159" s="443" t="s">
        <v>2198</v>
      </c>
      <c r="J159" s="172">
        <v>59.62</v>
      </c>
      <c r="M159" s="357"/>
      <c r="N159" s="358"/>
      <c r="O159" s="359"/>
      <c r="P159" s="444"/>
      <c r="Q159" s="452"/>
      <c r="R159" s="358"/>
      <c r="S159" s="377"/>
      <c r="T159" s="377"/>
      <c r="U159" s="377"/>
      <c r="V159" s="358"/>
      <c r="W159" s="423"/>
      <c r="X159" s="358"/>
      <c r="Y159" s="387"/>
      <c r="Z159" s="358"/>
      <c r="AA159" s="387"/>
      <c r="AB159" s="358"/>
      <c r="AC159" s="423"/>
      <c r="AD159" s="423"/>
      <c r="AE159" s="423"/>
      <c r="AF159" s="423"/>
      <c r="AG159" s="423"/>
      <c r="AH159" s="358">
        <f t="shared" si="22"/>
        <v>0</v>
      </c>
      <c r="AK159" s="359">
        <f t="shared" si="26"/>
        <v>0</v>
      </c>
      <c r="AL159" s="415"/>
      <c r="AM159" s="415"/>
      <c r="AN159" s="455"/>
      <c r="AO159" s="455"/>
      <c r="AP159" s="455"/>
      <c r="AQ159" s="396">
        <v>0.02</v>
      </c>
      <c r="AR159" s="397">
        <f t="shared" si="24"/>
        <v>0</v>
      </c>
      <c r="AS159" s="358"/>
      <c r="AT159" s="358"/>
      <c r="AU159" s="358"/>
      <c r="AV159" s="358"/>
      <c r="AW159" s="358"/>
      <c r="AX159" s="358"/>
      <c r="AY159" s="215"/>
      <c r="AZ159" s="432"/>
      <c r="BA159" s="358"/>
      <c r="BB159" s="358"/>
      <c r="BC159" s="358"/>
      <c r="BD159" s="358"/>
      <c r="BE159" s="358"/>
      <c r="CG159" s="137"/>
    </row>
    <row r="160" s="172" customFormat="1" customHeight="1" spans="6:85">
      <c r="F160" s="415"/>
      <c r="G160" s="416"/>
      <c r="H160" s="416"/>
      <c r="I160" s="443" t="s">
        <v>2199</v>
      </c>
      <c r="J160" s="172">
        <v>57.73</v>
      </c>
      <c r="M160" s="357"/>
      <c r="N160" s="358"/>
      <c r="O160" s="359"/>
      <c r="P160" s="444"/>
      <c r="Q160" s="452"/>
      <c r="R160" s="358"/>
      <c r="S160" s="377"/>
      <c r="T160" s="377"/>
      <c r="U160" s="377"/>
      <c r="V160" s="358"/>
      <c r="W160" s="423"/>
      <c r="X160" s="358"/>
      <c r="Y160" s="387"/>
      <c r="Z160" s="358"/>
      <c r="AA160" s="387"/>
      <c r="AB160" s="358"/>
      <c r="AC160" s="423"/>
      <c r="AD160" s="423"/>
      <c r="AE160" s="423"/>
      <c r="AF160" s="423"/>
      <c r="AG160" s="423"/>
      <c r="AH160" s="358">
        <f t="shared" si="22"/>
        <v>0</v>
      </c>
      <c r="AK160" s="359">
        <f t="shared" si="26"/>
        <v>0</v>
      </c>
      <c r="AL160" s="415"/>
      <c r="AM160" s="415"/>
      <c r="AN160" s="455"/>
      <c r="AO160" s="455"/>
      <c r="AP160" s="455"/>
      <c r="AQ160" s="396">
        <v>0.02</v>
      </c>
      <c r="AR160" s="397">
        <f t="shared" si="24"/>
        <v>0</v>
      </c>
      <c r="AS160" s="358"/>
      <c r="AT160" s="358"/>
      <c r="AU160" s="358"/>
      <c r="AV160" s="358"/>
      <c r="AW160" s="358"/>
      <c r="AX160" s="358"/>
      <c r="AY160" s="215"/>
      <c r="AZ160" s="433"/>
      <c r="BA160" s="358"/>
      <c r="BB160" s="358"/>
      <c r="BC160" s="358"/>
      <c r="BD160" s="358"/>
      <c r="BE160" s="358"/>
      <c r="CG160" s="137"/>
    </row>
    <row r="161" s="172" customFormat="1" customHeight="1" spans="6:85">
      <c r="F161" s="415"/>
      <c r="G161" s="416"/>
      <c r="H161" s="416"/>
      <c r="I161" s="443" t="s">
        <v>2200</v>
      </c>
      <c r="J161" s="172">
        <v>14.5</v>
      </c>
      <c r="L161" s="172">
        <v>2281.38</v>
      </c>
      <c r="M161" s="357">
        <v>33080</v>
      </c>
      <c r="N161" s="358"/>
      <c r="O161" s="359"/>
      <c r="P161" s="444"/>
      <c r="Q161" s="452"/>
      <c r="R161" s="358"/>
      <c r="S161" s="377"/>
      <c r="T161" s="377"/>
      <c r="U161" s="377"/>
      <c r="V161" s="358"/>
      <c r="W161" s="423"/>
      <c r="X161" s="358"/>
      <c r="Y161" s="387"/>
      <c r="Z161" s="358"/>
      <c r="AA161" s="387"/>
      <c r="AB161" s="358"/>
      <c r="AC161" s="423"/>
      <c r="AD161" s="423"/>
      <c r="AE161" s="423"/>
      <c r="AF161" s="423"/>
      <c r="AG161" s="423"/>
      <c r="AH161" s="358">
        <f t="shared" ref="AH161:AH192" si="27">V161+X161+Z161+AB161+AD161+AF161</f>
        <v>0</v>
      </c>
      <c r="AK161" s="359">
        <f t="shared" si="26"/>
        <v>33080</v>
      </c>
      <c r="AL161" s="415"/>
      <c r="AM161" s="415"/>
      <c r="AN161" s="455"/>
      <c r="AO161" s="455"/>
      <c r="AP161" s="455"/>
      <c r="AQ161" s="396">
        <v>0.02</v>
      </c>
      <c r="AR161" s="397">
        <f t="shared" si="24"/>
        <v>0</v>
      </c>
      <c r="AS161" s="358"/>
      <c r="AT161" s="358"/>
      <c r="AU161" s="358"/>
      <c r="AV161" s="358"/>
      <c r="AW161" s="358"/>
      <c r="AX161" s="358"/>
      <c r="AY161" s="215"/>
      <c r="AZ161" s="432"/>
      <c r="BA161" s="358"/>
      <c r="BB161" s="358"/>
      <c r="BC161" s="358"/>
      <c r="BD161" s="358"/>
      <c r="BE161" s="358"/>
      <c r="CG161" s="137"/>
    </row>
    <row r="162" s="172" customFormat="1" customHeight="1" spans="6:85">
      <c r="F162" s="415"/>
      <c r="G162" s="416" t="s">
        <v>2103</v>
      </c>
      <c r="H162" s="416"/>
      <c r="I162" s="443" t="s">
        <v>2201</v>
      </c>
      <c r="J162" s="172">
        <v>14.87</v>
      </c>
      <c r="L162" s="172">
        <v>2281.1</v>
      </c>
      <c r="M162" s="357">
        <v>33920</v>
      </c>
      <c r="N162" s="358"/>
      <c r="O162" s="359"/>
      <c r="P162" s="444"/>
      <c r="Q162" s="452"/>
      <c r="R162" s="358"/>
      <c r="S162" s="377"/>
      <c r="T162" s="377"/>
      <c r="U162" s="377"/>
      <c r="V162" s="358">
        <v>5000</v>
      </c>
      <c r="W162" s="377">
        <v>45537</v>
      </c>
      <c r="X162" s="358">
        <v>28920</v>
      </c>
      <c r="Y162" s="387">
        <v>45541</v>
      </c>
      <c r="Z162" s="358"/>
      <c r="AA162" s="387"/>
      <c r="AB162" s="358"/>
      <c r="AC162" s="423"/>
      <c r="AD162" s="423"/>
      <c r="AE162" s="423"/>
      <c r="AF162" s="423"/>
      <c r="AG162" s="423"/>
      <c r="AH162" s="358">
        <f t="shared" si="27"/>
        <v>33920</v>
      </c>
      <c r="AK162" s="359">
        <f t="shared" si="26"/>
        <v>0</v>
      </c>
      <c r="AL162" s="415"/>
      <c r="AM162" s="415"/>
      <c r="AN162" s="455"/>
      <c r="AO162" s="455"/>
      <c r="AP162" s="455"/>
      <c r="AQ162" s="396">
        <v>0.02</v>
      </c>
      <c r="AR162" s="397">
        <f t="shared" si="24"/>
        <v>33920</v>
      </c>
      <c r="AS162" s="358"/>
      <c r="AT162" s="358"/>
      <c r="AU162" s="358"/>
      <c r="AV162" s="358"/>
      <c r="AW162" s="358"/>
      <c r="AX162" s="358"/>
      <c r="AY162" s="215"/>
      <c r="AZ162" s="432"/>
      <c r="BA162" s="358"/>
      <c r="BB162" s="358"/>
      <c r="BC162" s="358"/>
      <c r="BD162" s="358"/>
      <c r="BE162" s="358"/>
      <c r="BN162" s="172">
        <v>33920</v>
      </c>
      <c r="CG162" s="137"/>
    </row>
    <row r="163" s="172" customFormat="1" customHeight="1" spans="6:85">
      <c r="F163" s="415"/>
      <c r="G163" s="416" t="s">
        <v>2202</v>
      </c>
      <c r="H163" s="416"/>
      <c r="I163" s="443" t="s">
        <v>2203</v>
      </c>
      <c r="J163" s="172">
        <v>15.11</v>
      </c>
      <c r="L163" s="172">
        <v>2281.93</v>
      </c>
      <c r="M163" s="357">
        <v>34480</v>
      </c>
      <c r="N163" s="358"/>
      <c r="O163" s="359"/>
      <c r="P163" s="444"/>
      <c r="Q163" s="452"/>
      <c r="R163" s="358"/>
      <c r="S163" s="377"/>
      <c r="T163" s="377"/>
      <c r="U163" s="377"/>
      <c r="V163" s="358">
        <v>3000</v>
      </c>
      <c r="W163" s="377">
        <v>45538</v>
      </c>
      <c r="X163" s="358">
        <v>31480</v>
      </c>
      <c r="Y163" s="387">
        <v>45563</v>
      </c>
      <c r="Z163" s="358"/>
      <c r="AA163" s="387"/>
      <c r="AB163" s="358"/>
      <c r="AC163" s="423"/>
      <c r="AD163" s="423"/>
      <c r="AE163" s="423"/>
      <c r="AF163" s="423"/>
      <c r="AG163" s="423"/>
      <c r="AH163" s="358">
        <f t="shared" si="27"/>
        <v>34480</v>
      </c>
      <c r="AK163" s="359">
        <f t="shared" si="26"/>
        <v>0</v>
      </c>
      <c r="AL163" s="415"/>
      <c r="AM163" s="415"/>
      <c r="AN163" s="455"/>
      <c r="AO163" s="455"/>
      <c r="AP163" s="455"/>
      <c r="AQ163" s="396">
        <v>0.02</v>
      </c>
      <c r="AR163" s="397">
        <f t="shared" si="24"/>
        <v>34480</v>
      </c>
      <c r="AS163" s="358"/>
      <c r="AT163" s="358"/>
      <c r="AU163" s="358"/>
      <c r="AV163" s="358"/>
      <c r="AW163" s="358"/>
      <c r="AX163" s="358"/>
      <c r="AY163" s="215"/>
      <c r="AZ163" s="432"/>
      <c r="BA163" s="358"/>
      <c r="BB163" s="358"/>
      <c r="BC163" s="358"/>
      <c r="BD163" s="358"/>
      <c r="BE163" s="358"/>
      <c r="BN163" s="172">
        <v>34480</v>
      </c>
      <c r="CG163" s="137"/>
    </row>
    <row r="164" s="172" customFormat="1" customHeight="1" spans="6:85">
      <c r="F164" s="415"/>
      <c r="G164" s="416" t="s">
        <v>2204</v>
      </c>
      <c r="H164" s="416"/>
      <c r="I164" s="443" t="s">
        <v>2205</v>
      </c>
      <c r="J164" s="172">
        <v>14.5</v>
      </c>
      <c r="L164" s="172">
        <v>2281.38</v>
      </c>
      <c r="M164" s="357">
        <v>33080</v>
      </c>
      <c r="N164" s="358"/>
      <c r="O164" s="359"/>
      <c r="P164" s="444"/>
      <c r="Q164" s="452"/>
      <c r="R164" s="358"/>
      <c r="S164" s="377"/>
      <c r="T164" s="377"/>
      <c r="U164" s="377"/>
      <c r="V164" s="358">
        <f>3000-3000</f>
        <v>0</v>
      </c>
      <c r="W164" s="377" t="s">
        <v>181</v>
      </c>
      <c r="X164" s="358"/>
      <c r="Y164" s="387"/>
      <c r="Z164" s="358"/>
      <c r="AA164" s="387"/>
      <c r="AB164" s="358"/>
      <c r="AC164" s="423"/>
      <c r="AD164" s="423"/>
      <c r="AE164" s="423"/>
      <c r="AF164" s="423"/>
      <c r="AG164" s="423"/>
      <c r="AH164" s="358">
        <f t="shared" si="27"/>
        <v>0</v>
      </c>
      <c r="AK164" s="359">
        <f t="shared" si="26"/>
        <v>33080</v>
      </c>
      <c r="AL164" s="415"/>
      <c r="AM164" s="415"/>
      <c r="AN164" s="455"/>
      <c r="AO164" s="455"/>
      <c r="AP164" s="455"/>
      <c r="AQ164" s="396">
        <v>0.02</v>
      </c>
      <c r="AR164" s="397">
        <f t="shared" si="24"/>
        <v>0</v>
      </c>
      <c r="AS164" s="358"/>
      <c r="AT164" s="358"/>
      <c r="AU164" s="358"/>
      <c r="AV164" s="358"/>
      <c r="AW164" s="358"/>
      <c r="AX164" s="358"/>
      <c r="AY164" s="215"/>
      <c r="AZ164" s="432"/>
      <c r="BA164" s="358"/>
      <c r="BB164" s="358"/>
      <c r="BC164" s="358"/>
      <c r="BD164" s="358"/>
      <c r="BE164" s="358"/>
      <c r="CG164" s="137"/>
    </row>
    <row r="165" s="172" customFormat="1" customHeight="1" spans="6:85">
      <c r="F165" s="415"/>
      <c r="G165" s="416"/>
      <c r="H165" s="416"/>
      <c r="I165" s="443" t="s">
        <v>2206</v>
      </c>
      <c r="J165" s="172">
        <v>57.73</v>
      </c>
      <c r="M165" s="357"/>
      <c r="N165" s="358"/>
      <c r="O165" s="359"/>
      <c r="P165" s="444"/>
      <c r="Q165" s="452"/>
      <c r="R165" s="358"/>
      <c r="S165" s="377"/>
      <c r="T165" s="377"/>
      <c r="U165" s="377"/>
      <c r="V165" s="358"/>
      <c r="W165" s="423"/>
      <c r="X165" s="358"/>
      <c r="Y165" s="387"/>
      <c r="Z165" s="358"/>
      <c r="AA165" s="387"/>
      <c r="AB165" s="358"/>
      <c r="AC165" s="423"/>
      <c r="AD165" s="423"/>
      <c r="AE165" s="423"/>
      <c r="AF165" s="423"/>
      <c r="AG165" s="423"/>
      <c r="AH165" s="358">
        <f t="shared" si="27"/>
        <v>0</v>
      </c>
      <c r="AK165" s="359">
        <f t="shared" si="26"/>
        <v>0</v>
      </c>
      <c r="AL165" s="415"/>
      <c r="AM165" s="415"/>
      <c r="AN165" s="455"/>
      <c r="AO165" s="455"/>
      <c r="AP165" s="455"/>
      <c r="AQ165" s="396">
        <v>0.02</v>
      </c>
      <c r="AR165" s="397">
        <f t="shared" si="24"/>
        <v>0</v>
      </c>
      <c r="AS165" s="358"/>
      <c r="AT165" s="358"/>
      <c r="AU165" s="358"/>
      <c r="AV165" s="358"/>
      <c r="AW165" s="358"/>
      <c r="AX165" s="358"/>
      <c r="AY165" s="215"/>
      <c r="AZ165" s="432"/>
      <c r="BA165" s="358"/>
      <c r="BB165" s="358"/>
      <c r="BC165" s="358"/>
      <c r="BD165" s="358"/>
      <c r="BE165" s="358"/>
      <c r="CG165" s="137"/>
    </row>
    <row r="166" s="172" customFormat="1" customHeight="1" spans="6:85">
      <c r="F166" s="415"/>
      <c r="G166" s="416"/>
      <c r="H166" s="416"/>
      <c r="I166" s="443" t="s">
        <v>2207</v>
      </c>
      <c r="J166" s="172">
        <v>59.86</v>
      </c>
      <c r="M166" s="357"/>
      <c r="N166" s="358"/>
      <c r="O166" s="359"/>
      <c r="P166" s="444"/>
      <c r="Q166" s="452"/>
      <c r="R166" s="358"/>
      <c r="S166" s="377"/>
      <c r="T166" s="377"/>
      <c r="U166" s="377"/>
      <c r="V166" s="358"/>
      <c r="W166" s="423"/>
      <c r="X166" s="358"/>
      <c r="Y166" s="387"/>
      <c r="Z166" s="358"/>
      <c r="AA166" s="387"/>
      <c r="AB166" s="358"/>
      <c r="AC166" s="423"/>
      <c r="AD166" s="423"/>
      <c r="AE166" s="423"/>
      <c r="AF166" s="423"/>
      <c r="AG166" s="423"/>
      <c r="AH166" s="358">
        <f t="shared" si="27"/>
        <v>0</v>
      </c>
      <c r="AK166" s="359">
        <f t="shared" si="26"/>
        <v>0</v>
      </c>
      <c r="AL166" s="415"/>
      <c r="AM166" s="415"/>
      <c r="AN166" s="455"/>
      <c r="AO166" s="455"/>
      <c r="AP166" s="455"/>
      <c r="AQ166" s="396">
        <v>0.02</v>
      </c>
      <c r="AR166" s="397">
        <f t="shared" si="24"/>
        <v>0</v>
      </c>
      <c r="AS166" s="358"/>
      <c r="AT166" s="358"/>
      <c r="AU166" s="358"/>
      <c r="AV166" s="358"/>
      <c r="AW166" s="358"/>
      <c r="AX166" s="358"/>
      <c r="AY166" s="215"/>
      <c r="AZ166" s="432"/>
      <c r="BA166" s="358"/>
      <c r="BB166" s="358"/>
      <c r="BC166" s="358"/>
      <c r="BD166" s="358"/>
      <c r="BE166" s="358"/>
      <c r="CG166" s="137"/>
    </row>
    <row r="167" s="172" customFormat="1" customHeight="1" spans="6:85">
      <c r="F167" s="415"/>
      <c r="G167" s="416" t="s">
        <v>2208</v>
      </c>
      <c r="H167" s="416"/>
      <c r="I167" s="443" t="s">
        <v>2209</v>
      </c>
      <c r="J167" s="172">
        <v>23.61</v>
      </c>
      <c r="L167" s="172">
        <v>2282.08</v>
      </c>
      <c r="M167" s="357">
        <v>53880</v>
      </c>
      <c r="N167" s="358"/>
      <c r="O167" s="359"/>
      <c r="P167" s="444"/>
      <c r="Q167" s="452"/>
      <c r="R167" s="358"/>
      <c r="S167" s="377"/>
      <c r="T167" s="377"/>
      <c r="U167" s="377"/>
      <c r="V167" s="358">
        <v>2000</v>
      </c>
      <c r="W167" s="377">
        <v>45537</v>
      </c>
      <c r="X167" s="358">
        <v>51880</v>
      </c>
      <c r="Y167" s="387">
        <v>45548</v>
      </c>
      <c r="Z167" s="358"/>
      <c r="AA167" s="387"/>
      <c r="AB167" s="358"/>
      <c r="AC167" s="423"/>
      <c r="AD167" s="423"/>
      <c r="AE167" s="423"/>
      <c r="AF167" s="423"/>
      <c r="AG167" s="423"/>
      <c r="AH167" s="358">
        <f t="shared" si="27"/>
        <v>53880</v>
      </c>
      <c r="AK167" s="359">
        <f t="shared" si="26"/>
        <v>0</v>
      </c>
      <c r="AL167" s="415"/>
      <c r="AM167" s="415"/>
      <c r="AN167" s="455"/>
      <c r="AO167" s="455"/>
      <c r="AP167" s="455"/>
      <c r="AQ167" s="396">
        <v>0.02</v>
      </c>
      <c r="AR167" s="397">
        <f t="shared" si="24"/>
        <v>53880</v>
      </c>
      <c r="AS167" s="358"/>
      <c r="AT167" s="358"/>
      <c r="AU167" s="358"/>
      <c r="AV167" s="358"/>
      <c r="AW167" s="358"/>
      <c r="AX167" s="358"/>
      <c r="AY167" s="215"/>
      <c r="AZ167" s="432"/>
      <c r="BA167" s="358"/>
      <c r="BB167" s="358"/>
      <c r="BC167" s="358"/>
      <c r="BD167" s="358"/>
      <c r="BE167" s="358"/>
      <c r="BN167" s="172">
        <v>53880</v>
      </c>
      <c r="CG167" s="137"/>
    </row>
    <row r="168" s="172" customFormat="1" customHeight="1" spans="6:85">
      <c r="F168" s="415"/>
      <c r="G168" s="438" t="s">
        <v>1919</v>
      </c>
      <c r="H168" s="416"/>
      <c r="I168" s="443" t="s">
        <v>2210</v>
      </c>
      <c r="J168" s="172">
        <v>14.5</v>
      </c>
      <c r="L168" s="172">
        <v>2281.38</v>
      </c>
      <c r="M168" s="357">
        <v>33080</v>
      </c>
      <c r="N168" s="358"/>
      <c r="O168" s="359"/>
      <c r="P168" s="444"/>
      <c r="Q168" s="452"/>
      <c r="R168" s="358"/>
      <c r="S168" s="377"/>
      <c r="T168" s="377"/>
      <c r="U168" s="377"/>
      <c r="V168" s="358">
        <v>2000</v>
      </c>
      <c r="W168" s="387">
        <v>45543</v>
      </c>
      <c r="X168" s="358">
        <v>31080</v>
      </c>
      <c r="Y168" s="387">
        <v>45562</v>
      </c>
      <c r="Z168" s="358"/>
      <c r="AA168" s="387"/>
      <c r="AB168" s="358"/>
      <c r="AC168" s="423"/>
      <c r="AD168" s="423"/>
      <c r="AE168" s="423"/>
      <c r="AF168" s="423"/>
      <c r="AG168" s="423"/>
      <c r="AH168" s="358">
        <f t="shared" si="27"/>
        <v>33080</v>
      </c>
      <c r="AK168" s="359">
        <f t="shared" si="26"/>
        <v>0</v>
      </c>
      <c r="AL168" s="415"/>
      <c r="AM168" s="415"/>
      <c r="AN168" s="455"/>
      <c r="AO168" s="455"/>
      <c r="AP168" s="455"/>
      <c r="AQ168" s="396">
        <v>0.02</v>
      </c>
      <c r="AR168" s="397">
        <f t="shared" si="24"/>
        <v>33080</v>
      </c>
      <c r="AS168" s="358"/>
      <c r="AT168" s="358"/>
      <c r="AU168" s="358"/>
      <c r="AV168" s="358"/>
      <c r="AW168" s="358"/>
      <c r="AX168" s="358"/>
      <c r="AY168" s="215"/>
      <c r="AZ168" s="132"/>
      <c r="BA168" s="358"/>
      <c r="BB168" s="358"/>
      <c r="BC168" s="358"/>
      <c r="BD168" s="358"/>
      <c r="BE168" s="358"/>
      <c r="BN168" s="172">
        <v>33080</v>
      </c>
      <c r="CG168" s="137"/>
    </row>
    <row r="169" s="172" customFormat="1" customHeight="1" spans="6:85">
      <c r="F169" s="415"/>
      <c r="G169" s="416" t="s">
        <v>2211</v>
      </c>
      <c r="H169" s="416"/>
      <c r="I169" s="443" t="s">
        <v>2212</v>
      </c>
      <c r="J169" s="172">
        <v>14.85</v>
      </c>
      <c r="L169" s="172">
        <f>M169/J169</f>
        <v>2166.80134680135</v>
      </c>
      <c r="M169" s="357">
        <v>32177</v>
      </c>
      <c r="N169" s="358" t="s">
        <v>2213</v>
      </c>
      <c r="O169" s="359"/>
      <c r="P169" s="444"/>
      <c r="Q169" s="452"/>
      <c r="R169" s="358"/>
      <c r="S169" s="377"/>
      <c r="T169" s="377"/>
      <c r="U169" s="377"/>
      <c r="V169" s="358">
        <v>31880</v>
      </c>
      <c r="W169" s="377" t="s">
        <v>309</v>
      </c>
      <c r="X169" s="358"/>
      <c r="Y169" s="387"/>
      <c r="Z169" s="358"/>
      <c r="AA169" s="387"/>
      <c r="AB169" s="358"/>
      <c r="AC169" s="423"/>
      <c r="AD169" s="423"/>
      <c r="AE169" s="423"/>
      <c r="AF169" s="423"/>
      <c r="AG169" s="423"/>
      <c r="AH169" s="358">
        <f t="shared" si="27"/>
        <v>31880</v>
      </c>
      <c r="AK169" s="359">
        <f t="shared" si="26"/>
        <v>297</v>
      </c>
      <c r="AL169" s="415"/>
      <c r="AM169" s="415"/>
      <c r="AN169" s="455"/>
      <c r="AO169" s="455"/>
      <c r="AP169" s="455"/>
      <c r="AQ169" s="396">
        <v>0.02</v>
      </c>
      <c r="AR169" s="397">
        <f t="shared" si="24"/>
        <v>0</v>
      </c>
      <c r="AS169" s="358"/>
      <c r="AT169" s="358"/>
      <c r="AU169" s="358"/>
      <c r="AV169" s="358"/>
      <c r="AW169" s="358"/>
      <c r="AX169" s="358"/>
      <c r="AY169" s="215"/>
      <c r="AZ169" s="132"/>
      <c r="BA169" s="358"/>
      <c r="BB169" s="358"/>
      <c r="BC169" s="358"/>
      <c r="BD169" s="358"/>
      <c r="BE169" s="358"/>
      <c r="CG169" s="137"/>
    </row>
    <row r="170" s="172" customFormat="1" customHeight="1" spans="6:85">
      <c r="F170" s="415"/>
      <c r="G170" s="416" t="s">
        <v>2214</v>
      </c>
      <c r="H170" s="416"/>
      <c r="I170" s="443" t="s">
        <v>2215</v>
      </c>
      <c r="J170" s="172">
        <v>14.85</v>
      </c>
      <c r="L170" s="172">
        <v>2281.48</v>
      </c>
      <c r="M170" s="357">
        <v>33880</v>
      </c>
      <c r="N170" s="358"/>
      <c r="O170" s="359"/>
      <c r="P170" s="444"/>
      <c r="Q170" s="452"/>
      <c r="R170" s="358">
        <v>28880</v>
      </c>
      <c r="S170" s="377" t="s">
        <v>386</v>
      </c>
      <c r="T170" s="377"/>
      <c r="U170" s="377"/>
      <c r="V170" s="358">
        <v>5000</v>
      </c>
      <c r="W170" s="377">
        <v>45537</v>
      </c>
      <c r="X170" s="358">
        <v>28880</v>
      </c>
      <c r="Y170" s="377" t="s">
        <v>386</v>
      </c>
      <c r="Z170" s="358"/>
      <c r="AA170" s="387"/>
      <c r="AB170" s="358"/>
      <c r="AC170" s="423"/>
      <c r="AD170" s="423"/>
      <c r="AE170" s="423"/>
      <c r="AF170" s="423"/>
      <c r="AG170" s="423"/>
      <c r="AH170" s="358">
        <f t="shared" si="27"/>
        <v>33880</v>
      </c>
      <c r="AK170" s="359">
        <f t="shared" si="26"/>
        <v>0</v>
      </c>
      <c r="AL170" s="415"/>
      <c r="AM170" s="415"/>
      <c r="AN170" s="455"/>
      <c r="AO170" s="455"/>
      <c r="AP170" s="455"/>
      <c r="AQ170" s="396">
        <v>0.02</v>
      </c>
      <c r="AR170" s="397">
        <f t="shared" si="24"/>
        <v>33880</v>
      </c>
      <c r="AS170" s="358"/>
      <c r="AT170" s="358"/>
      <c r="AU170" s="358"/>
      <c r="AV170" s="358"/>
      <c r="AW170" s="358"/>
      <c r="AX170" s="358"/>
      <c r="AY170" s="215"/>
      <c r="AZ170" s="132"/>
      <c r="BA170" s="358"/>
      <c r="BB170" s="358"/>
      <c r="BC170" s="358"/>
      <c r="BD170" s="358"/>
      <c r="BE170" s="358"/>
      <c r="BQ170" s="172">
        <v>33880</v>
      </c>
      <c r="CG170" s="137"/>
    </row>
    <row r="171" s="172" customFormat="1" customHeight="1" spans="6:85">
      <c r="F171" s="415"/>
      <c r="G171" s="416"/>
      <c r="H171" s="416"/>
      <c r="I171" s="443" t="s">
        <v>2216</v>
      </c>
      <c r="J171" s="172">
        <v>14.5</v>
      </c>
      <c r="L171" s="172">
        <v>2281.38</v>
      </c>
      <c r="M171" s="357">
        <v>33080</v>
      </c>
      <c r="N171" s="358"/>
      <c r="O171" s="359"/>
      <c r="P171" s="444"/>
      <c r="Q171" s="452"/>
      <c r="R171" s="358"/>
      <c r="S171" s="377"/>
      <c r="T171" s="377"/>
      <c r="U171" s="377"/>
      <c r="V171" s="358"/>
      <c r="W171" s="423"/>
      <c r="X171" s="358"/>
      <c r="Y171" s="387"/>
      <c r="Z171" s="358"/>
      <c r="AA171" s="387"/>
      <c r="AB171" s="358"/>
      <c r="AC171" s="423"/>
      <c r="AD171" s="423"/>
      <c r="AE171" s="423"/>
      <c r="AF171" s="423"/>
      <c r="AG171" s="423"/>
      <c r="AH171" s="358">
        <f t="shared" si="27"/>
        <v>0</v>
      </c>
      <c r="AK171" s="359">
        <f t="shared" si="26"/>
        <v>33080</v>
      </c>
      <c r="AL171" s="415"/>
      <c r="AM171" s="415"/>
      <c r="AN171" s="455"/>
      <c r="AO171" s="455"/>
      <c r="AP171" s="455"/>
      <c r="AQ171" s="396">
        <v>0.02</v>
      </c>
      <c r="AR171" s="397">
        <f t="shared" si="24"/>
        <v>0</v>
      </c>
      <c r="AS171" s="358"/>
      <c r="AT171" s="358"/>
      <c r="AU171" s="358"/>
      <c r="AV171" s="358"/>
      <c r="AW171" s="358"/>
      <c r="AX171" s="358"/>
      <c r="AY171" s="215"/>
      <c r="AZ171" s="132"/>
      <c r="BA171" s="358"/>
      <c r="BB171" s="358"/>
      <c r="BC171" s="358"/>
      <c r="BD171" s="358"/>
      <c r="BE171" s="358"/>
      <c r="CG171" s="137"/>
    </row>
    <row r="172" s="172" customFormat="1" customHeight="1" spans="6:85">
      <c r="F172" s="415"/>
      <c r="G172" s="416" t="s">
        <v>2217</v>
      </c>
      <c r="H172" s="416"/>
      <c r="I172" s="443" t="s">
        <v>2218</v>
      </c>
      <c r="J172" s="172">
        <v>23.61</v>
      </c>
      <c r="L172" s="172">
        <v>2282.08</v>
      </c>
      <c r="M172" s="357">
        <v>53880</v>
      </c>
      <c r="N172" s="358"/>
      <c r="O172" s="359"/>
      <c r="P172" s="444"/>
      <c r="Q172" s="452"/>
      <c r="R172" s="358"/>
      <c r="S172" s="377"/>
      <c r="T172" s="377"/>
      <c r="U172" s="377"/>
      <c r="V172" s="358">
        <v>2000</v>
      </c>
      <c r="W172" s="377">
        <v>45537</v>
      </c>
      <c r="X172" s="358">
        <v>51880</v>
      </c>
      <c r="Y172" s="387">
        <v>45544</v>
      </c>
      <c r="Z172" s="358"/>
      <c r="AA172" s="387"/>
      <c r="AB172" s="358"/>
      <c r="AC172" s="423"/>
      <c r="AD172" s="423"/>
      <c r="AE172" s="423"/>
      <c r="AF172" s="423"/>
      <c r="AG172" s="423"/>
      <c r="AH172" s="358">
        <f t="shared" si="27"/>
        <v>53880</v>
      </c>
      <c r="AK172" s="359">
        <f t="shared" si="26"/>
        <v>0</v>
      </c>
      <c r="AL172" s="415"/>
      <c r="AM172" s="415"/>
      <c r="AN172" s="455"/>
      <c r="AO172" s="455"/>
      <c r="AP172" s="455"/>
      <c r="AQ172" s="396">
        <v>0.02</v>
      </c>
      <c r="AR172" s="397">
        <f t="shared" si="24"/>
        <v>53880</v>
      </c>
      <c r="AS172" s="358"/>
      <c r="AT172" s="358"/>
      <c r="AU172" s="358"/>
      <c r="AV172" s="358"/>
      <c r="AW172" s="358"/>
      <c r="AX172" s="358"/>
      <c r="AY172" s="215"/>
      <c r="AZ172" s="132"/>
      <c r="BA172" s="358"/>
      <c r="BB172" s="358"/>
      <c r="BC172" s="358"/>
      <c r="BD172" s="358"/>
      <c r="BE172" s="358"/>
      <c r="BN172" s="172">
        <v>53880</v>
      </c>
      <c r="CG172" s="137"/>
    </row>
    <row r="173" s="172" customFormat="1" customHeight="1" spans="6:85">
      <c r="F173" s="415"/>
      <c r="G173" s="416"/>
      <c r="H173" s="416"/>
      <c r="I173" s="443" t="s">
        <v>2219</v>
      </c>
      <c r="J173" s="172">
        <v>59.86</v>
      </c>
      <c r="M173" s="357"/>
      <c r="N173" s="358"/>
      <c r="O173" s="359"/>
      <c r="P173" s="444"/>
      <c r="Q173" s="452"/>
      <c r="R173" s="358"/>
      <c r="S173" s="377"/>
      <c r="T173" s="377"/>
      <c r="U173" s="377"/>
      <c r="V173" s="358"/>
      <c r="W173" s="423"/>
      <c r="X173" s="358"/>
      <c r="Y173" s="387"/>
      <c r="Z173" s="358"/>
      <c r="AA173" s="387"/>
      <c r="AB173" s="358"/>
      <c r="AC173" s="423"/>
      <c r="AD173" s="423"/>
      <c r="AE173" s="423"/>
      <c r="AF173" s="423"/>
      <c r="AG173" s="423"/>
      <c r="AH173" s="358">
        <f t="shared" si="27"/>
        <v>0</v>
      </c>
      <c r="AK173" s="359">
        <f t="shared" si="26"/>
        <v>0</v>
      </c>
      <c r="AL173" s="415"/>
      <c r="AM173" s="415"/>
      <c r="AN173" s="455"/>
      <c r="AO173" s="455"/>
      <c r="AP173" s="455"/>
      <c r="AQ173" s="396">
        <v>0.02</v>
      </c>
      <c r="AR173" s="397">
        <f t="shared" si="24"/>
        <v>0</v>
      </c>
      <c r="AS173" s="358"/>
      <c r="AT173" s="358"/>
      <c r="AU173" s="358"/>
      <c r="AV173" s="358"/>
      <c r="AW173" s="358"/>
      <c r="AX173" s="358"/>
      <c r="AY173" s="215"/>
      <c r="AZ173" s="132"/>
      <c r="BA173" s="358"/>
      <c r="BB173" s="358"/>
      <c r="BC173" s="358"/>
      <c r="BD173" s="358"/>
      <c r="BE173" s="358"/>
      <c r="CG173" s="137"/>
    </row>
    <row r="174" s="172" customFormat="1" customHeight="1" spans="6:85">
      <c r="F174" s="415"/>
      <c r="G174" s="416"/>
      <c r="H174" s="416"/>
      <c r="I174" s="443" t="s">
        <v>2220</v>
      </c>
      <c r="J174" s="172">
        <v>60.13</v>
      </c>
      <c r="M174" s="357"/>
      <c r="N174" s="358"/>
      <c r="O174" s="359"/>
      <c r="P174" s="444"/>
      <c r="Q174" s="452"/>
      <c r="R174" s="358"/>
      <c r="S174" s="377"/>
      <c r="T174" s="377"/>
      <c r="U174" s="377"/>
      <c r="V174" s="358"/>
      <c r="W174" s="423"/>
      <c r="X174" s="358"/>
      <c r="Y174" s="387"/>
      <c r="Z174" s="358"/>
      <c r="AA174" s="387"/>
      <c r="AB174" s="358"/>
      <c r="AC174" s="423"/>
      <c r="AD174" s="423"/>
      <c r="AE174" s="423"/>
      <c r="AF174" s="423"/>
      <c r="AG174" s="423"/>
      <c r="AH174" s="358">
        <f t="shared" si="27"/>
        <v>0</v>
      </c>
      <c r="AK174" s="359">
        <f t="shared" si="26"/>
        <v>0</v>
      </c>
      <c r="AL174" s="415"/>
      <c r="AM174" s="415"/>
      <c r="AN174" s="455"/>
      <c r="AO174" s="455"/>
      <c r="AP174" s="455"/>
      <c r="AQ174" s="396">
        <v>0.02</v>
      </c>
      <c r="AR174" s="397">
        <f t="shared" si="24"/>
        <v>0</v>
      </c>
      <c r="AS174" s="358"/>
      <c r="AT174" s="358"/>
      <c r="AU174" s="358"/>
      <c r="AV174" s="358"/>
      <c r="AW174" s="358"/>
      <c r="AX174" s="358"/>
      <c r="AY174" s="215"/>
      <c r="AZ174" s="132"/>
      <c r="BA174" s="358"/>
      <c r="BB174" s="358"/>
      <c r="BC174" s="358"/>
      <c r="BD174" s="358"/>
      <c r="BE174" s="358"/>
      <c r="CG174" s="137"/>
    </row>
    <row r="175" s="172" customFormat="1" customHeight="1" spans="6:85">
      <c r="F175" s="415"/>
      <c r="G175" s="416" t="s">
        <v>2221</v>
      </c>
      <c r="H175" s="416"/>
      <c r="I175" s="443" t="s">
        <v>2222</v>
      </c>
      <c r="J175" s="172">
        <v>23.61</v>
      </c>
      <c r="L175" s="172">
        <v>2282.08</v>
      </c>
      <c r="M175" s="357">
        <v>53880</v>
      </c>
      <c r="N175" s="358"/>
      <c r="O175" s="359"/>
      <c r="P175" s="444"/>
      <c r="Q175" s="452"/>
      <c r="R175" s="358"/>
      <c r="S175" s="377"/>
      <c r="T175" s="377"/>
      <c r="U175" s="377"/>
      <c r="V175" s="358">
        <v>53880</v>
      </c>
      <c r="W175" s="377">
        <v>45537</v>
      </c>
      <c r="X175" s="358"/>
      <c r="Y175" s="387"/>
      <c r="Z175" s="358"/>
      <c r="AA175" s="387"/>
      <c r="AB175" s="358"/>
      <c r="AC175" s="423"/>
      <c r="AD175" s="423"/>
      <c r="AE175" s="423"/>
      <c r="AF175" s="423"/>
      <c r="AG175" s="423"/>
      <c r="AH175" s="358">
        <f t="shared" si="27"/>
        <v>53880</v>
      </c>
      <c r="AK175" s="359">
        <f t="shared" si="26"/>
        <v>0</v>
      </c>
      <c r="AL175" s="415"/>
      <c r="AM175" s="415"/>
      <c r="AN175" s="455"/>
      <c r="AO175" s="455"/>
      <c r="AP175" s="455"/>
      <c r="AQ175" s="396">
        <v>0.02</v>
      </c>
      <c r="AR175" s="397">
        <f t="shared" si="24"/>
        <v>53880</v>
      </c>
      <c r="AS175" s="358"/>
      <c r="AT175" s="358"/>
      <c r="AU175" s="358"/>
      <c r="AV175" s="358"/>
      <c r="AW175" s="358"/>
      <c r="AX175" s="358"/>
      <c r="AY175" s="215"/>
      <c r="AZ175" s="132"/>
      <c r="BA175" s="358"/>
      <c r="BB175" s="358"/>
      <c r="BC175" s="358"/>
      <c r="BD175" s="358"/>
      <c r="BE175" s="358"/>
      <c r="BN175" s="172">
        <v>53880</v>
      </c>
      <c r="CG175" s="137"/>
    </row>
    <row r="176" s="172" customFormat="1" customHeight="1" spans="6:85">
      <c r="F176" s="415"/>
      <c r="G176" s="416" t="s">
        <v>2223</v>
      </c>
      <c r="H176" s="416"/>
      <c r="I176" s="443" t="s">
        <v>2224</v>
      </c>
      <c r="J176" s="172">
        <v>14.5</v>
      </c>
      <c r="L176" s="172">
        <v>2281.38</v>
      </c>
      <c r="M176" s="357">
        <v>33080</v>
      </c>
      <c r="N176" s="358"/>
      <c r="O176" s="359"/>
      <c r="P176" s="444"/>
      <c r="Q176" s="452"/>
      <c r="R176" s="358"/>
      <c r="S176" s="377"/>
      <c r="T176" s="377"/>
      <c r="U176" s="377"/>
      <c r="V176" s="358">
        <v>3000</v>
      </c>
      <c r="W176" s="377">
        <v>45538</v>
      </c>
      <c r="X176" s="358">
        <v>30080</v>
      </c>
      <c r="Y176" s="377">
        <v>45575</v>
      </c>
      <c r="Z176" s="358"/>
      <c r="AA176" s="387"/>
      <c r="AB176" s="358"/>
      <c r="AC176" s="423"/>
      <c r="AD176" s="423"/>
      <c r="AE176" s="423"/>
      <c r="AF176" s="423"/>
      <c r="AG176" s="423"/>
      <c r="AH176" s="358">
        <f t="shared" si="27"/>
        <v>33080</v>
      </c>
      <c r="AK176" s="359">
        <f t="shared" si="26"/>
        <v>0</v>
      </c>
      <c r="AL176" s="415"/>
      <c r="AM176" s="415"/>
      <c r="AN176" s="455"/>
      <c r="AO176" s="455"/>
      <c r="AP176" s="455"/>
      <c r="AQ176" s="396">
        <v>0.02</v>
      </c>
      <c r="AR176" s="397">
        <f t="shared" si="24"/>
        <v>33080</v>
      </c>
      <c r="AS176" s="358"/>
      <c r="AT176" s="358"/>
      <c r="AU176" s="358"/>
      <c r="AV176" s="358"/>
      <c r="AW176" s="358"/>
      <c r="AX176" s="358"/>
      <c r="AY176" s="215"/>
      <c r="AZ176" s="132"/>
      <c r="BA176" s="358"/>
      <c r="BB176" s="358"/>
      <c r="BC176" s="358"/>
      <c r="BD176" s="358"/>
      <c r="BE176" s="358"/>
      <c r="BO176" s="172">
        <v>33080</v>
      </c>
      <c r="CG176" s="137"/>
    </row>
    <row r="177" s="172" customFormat="1" customHeight="1" spans="6:85">
      <c r="F177" s="415"/>
      <c r="G177" s="416" t="s">
        <v>2225</v>
      </c>
      <c r="H177" s="416"/>
      <c r="I177" s="443" t="s">
        <v>2226</v>
      </c>
      <c r="J177" s="172">
        <v>14.97</v>
      </c>
      <c r="L177" s="172">
        <v>2281.9</v>
      </c>
      <c r="M177" s="357">
        <v>34160</v>
      </c>
      <c r="N177" s="358"/>
      <c r="O177" s="359"/>
      <c r="P177" s="444"/>
      <c r="Q177" s="452"/>
      <c r="R177" s="358"/>
      <c r="S177" s="377"/>
      <c r="T177" s="377"/>
      <c r="U177" s="377"/>
      <c r="V177" s="358">
        <v>2000</v>
      </c>
      <c r="W177" s="377">
        <v>45537</v>
      </c>
      <c r="X177" s="358">
        <v>32160</v>
      </c>
      <c r="Y177" s="377" t="s">
        <v>327</v>
      </c>
      <c r="Z177" s="358"/>
      <c r="AA177" s="387"/>
      <c r="AB177" s="358"/>
      <c r="AC177" s="423"/>
      <c r="AD177" s="423"/>
      <c r="AE177" s="423"/>
      <c r="AF177" s="423"/>
      <c r="AG177" s="423"/>
      <c r="AH177" s="358">
        <f t="shared" si="27"/>
        <v>34160</v>
      </c>
      <c r="AK177" s="359">
        <f t="shared" si="26"/>
        <v>0</v>
      </c>
      <c r="AL177" s="415"/>
      <c r="AM177" s="415"/>
      <c r="AN177" s="455"/>
      <c r="AO177" s="455"/>
      <c r="AP177" s="455"/>
      <c r="AQ177" s="396">
        <v>0.02</v>
      </c>
      <c r="AR177" s="397">
        <f t="shared" si="24"/>
        <v>34160</v>
      </c>
      <c r="AS177" s="358"/>
      <c r="AT177" s="358"/>
      <c r="AU177" s="358"/>
      <c r="AV177" s="358"/>
      <c r="AW177" s="358"/>
      <c r="AX177" s="358"/>
      <c r="AY177" s="215"/>
      <c r="AZ177" s="132"/>
      <c r="BA177" s="358"/>
      <c r="BB177" s="358"/>
      <c r="BC177" s="358"/>
      <c r="BD177" s="358"/>
      <c r="BE177" s="358"/>
      <c r="BO177" s="172">
        <v>34160</v>
      </c>
      <c r="CG177" s="137"/>
    </row>
    <row r="178" s="323" customFormat="1" customHeight="1" spans="1:76">
      <c r="A178" s="323">
        <v>111</v>
      </c>
      <c r="C178" s="323" t="s">
        <v>1276</v>
      </c>
      <c r="D178" s="343" t="s">
        <v>2227</v>
      </c>
      <c r="F178" s="338" t="s">
        <v>2228</v>
      </c>
      <c r="G178" s="340" t="s">
        <v>2229</v>
      </c>
      <c r="H178" s="837" t="s">
        <v>2230</v>
      </c>
      <c r="I178" s="361" t="s">
        <v>2231</v>
      </c>
      <c r="J178" s="323">
        <v>107.8</v>
      </c>
      <c r="K178" s="323">
        <v>107.8</v>
      </c>
      <c r="L178" s="323">
        <v>7961</v>
      </c>
      <c r="M178" s="366">
        <v>858196</v>
      </c>
      <c r="N178" s="367"/>
      <c r="O178" s="368">
        <v>787335.78</v>
      </c>
      <c r="P178" s="369" t="s">
        <v>2232</v>
      </c>
      <c r="Q178" s="369" t="s">
        <v>1589</v>
      </c>
      <c r="R178" s="327"/>
      <c r="S178" s="378"/>
      <c r="T178" s="381" t="s">
        <v>2233</v>
      </c>
      <c r="U178" s="378" t="s">
        <v>2234</v>
      </c>
      <c r="V178" s="327">
        <v>298196</v>
      </c>
      <c r="W178" s="323" t="s">
        <v>1276</v>
      </c>
      <c r="X178" s="327">
        <v>130000</v>
      </c>
      <c r="Y178" s="380" t="s">
        <v>2235</v>
      </c>
      <c r="Z178" s="327">
        <v>430000</v>
      </c>
      <c r="AA178" s="323" t="s">
        <v>2160</v>
      </c>
      <c r="AB178" s="327"/>
      <c r="AH178" s="327">
        <f t="shared" si="27"/>
        <v>858196</v>
      </c>
      <c r="AK178" s="328">
        <f t="shared" ref="AK153:AK216" si="28">M178-AH178</f>
        <v>0</v>
      </c>
      <c r="AL178" s="338" t="s">
        <v>2236</v>
      </c>
      <c r="AM178" s="338"/>
      <c r="AN178" s="393"/>
      <c r="AO178" s="393"/>
      <c r="AP178" s="393"/>
      <c r="AQ178" s="332">
        <f>0.6%+0.04%+0.1%</f>
        <v>0.0074</v>
      </c>
      <c r="AR178" s="398">
        <f t="shared" si="24"/>
        <v>858196</v>
      </c>
      <c r="AS178" s="327">
        <v>100</v>
      </c>
      <c r="AT178" s="327">
        <f>100+100</f>
        <v>200</v>
      </c>
      <c r="AU178" s="327"/>
      <c r="AV178" s="327"/>
      <c r="AW178" s="327"/>
      <c r="AX178" s="327">
        <v>428196</v>
      </c>
      <c r="AY178" s="184"/>
      <c r="AZ178" s="135">
        <v>430000</v>
      </c>
      <c r="BA178" s="327"/>
      <c r="BB178" s="327"/>
      <c r="BC178" s="327"/>
      <c r="BD178" s="327"/>
      <c r="BE178" s="327"/>
      <c r="BW178" s="323" t="s">
        <v>496</v>
      </c>
      <c r="BX178" s="323" t="s">
        <v>506</v>
      </c>
    </row>
    <row r="179" s="323" customFormat="1" customHeight="1" spans="1:76">
      <c r="A179" s="323">
        <v>112</v>
      </c>
      <c r="C179" s="323" t="s">
        <v>1495</v>
      </c>
      <c r="D179" s="323">
        <v>20230004510</v>
      </c>
      <c r="F179" s="338" t="s">
        <v>1105</v>
      </c>
      <c r="G179" s="340" t="s">
        <v>2237</v>
      </c>
      <c r="H179" s="837" t="s">
        <v>2238</v>
      </c>
      <c r="I179" s="364" t="s">
        <v>2239</v>
      </c>
      <c r="J179" s="323">
        <v>107.62</v>
      </c>
      <c r="K179" s="323">
        <v>107.62</v>
      </c>
      <c r="L179" s="323">
        <v>8000</v>
      </c>
      <c r="M179" s="366">
        <v>860960</v>
      </c>
      <c r="N179" s="367">
        <v>5549.98</v>
      </c>
      <c r="O179" s="368"/>
      <c r="P179" s="369"/>
      <c r="Q179" s="369"/>
      <c r="R179" s="327"/>
      <c r="S179" s="378"/>
      <c r="T179" s="378"/>
      <c r="U179" s="378" t="s">
        <v>2240</v>
      </c>
      <c r="V179" s="327">
        <v>20000</v>
      </c>
      <c r="W179" s="384" t="s">
        <v>906</v>
      </c>
      <c r="X179" s="327">
        <v>152192</v>
      </c>
      <c r="Y179" s="384" t="s">
        <v>1663</v>
      </c>
      <c r="Z179" s="327">
        <v>370000</v>
      </c>
      <c r="AA179" s="380" t="s">
        <v>678</v>
      </c>
      <c r="AB179" s="327">
        <v>318768</v>
      </c>
      <c r="AC179" s="378" t="s">
        <v>949</v>
      </c>
      <c r="AD179" s="380"/>
      <c r="AE179" s="380"/>
      <c r="AF179" s="380"/>
      <c r="AG179" s="380"/>
      <c r="AH179" s="327">
        <f t="shared" si="27"/>
        <v>860960</v>
      </c>
      <c r="AK179" s="328">
        <f t="shared" si="28"/>
        <v>0</v>
      </c>
      <c r="AL179" s="338" t="s">
        <v>2241</v>
      </c>
      <c r="AM179" s="338"/>
      <c r="AN179" s="393"/>
      <c r="AO179" s="393"/>
      <c r="AP179" s="393"/>
      <c r="AQ179" s="332">
        <f>0.4%+0.04%+0.1%</f>
        <v>0.0054</v>
      </c>
      <c r="AR179" s="398">
        <f t="shared" si="24"/>
        <v>860960</v>
      </c>
      <c r="AS179" s="327">
        <f>100+100+100</f>
        <v>300</v>
      </c>
      <c r="AT179" s="327"/>
      <c r="AU179" s="327"/>
      <c r="AV179" s="327"/>
      <c r="AW179" s="327"/>
      <c r="AX179" s="327"/>
      <c r="AY179" s="184"/>
      <c r="AZ179" s="135"/>
      <c r="BA179" s="327"/>
      <c r="BB179" s="327"/>
      <c r="BC179" s="327">
        <v>860960</v>
      </c>
      <c r="BD179" s="327"/>
      <c r="BE179" s="327"/>
      <c r="BW179" s="323" t="s">
        <v>496</v>
      </c>
      <c r="BX179" s="323" t="s">
        <v>506</v>
      </c>
    </row>
    <row r="180" s="323" customFormat="1" ht="42" customHeight="1" spans="1:76">
      <c r="A180" s="323">
        <v>113</v>
      </c>
      <c r="C180" s="323" t="s">
        <v>2242</v>
      </c>
      <c r="D180" s="343" t="s">
        <v>2243</v>
      </c>
      <c r="F180" s="338" t="s">
        <v>2244</v>
      </c>
      <c r="G180" s="323" t="s">
        <v>2245</v>
      </c>
      <c r="H180" s="833" t="s">
        <v>2246</v>
      </c>
      <c r="I180" s="361" t="s">
        <v>2247</v>
      </c>
      <c r="J180" s="323">
        <v>107.98</v>
      </c>
      <c r="K180" s="323">
        <v>107.98</v>
      </c>
      <c r="L180" s="323">
        <v>5606.13</v>
      </c>
      <c r="M180" s="366">
        <v>605350</v>
      </c>
      <c r="N180" s="367">
        <v>5556.13</v>
      </c>
      <c r="O180" s="368">
        <v>555366.97</v>
      </c>
      <c r="P180" s="369" t="s">
        <v>2248</v>
      </c>
      <c r="Q180" s="369" t="s">
        <v>1589</v>
      </c>
      <c r="R180" s="327"/>
      <c r="S180" s="330"/>
      <c r="T180" s="330"/>
      <c r="U180" s="330" t="s">
        <v>2249</v>
      </c>
      <c r="V180" s="327">
        <v>10000</v>
      </c>
      <c r="W180" s="330" t="s">
        <v>686</v>
      </c>
      <c r="X180" s="327">
        <v>10000</v>
      </c>
      <c r="Y180" s="330" t="s">
        <v>2250</v>
      </c>
      <c r="Z180" s="327">
        <v>100000</v>
      </c>
      <c r="AA180" s="330" t="s">
        <v>647</v>
      </c>
      <c r="AB180" s="327">
        <v>80000</v>
      </c>
      <c r="AC180" s="330" t="s">
        <v>2251</v>
      </c>
      <c r="AD180" s="327">
        <v>200350</v>
      </c>
      <c r="AE180" s="330" t="s">
        <v>2242</v>
      </c>
      <c r="AF180" s="323">
        <v>205000</v>
      </c>
      <c r="AG180" s="323" t="s">
        <v>550</v>
      </c>
      <c r="AH180" s="327">
        <f t="shared" si="27"/>
        <v>605350</v>
      </c>
      <c r="AK180" s="328">
        <f t="shared" si="28"/>
        <v>0</v>
      </c>
      <c r="AL180" s="338" t="s">
        <v>2252</v>
      </c>
      <c r="AM180" s="338"/>
      <c r="AN180" s="391"/>
      <c r="AO180" s="391"/>
      <c r="AP180" s="391"/>
      <c r="AQ180" s="332">
        <f>0.7%+0.02%+0.12%</f>
        <v>0.0084</v>
      </c>
      <c r="AR180" s="398">
        <f t="shared" si="24"/>
        <v>605350</v>
      </c>
      <c r="AS180" s="327"/>
      <c r="AT180" s="327"/>
      <c r="AU180" s="327"/>
      <c r="AV180" s="327"/>
      <c r="AW180" s="327"/>
      <c r="AX180" s="327"/>
      <c r="AY180" s="184"/>
      <c r="BA180" s="327"/>
      <c r="BB180" s="327"/>
      <c r="BC180" s="327"/>
      <c r="BD180" s="327"/>
      <c r="BE180" s="327"/>
      <c r="BH180" s="323">
        <v>400350</v>
      </c>
      <c r="BI180" s="323">
        <v>205000</v>
      </c>
      <c r="BW180" s="323" t="s">
        <v>496</v>
      </c>
      <c r="BX180" s="323" t="s">
        <v>506</v>
      </c>
    </row>
    <row r="181" s="323" customFormat="1" customHeight="1" spans="1:76">
      <c r="A181" s="323">
        <v>114</v>
      </c>
      <c r="C181" s="380">
        <v>45284</v>
      </c>
      <c r="D181" s="343" t="s">
        <v>2253</v>
      </c>
      <c r="F181" s="338" t="s">
        <v>2244</v>
      </c>
      <c r="G181" s="323" t="s">
        <v>2254</v>
      </c>
      <c r="I181" s="364" t="s">
        <v>2255</v>
      </c>
      <c r="J181" s="323">
        <v>107.62</v>
      </c>
      <c r="K181" s="323">
        <v>107.62</v>
      </c>
      <c r="L181" s="323">
        <f>M181/K181</f>
        <v>5600</v>
      </c>
      <c r="M181" s="366">
        <v>602672</v>
      </c>
      <c r="N181" s="367">
        <v>5549.98</v>
      </c>
      <c r="O181" s="368">
        <v>552910.09</v>
      </c>
      <c r="P181" s="369" t="s">
        <v>2256</v>
      </c>
      <c r="Q181" s="369" t="s">
        <v>1589</v>
      </c>
      <c r="R181" s="327"/>
      <c r="S181" s="330"/>
      <c r="T181" s="842" t="s">
        <v>2257</v>
      </c>
      <c r="U181" s="378" t="s">
        <v>825</v>
      </c>
      <c r="V181" s="327">
        <v>2000</v>
      </c>
      <c r="W181" s="378" t="s">
        <v>662</v>
      </c>
      <c r="X181" s="327">
        <v>96672</v>
      </c>
      <c r="Y181" s="330" t="s">
        <v>806</v>
      </c>
      <c r="Z181" s="327">
        <v>24000</v>
      </c>
      <c r="AA181" s="330" t="s">
        <v>2258</v>
      </c>
      <c r="AB181" s="327">
        <v>480000</v>
      </c>
      <c r="AC181" s="323" t="s">
        <v>648</v>
      </c>
      <c r="AH181" s="327">
        <f t="shared" si="27"/>
        <v>602672</v>
      </c>
      <c r="AK181" s="328">
        <f t="shared" si="28"/>
        <v>0</v>
      </c>
      <c r="AL181" s="338"/>
      <c r="AM181" s="338"/>
      <c r="AN181" s="391"/>
      <c r="AO181" s="391"/>
      <c r="AP181" s="391"/>
      <c r="AQ181" s="332">
        <f>0.4%+0.08%</f>
        <v>0.0048</v>
      </c>
      <c r="AR181" s="398">
        <f t="shared" si="24"/>
        <v>602672</v>
      </c>
      <c r="AS181" s="327"/>
      <c r="AT181" s="327"/>
      <c r="AU181" s="327"/>
      <c r="AV181" s="327"/>
      <c r="AW181" s="327"/>
      <c r="AX181" s="327"/>
      <c r="AY181" s="184"/>
      <c r="BA181" s="327"/>
      <c r="BB181" s="327"/>
      <c r="BC181" s="327"/>
      <c r="BD181" s="327"/>
      <c r="BE181" s="327"/>
      <c r="BK181" s="323">
        <v>602672</v>
      </c>
      <c r="BW181" s="323" t="s">
        <v>496</v>
      </c>
      <c r="BX181" s="323" t="s">
        <v>506</v>
      </c>
    </row>
    <row r="182" s="323" customFormat="1" customHeight="1" spans="1:76">
      <c r="A182" s="323">
        <v>115</v>
      </c>
      <c r="C182" s="323" t="s">
        <v>1122</v>
      </c>
      <c r="D182" s="343" t="s">
        <v>2259</v>
      </c>
      <c r="F182" s="338" t="s">
        <v>2260</v>
      </c>
      <c r="G182" s="323" t="s">
        <v>2261</v>
      </c>
      <c r="H182" s="833" t="s">
        <v>2262</v>
      </c>
      <c r="I182" s="361" t="s">
        <v>2263</v>
      </c>
      <c r="J182" s="323">
        <v>107.98</v>
      </c>
      <c r="K182" s="323">
        <v>107.98</v>
      </c>
      <c r="L182" s="323">
        <v>5610</v>
      </c>
      <c r="M182" s="366">
        <v>605768</v>
      </c>
      <c r="N182" s="367">
        <v>5608.1</v>
      </c>
      <c r="O182" s="368">
        <v>555750.46</v>
      </c>
      <c r="P182" s="369" t="s">
        <v>2264</v>
      </c>
      <c r="Q182" s="369" t="s">
        <v>1589</v>
      </c>
      <c r="R182" s="327"/>
      <c r="S182" s="330"/>
      <c r="T182" s="330"/>
      <c r="U182" s="330" t="s">
        <v>1427</v>
      </c>
      <c r="V182" s="327">
        <v>20000</v>
      </c>
      <c r="W182" s="330" t="s">
        <v>1335</v>
      </c>
      <c r="X182" s="327">
        <v>105768</v>
      </c>
      <c r="Y182" s="389" t="s">
        <v>1122</v>
      </c>
      <c r="Z182" s="327">
        <v>480000</v>
      </c>
      <c r="AA182" s="330" t="s">
        <v>1422</v>
      </c>
      <c r="AB182" s="327"/>
      <c r="AH182" s="327">
        <f t="shared" si="27"/>
        <v>605768</v>
      </c>
      <c r="AK182" s="328">
        <f t="shared" si="28"/>
        <v>0</v>
      </c>
      <c r="AL182" s="338" t="s">
        <v>2265</v>
      </c>
      <c r="AM182" s="338"/>
      <c r="AN182" s="391"/>
      <c r="AO182" s="391"/>
      <c r="AP182" s="391"/>
      <c r="AQ182" s="332">
        <f>0.4%+0.02%+0.08%</f>
        <v>0.005</v>
      </c>
      <c r="AR182" s="398">
        <f t="shared" si="24"/>
        <v>605768</v>
      </c>
      <c r="AS182" s="327">
        <f>100</f>
        <v>100</v>
      </c>
      <c r="AT182" s="327"/>
      <c r="AU182" s="327"/>
      <c r="AV182" s="327"/>
      <c r="AW182" s="327"/>
      <c r="AX182" s="327"/>
      <c r="AY182" s="184"/>
      <c r="AZ182" s="135">
        <v>125768</v>
      </c>
      <c r="BA182" s="327"/>
      <c r="BB182" s="327"/>
      <c r="BC182" s="327">
        <v>480000</v>
      </c>
      <c r="BD182" s="327"/>
      <c r="BE182" s="327"/>
      <c r="BW182" s="323" t="s">
        <v>496</v>
      </c>
      <c r="BX182" s="323" t="s">
        <v>506</v>
      </c>
    </row>
    <row r="183" s="323" customFormat="1" ht="56" customHeight="1" spans="1:76">
      <c r="A183" s="323">
        <v>116</v>
      </c>
      <c r="C183" s="323" t="s">
        <v>2266</v>
      </c>
      <c r="D183" s="343" t="s">
        <v>2267</v>
      </c>
      <c r="F183" s="338" t="s">
        <v>2268</v>
      </c>
      <c r="G183" s="337" t="s">
        <v>2269</v>
      </c>
      <c r="H183" s="839" t="s">
        <v>2270</v>
      </c>
      <c r="I183" s="364" t="s">
        <v>2271</v>
      </c>
      <c r="J183" s="323">
        <v>107.62</v>
      </c>
      <c r="K183" s="323">
        <v>107.62</v>
      </c>
      <c r="L183" s="323">
        <v>5621.6</v>
      </c>
      <c r="M183" s="366">
        <v>605000</v>
      </c>
      <c r="N183" s="367"/>
      <c r="O183" s="368">
        <v>555045.87</v>
      </c>
      <c r="P183" s="369" t="s">
        <v>2272</v>
      </c>
      <c r="Q183" s="369" t="s">
        <v>2273</v>
      </c>
      <c r="R183" s="327"/>
      <c r="S183" s="330"/>
      <c r="T183" s="330"/>
      <c r="U183" s="378" t="s">
        <v>2274</v>
      </c>
      <c r="V183" s="327">
        <v>20000</v>
      </c>
      <c r="W183" s="330" t="s">
        <v>2275</v>
      </c>
      <c r="X183" s="327">
        <f>420000+140050+24950</f>
        <v>585000</v>
      </c>
      <c r="Y183" s="330" t="s">
        <v>2266</v>
      </c>
      <c r="Z183" s="327"/>
      <c r="AA183" s="330"/>
      <c r="AB183" s="327"/>
      <c r="AC183" s="330"/>
      <c r="AH183" s="327">
        <f t="shared" si="27"/>
        <v>605000</v>
      </c>
      <c r="AK183" s="328">
        <f t="shared" si="28"/>
        <v>0</v>
      </c>
      <c r="AL183" s="338" t="s">
        <v>2276</v>
      </c>
      <c r="AM183" s="338"/>
      <c r="AN183" s="391"/>
      <c r="AO183" s="391"/>
      <c r="AP183" s="391"/>
      <c r="AQ183" s="458">
        <f>0.5%+0.02%+0.08%</f>
        <v>0.006</v>
      </c>
      <c r="AR183" s="398">
        <f t="shared" si="24"/>
        <v>605000</v>
      </c>
      <c r="AS183" s="327">
        <f>100</f>
        <v>100</v>
      </c>
      <c r="AT183" s="327"/>
      <c r="AU183" s="327"/>
      <c r="AV183" s="327"/>
      <c r="AW183" s="327"/>
      <c r="AX183" s="327"/>
      <c r="AY183" s="184"/>
      <c r="BA183" s="327"/>
      <c r="BB183" s="327"/>
      <c r="BC183" s="327"/>
      <c r="BD183" s="327"/>
      <c r="BE183" s="327"/>
      <c r="BG183" s="323">
        <v>605000</v>
      </c>
      <c r="BW183" s="323" t="s">
        <v>496</v>
      </c>
      <c r="BX183" s="323" t="s">
        <v>506</v>
      </c>
    </row>
    <row r="184" s="323" customFormat="1" customHeight="1" spans="1:76">
      <c r="A184" s="323">
        <v>117</v>
      </c>
      <c r="C184" s="323" t="s">
        <v>567</v>
      </c>
      <c r="D184" s="343" t="s">
        <v>2277</v>
      </c>
      <c r="F184" s="338" t="s">
        <v>2278</v>
      </c>
      <c r="G184" s="323" t="s">
        <v>2279</v>
      </c>
      <c r="H184" s="833" t="s">
        <v>2280</v>
      </c>
      <c r="I184" s="361" t="s">
        <v>2281</v>
      </c>
      <c r="J184" s="323">
        <v>107.98</v>
      </c>
      <c r="K184" s="323">
        <v>107.98</v>
      </c>
      <c r="L184" s="323">
        <v>5741.8</v>
      </c>
      <c r="M184" s="366">
        <v>620000</v>
      </c>
      <c r="N184" s="367">
        <v>5669.1</v>
      </c>
      <c r="O184" s="368">
        <v>568807.34</v>
      </c>
      <c r="P184" s="369" t="s">
        <v>2282</v>
      </c>
      <c r="Q184" s="369" t="s">
        <v>1589</v>
      </c>
      <c r="R184" s="327"/>
      <c r="S184" s="330"/>
      <c r="T184" s="330"/>
      <c r="U184" s="330" t="s">
        <v>508</v>
      </c>
      <c r="V184" s="327">
        <v>20000</v>
      </c>
      <c r="W184" s="330" t="s">
        <v>989</v>
      </c>
      <c r="X184" s="327">
        <v>100000</v>
      </c>
      <c r="Y184" s="389" t="s">
        <v>2138</v>
      </c>
      <c r="Z184" s="327">
        <v>80000</v>
      </c>
      <c r="AA184" s="323" t="s">
        <v>1458</v>
      </c>
      <c r="AB184" s="327">
        <v>420000</v>
      </c>
      <c r="AC184" s="330" t="s">
        <v>940</v>
      </c>
      <c r="AH184" s="327">
        <f t="shared" si="27"/>
        <v>620000</v>
      </c>
      <c r="AK184" s="328">
        <f t="shared" si="28"/>
        <v>0</v>
      </c>
      <c r="AL184" s="338" t="s">
        <v>2283</v>
      </c>
      <c r="AM184" s="338"/>
      <c r="AN184" s="391"/>
      <c r="AO184" s="391"/>
      <c r="AP184" s="391"/>
      <c r="AQ184" s="332">
        <f>0.6%+0.05%+0.14%</f>
        <v>0.0079</v>
      </c>
      <c r="AR184" s="398">
        <f t="shared" si="24"/>
        <v>620000</v>
      </c>
      <c r="AS184" s="327"/>
      <c r="AT184" s="327">
        <v>100</v>
      </c>
      <c r="AU184" s="327"/>
      <c r="AV184" s="327"/>
      <c r="AW184" s="327"/>
      <c r="AX184" s="327"/>
      <c r="AY184" s="184"/>
      <c r="AZ184" s="135">
        <v>200000</v>
      </c>
      <c r="BA184" s="327"/>
      <c r="BB184" s="327"/>
      <c r="BC184" s="327">
        <v>420000</v>
      </c>
      <c r="BD184" s="327"/>
      <c r="BE184" s="327"/>
      <c r="BW184" s="323" t="s">
        <v>496</v>
      </c>
      <c r="BX184" s="323" t="s">
        <v>506</v>
      </c>
    </row>
    <row r="185" s="323" customFormat="1" customHeight="1" spans="1:76">
      <c r="A185" s="323">
        <v>118</v>
      </c>
      <c r="C185" s="323" t="s">
        <v>678</v>
      </c>
      <c r="D185" s="343" t="s">
        <v>2284</v>
      </c>
      <c r="F185" s="338" t="s">
        <v>2285</v>
      </c>
      <c r="G185" s="323" t="s">
        <v>2286</v>
      </c>
      <c r="H185" s="833" t="s">
        <v>2287</v>
      </c>
      <c r="I185" s="361" t="s">
        <v>2288</v>
      </c>
      <c r="J185" s="323">
        <v>107.62</v>
      </c>
      <c r="K185" s="323">
        <v>107.62</v>
      </c>
      <c r="L185" s="323">
        <v>5761.01</v>
      </c>
      <c r="M185" s="366">
        <v>620000</v>
      </c>
      <c r="N185" s="367">
        <v>5662.95</v>
      </c>
      <c r="O185" s="368">
        <v>568807.34</v>
      </c>
      <c r="P185" s="369" t="s">
        <v>2289</v>
      </c>
      <c r="Q185" s="369" t="s">
        <v>1589</v>
      </c>
      <c r="R185" s="327"/>
      <c r="S185" s="330"/>
      <c r="T185" s="330"/>
      <c r="U185" s="330" t="s">
        <v>2249</v>
      </c>
      <c r="V185" s="327">
        <v>20000</v>
      </c>
      <c r="W185" s="330" t="s">
        <v>2290</v>
      </c>
      <c r="X185" s="327">
        <v>600000</v>
      </c>
      <c r="Y185" s="389" t="s">
        <v>678</v>
      </c>
      <c r="Z185" s="327"/>
      <c r="AB185" s="327"/>
      <c r="AH185" s="327">
        <f t="shared" si="27"/>
        <v>620000</v>
      </c>
      <c r="AK185" s="328">
        <f t="shared" si="28"/>
        <v>0</v>
      </c>
      <c r="AL185" s="338" t="s">
        <v>2291</v>
      </c>
      <c r="AM185" s="338"/>
      <c r="AN185" s="391"/>
      <c r="AO185" s="391"/>
      <c r="AP185" s="391"/>
      <c r="AQ185" s="332">
        <f>0.4%+0.02%+0.08%</f>
        <v>0.005</v>
      </c>
      <c r="AR185" s="398">
        <f t="shared" si="24"/>
        <v>620000</v>
      </c>
      <c r="AS185" s="327"/>
      <c r="AT185" s="327"/>
      <c r="AU185" s="327"/>
      <c r="AV185" s="327"/>
      <c r="AW185" s="327"/>
      <c r="AX185" s="327"/>
      <c r="AY185" s="184"/>
      <c r="AZ185" s="135">
        <v>620000</v>
      </c>
      <c r="BA185" s="327"/>
      <c r="BB185" s="327"/>
      <c r="BC185" s="327"/>
      <c r="BD185" s="327"/>
      <c r="BE185" s="327"/>
      <c r="BW185" s="323" t="s">
        <v>496</v>
      </c>
      <c r="BX185" s="323" t="s">
        <v>506</v>
      </c>
    </row>
    <row r="186" s="323" customFormat="1" customHeight="1" spans="1:76">
      <c r="A186" s="323">
        <v>119</v>
      </c>
      <c r="C186" s="323" t="s">
        <v>2292</v>
      </c>
      <c r="D186" s="343" t="s">
        <v>2293</v>
      </c>
      <c r="F186" s="338" t="s">
        <v>2294</v>
      </c>
      <c r="G186" s="337" t="s">
        <v>2295</v>
      </c>
      <c r="H186" s="337"/>
      <c r="I186" s="364" t="s">
        <v>2296</v>
      </c>
      <c r="J186" s="323">
        <v>107.98</v>
      </c>
      <c r="K186" s="323">
        <v>107.98</v>
      </c>
      <c r="L186" s="323">
        <v>5463.97</v>
      </c>
      <c r="M186" s="366">
        <v>590000</v>
      </c>
      <c r="N186" s="367"/>
      <c r="O186" s="368">
        <v>541284.4</v>
      </c>
      <c r="P186" s="369" t="s">
        <v>2297</v>
      </c>
      <c r="Q186" s="369" t="s">
        <v>1589</v>
      </c>
      <c r="R186" s="327"/>
      <c r="S186" s="378"/>
      <c r="T186" s="378"/>
      <c r="U186" s="378" t="s">
        <v>2298</v>
      </c>
      <c r="V186" s="327">
        <v>20000</v>
      </c>
      <c r="W186" s="378" t="s">
        <v>895</v>
      </c>
      <c r="X186" s="327">
        <v>180000</v>
      </c>
      <c r="Y186" s="389" t="s">
        <v>2292</v>
      </c>
      <c r="Z186" s="327">
        <v>100000</v>
      </c>
      <c r="AA186" s="323" t="s">
        <v>1407</v>
      </c>
      <c r="AB186" s="327">
        <v>290000</v>
      </c>
      <c r="AC186" s="378" t="s">
        <v>2299</v>
      </c>
      <c r="AH186" s="327">
        <f t="shared" si="27"/>
        <v>590000</v>
      </c>
      <c r="AK186" s="328">
        <f t="shared" si="28"/>
        <v>0</v>
      </c>
      <c r="AL186" s="338" t="s">
        <v>2300</v>
      </c>
      <c r="AM186" s="338"/>
      <c r="AN186" s="391"/>
      <c r="AO186" s="391"/>
      <c r="AP186" s="391"/>
      <c r="AQ186" s="332">
        <f>0.6%+0.06%+0.14%</f>
        <v>0.008</v>
      </c>
      <c r="AR186" s="398">
        <f t="shared" si="24"/>
        <v>590000</v>
      </c>
      <c r="AS186" s="327">
        <f>100+100</f>
        <v>200</v>
      </c>
      <c r="AT186" s="327"/>
      <c r="AU186" s="327"/>
      <c r="AV186" s="327"/>
      <c r="AW186" s="327"/>
      <c r="AX186" s="327"/>
      <c r="AY186" s="184">
        <v>300000</v>
      </c>
      <c r="BA186" s="327">
        <v>290000</v>
      </c>
      <c r="BB186" s="327"/>
      <c r="BC186" s="327"/>
      <c r="BD186" s="327"/>
      <c r="BE186" s="327"/>
      <c r="BW186" s="323" t="s">
        <v>496</v>
      </c>
      <c r="BX186" s="323" t="s">
        <v>506</v>
      </c>
    </row>
    <row r="187" s="323" customFormat="1" customHeight="1" spans="1:76">
      <c r="A187" s="323">
        <v>120</v>
      </c>
      <c r="C187" s="323" t="s">
        <v>2301</v>
      </c>
      <c r="D187" s="343" t="s">
        <v>2302</v>
      </c>
      <c r="F187" s="338" t="s">
        <v>2303</v>
      </c>
      <c r="G187" s="337" t="s">
        <v>2304</v>
      </c>
      <c r="H187" s="839" t="s">
        <v>2305</v>
      </c>
      <c r="I187" s="361" t="s">
        <v>2306</v>
      </c>
      <c r="J187" s="323">
        <v>107.62</v>
      </c>
      <c r="K187" s="323">
        <v>107.62</v>
      </c>
      <c r="L187" s="323">
        <v>5519.63</v>
      </c>
      <c r="M187" s="366">
        <v>594023</v>
      </c>
      <c r="N187" s="367"/>
      <c r="O187" s="368">
        <v>544975.23</v>
      </c>
      <c r="P187" s="369" t="s">
        <v>2307</v>
      </c>
      <c r="Q187" s="369" t="s">
        <v>1589</v>
      </c>
      <c r="R187" s="327"/>
      <c r="S187" s="330"/>
      <c r="T187" s="330"/>
      <c r="U187" s="330" t="s">
        <v>590</v>
      </c>
      <c r="V187" s="327">
        <v>20000</v>
      </c>
      <c r="W187" s="380" t="s">
        <v>1709</v>
      </c>
      <c r="X187" s="327">
        <f>568000+6023</f>
        <v>574023</v>
      </c>
      <c r="Y187" s="389" t="s">
        <v>2301</v>
      </c>
      <c r="Z187" s="327"/>
      <c r="AB187" s="327"/>
      <c r="AH187" s="327">
        <f t="shared" si="27"/>
        <v>594023</v>
      </c>
      <c r="AK187" s="328">
        <f t="shared" si="28"/>
        <v>0</v>
      </c>
      <c r="AL187" s="338" t="s">
        <v>2308</v>
      </c>
      <c r="AM187" s="338"/>
      <c r="AN187" s="391"/>
      <c r="AO187" s="391"/>
      <c r="AP187" s="391"/>
      <c r="AQ187" s="332">
        <f>0.6%+0.04%+0.1%</f>
        <v>0.0074</v>
      </c>
      <c r="AR187" s="398">
        <f t="shared" si="24"/>
        <v>594023</v>
      </c>
      <c r="AS187" s="327"/>
      <c r="AT187" s="327">
        <v>100</v>
      </c>
      <c r="AU187" s="327"/>
      <c r="AV187" s="327"/>
      <c r="AW187" s="327"/>
      <c r="AX187" s="327"/>
      <c r="AY187" s="184">
        <v>594023</v>
      </c>
      <c r="BA187" s="327"/>
      <c r="BB187" s="327"/>
      <c r="BC187" s="327"/>
      <c r="BD187" s="327"/>
      <c r="BE187" s="327"/>
      <c r="BW187" s="323" t="s">
        <v>496</v>
      </c>
      <c r="BX187" s="323" t="s">
        <v>506</v>
      </c>
    </row>
    <row r="188" s="323" customFormat="1" customHeight="1" spans="1:76">
      <c r="A188" s="323">
        <v>121</v>
      </c>
      <c r="C188" s="323" t="s">
        <v>881</v>
      </c>
      <c r="D188" s="343" t="s">
        <v>2309</v>
      </c>
      <c r="F188" s="338" t="s">
        <v>2310</v>
      </c>
      <c r="G188" s="323" t="s">
        <v>2217</v>
      </c>
      <c r="H188" s="833" t="s">
        <v>2311</v>
      </c>
      <c r="I188" s="364" t="s">
        <v>2312</v>
      </c>
      <c r="J188" s="323">
        <v>107.98</v>
      </c>
      <c r="K188" s="323">
        <v>107.98</v>
      </c>
      <c r="L188" s="323">
        <v>5566.28</v>
      </c>
      <c r="M188" s="366">
        <v>601047</v>
      </c>
      <c r="N188" s="367"/>
      <c r="O188" s="368">
        <v>551419.27</v>
      </c>
      <c r="P188" s="369" t="s">
        <v>2313</v>
      </c>
      <c r="Q188" s="369" t="s">
        <v>1589</v>
      </c>
      <c r="R188" s="327"/>
      <c r="S188" s="330"/>
      <c r="T188" s="330" t="s">
        <v>2217</v>
      </c>
      <c r="U188" s="330" t="s">
        <v>1427</v>
      </c>
      <c r="V188" s="327">
        <v>20000</v>
      </c>
      <c r="W188" s="380" t="s">
        <v>2314</v>
      </c>
      <c r="X188" s="327">
        <v>131047</v>
      </c>
      <c r="Y188" s="389" t="s">
        <v>772</v>
      </c>
      <c r="Z188" s="327">
        <v>30000</v>
      </c>
      <c r="AA188" s="323" t="s">
        <v>1842</v>
      </c>
      <c r="AB188" s="327">
        <v>420000</v>
      </c>
      <c r="AC188" s="330" t="s">
        <v>881</v>
      </c>
      <c r="AH188" s="327">
        <f t="shared" si="27"/>
        <v>601047</v>
      </c>
      <c r="AK188" s="328">
        <f t="shared" si="28"/>
        <v>0</v>
      </c>
      <c r="AL188" s="338" t="s">
        <v>2315</v>
      </c>
      <c r="AM188" s="338"/>
      <c r="AN188" s="391"/>
      <c r="AO188" s="391"/>
      <c r="AP188" s="391"/>
      <c r="AQ188" s="332">
        <f>0.6%+0.04%+0.1%</f>
        <v>0.0074</v>
      </c>
      <c r="AR188" s="398">
        <f t="shared" si="24"/>
        <v>601047</v>
      </c>
      <c r="AS188" s="327"/>
      <c r="AT188" s="327"/>
      <c r="AU188" s="327"/>
      <c r="AV188" s="327"/>
      <c r="AW188" s="327"/>
      <c r="AX188" s="327"/>
      <c r="AY188" s="184"/>
      <c r="BA188" s="327">
        <v>601047</v>
      </c>
      <c r="BB188" s="327"/>
      <c r="BC188" s="327"/>
      <c r="BD188" s="327"/>
      <c r="BE188" s="327"/>
      <c r="BW188" s="323" t="s">
        <v>496</v>
      </c>
      <c r="BX188" s="323" t="s">
        <v>506</v>
      </c>
    </row>
    <row r="189" s="323" customFormat="1" customHeight="1" spans="1:76">
      <c r="A189" s="323">
        <v>122</v>
      </c>
      <c r="C189" s="323" t="s">
        <v>1277</v>
      </c>
      <c r="D189" s="343" t="s">
        <v>2316</v>
      </c>
      <c r="F189" s="338" t="s">
        <v>2317</v>
      </c>
      <c r="G189" s="337" t="s">
        <v>2318</v>
      </c>
      <c r="H189" s="839" t="s">
        <v>2319</v>
      </c>
      <c r="I189" s="361" t="s">
        <v>2320</v>
      </c>
      <c r="J189" s="323">
        <v>107.62</v>
      </c>
      <c r="K189" s="323">
        <v>107.62</v>
      </c>
      <c r="L189" s="323">
        <v>5269.38</v>
      </c>
      <c r="M189" s="366">
        <v>567091</v>
      </c>
      <c r="N189" s="367"/>
      <c r="O189" s="368">
        <v>520266.97</v>
      </c>
      <c r="P189" s="369" t="s">
        <v>2321</v>
      </c>
      <c r="Q189" s="369" t="s">
        <v>1589</v>
      </c>
      <c r="R189" s="327"/>
      <c r="S189" s="330"/>
      <c r="T189" s="381" t="s">
        <v>2322</v>
      </c>
      <c r="U189" s="378" t="s">
        <v>2323</v>
      </c>
      <c r="V189" s="327">
        <v>177091</v>
      </c>
      <c r="W189" s="389" t="s">
        <v>1277</v>
      </c>
      <c r="X189" s="327">
        <v>390000</v>
      </c>
      <c r="Y189" s="389" t="s">
        <v>2324</v>
      </c>
      <c r="Z189" s="327"/>
      <c r="AB189" s="327"/>
      <c r="AH189" s="327">
        <f t="shared" si="27"/>
        <v>567091</v>
      </c>
      <c r="AK189" s="328">
        <f t="shared" si="28"/>
        <v>0</v>
      </c>
      <c r="AL189" s="338" t="s">
        <v>2325</v>
      </c>
      <c r="AM189" s="338"/>
      <c r="AN189" s="391"/>
      <c r="AO189" s="391"/>
      <c r="AP189" s="391"/>
      <c r="AQ189" s="332">
        <f>0.6%+0.1%</f>
        <v>0.007</v>
      </c>
      <c r="AR189" s="398">
        <f t="shared" si="24"/>
        <v>567091</v>
      </c>
      <c r="AS189" s="327">
        <v>100</v>
      </c>
      <c r="AT189" s="327"/>
      <c r="AU189" s="327"/>
      <c r="AV189" s="327">
        <v>177091</v>
      </c>
      <c r="AW189" s="327"/>
      <c r="AX189" s="327"/>
      <c r="AY189" s="184">
        <v>390000</v>
      </c>
      <c r="BA189" s="327"/>
      <c r="BB189" s="327"/>
      <c r="BC189" s="327"/>
      <c r="BD189" s="327"/>
      <c r="BE189" s="327"/>
      <c r="BW189" s="323" t="s">
        <v>496</v>
      </c>
      <c r="BX189" s="323" t="s">
        <v>506</v>
      </c>
    </row>
    <row r="190" s="323" customFormat="1" customHeight="1" spans="1:76">
      <c r="A190" s="323">
        <v>123</v>
      </c>
      <c r="C190" s="323" t="s">
        <v>2044</v>
      </c>
      <c r="D190" s="343" t="s">
        <v>2326</v>
      </c>
      <c r="F190" s="338" t="s">
        <v>2327</v>
      </c>
      <c r="G190" s="337" t="s">
        <v>2221</v>
      </c>
      <c r="H190" s="839" t="s">
        <v>2328</v>
      </c>
      <c r="I190" s="364" t="s">
        <v>2329</v>
      </c>
      <c r="J190" s="323">
        <v>107.98</v>
      </c>
      <c r="K190" s="323">
        <v>107.98</v>
      </c>
      <c r="L190" s="323">
        <v>5653.65</v>
      </c>
      <c r="M190" s="366">
        <v>610481</v>
      </c>
      <c r="N190" s="367"/>
      <c r="O190" s="368">
        <v>560074.31</v>
      </c>
      <c r="P190" s="369" t="s">
        <v>2330</v>
      </c>
      <c r="Q190" s="369" t="s">
        <v>1589</v>
      </c>
      <c r="R190" s="327"/>
      <c r="S190" s="330"/>
      <c r="T190" s="330"/>
      <c r="U190" s="330" t="s">
        <v>590</v>
      </c>
      <c r="V190" s="327">
        <v>20000</v>
      </c>
      <c r="W190" s="330" t="s">
        <v>1428</v>
      </c>
      <c r="X190" s="327">
        <v>170481</v>
      </c>
      <c r="Y190" s="389" t="s">
        <v>2044</v>
      </c>
      <c r="Z190" s="327">
        <v>420000</v>
      </c>
      <c r="AA190" s="323" t="s">
        <v>1368</v>
      </c>
      <c r="AB190" s="327"/>
      <c r="AH190" s="327">
        <f t="shared" si="27"/>
        <v>610481</v>
      </c>
      <c r="AK190" s="328">
        <f t="shared" si="28"/>
        <v>0</v>
      </c>
      <c r="AL190" s="338" t="s">
        <v>2331</v>
      </c>
      <c r="AM190" s="338"/>
      <c r="AN190" s="391"/>
      <c r="AO190" s="391"/>
      <c r="AP190" s="391"/>
      <c r="AQ190" s="332">
        <f>0.6%+0.04%+0.1%</f>
        <v>0.0074</v>
      </c>
      <c r="AR190" s="398">
        <f t="shared" si="24"/>
        <v>610481</v>
      </c>
      <c r="AS190" s="327">
        <f>100</f>
        <v>100</v>
      </c>
      <c r="AT190" s="327"/>
      <c r="AU190" s="327"/>
      <c r="AV190" s="327"/>
      <c r="AW190" s="327"/>
      <c r="AX190" s="327">
        <v>190481</v>
      </c>
      <c r="AY190" s="184">
        <v>420000</v>
      </c>
      <c r="BA190" s="327"/>
      <c r="BB190" s="327"/>
      <c r="BC190" s="327"/>
      <c r="BD190" s="327"/>
      <c r="BE190" s="327"/>
      <c r="BW190" s="323" t="s">
        <v>496</v>
      </c>
      <c r="BX190" s="323" t="s">
        <v>506</v>
      </c>
    </row>
    <row r="191" s="323" customFormat="1" customHeight="1" spans="1:76">
      <c r="A191" s="323">
        <v>124</v>
      </c>
      <c r="C191" s="323" t="s">
        <v>1017</v>
      </c>
      <c r="D191" s="343" t="s">
        <v>2332</v>
      </c>
      <c r="F191" s="338" t="s">
        <v>2333</v>
      </c>
      <c r="G191" s="340" t="s">
        <v>2196</v>
      </c>
      <c r="H191" s="838" t="s">
        <v>2334</v>
      </c>
      <c r="I191" s="361" t="s">
        <v>2335</v>
      </c>
      <c r="J191" s="323">
        <v>107.62</v>
      </c>
      <c r="K191" s="323">
        <v>107.62</v>
      </c>
      <c r="L191" s="323">
        <v>5936.5</v>
      </c>
      <c r="M191" s="366">
        <v>638888</v>
      </c>
      <c r="N191" s="367"/>
      <c r="O191" s="368">
        <v>586135.78</v>
      </c>
      <c r="P191" s="369" t="s">
        <v>2336</v>
      </c>
      <c r="Q191" s="369" t="s">
        <v>2337</v>
      </c>
      <c r="R191" s="327"/>
      <c r="S191" s="330"/>
      <c r="T191" s="330"/>
      <c r="U191" s="330" t="s">
        <v>590</v>
      </c>
      <c r="V191" s="327">
        <v>20000</v>
      </c>
      <c r="W191" s="389" t="s">
        <v>1458</v>
      </c>
      <c r="X191" s="327">
        <v>3888</v>
      </c>
      <c r="Y191" s="323" t="s">
        <v>1017</v>
      </c>
      <c r="Z191" s="327">
        <v>115000</v>
      </c>
      <c r="AA191" s="330" t="s">
        <v>1345</v>
      </c>
      <c r="AB191" s="327">
        <v>500000</v>
      </c>
      <c r="AC191" s="330" t="s">
        <v>1422</v>
      </c>
      <c r="AD191" s="327"/>
      <c r="AE191" s="330"/>
      <c r="AH191" s="327">
        <f t="shared" si="27"/>
        <v>638888</v>
      </c>
      <c r="AK191" s="328">
        <f t="shared" si="28"/>
        <v>0</v>
      </c>
      <c r="AL191" s="338" t="s">
        <v>2338</v>
      </c>
      <c r="AM191" s="338"/>
      <c r="AN191" s="391"/>
      <c r="AO191" s="391"/>
      <c r="AP191" s="391"/>
      <c r="AQ191" s="332">
        <f>0.4%+0.02%+0.08%</f>
        <v>0.005</v>
      </c>
      <c r="AR191" s="398">
        <f t="shared" si="24"/>
        <v>638888</v>
      </c>
      <c r="AS191" s="327"/>
      <c r="AT191" s="327">
        <v>100</v>
      </c>
      <c r="AU191" s="327"/>
      <c r="AV191" s="327"/>
      <c r="AW191" s="327"/>
      <c r="AX191" s="327"/>
      <c r="AY191" s="184"/>
      <c r="AZ191" s="135"/>
      <c r="BA191" s="327">
        <v>138888</v>
      </c>
      <c r="BB191" s="327"/>
      <c r="BC191" s="327">
        <v>500000</v>
      </c>
      <c r="BD191" s="327"/>
      <c r="BE191" s="327"/>
      <c r="BW191" s="323" t="s">
        <v>496</v>
      </c>
      <c r="BX191" s="323" t="s">
        <v>506</v>
      </c>
    </row>
    <row r="192" s="323" customFormat="1" customHeight="1" spans="1:76">
      <c r="A192" s="323">
        <v>125</v>
      </c>
      <c r="C192" s="323" t="s">
        <v>1495</v>
      </c>
      <c r="D192" s="343" t="s">
        <v>2339</v>
      </c>
      <c r="F192" s="338" t="s">
        <v>2340</v>
      </c>
      <c r="G192" s="323" t="s">
        <v>2341</v>
      </c>
      <c r="H192" s="833" t="s">
        <v>2342</v>
      </c>
      <c r="I192" s="364" t="s">
        <v>2343</v>
      </c>
      <c r="J192" s="323">
        <v>107.98</v>
      </c>
      <c r="K192" s="323">
        <v>107.98</v>
      </c>
      <c r="L192" s="323">
        <v>5640</v>
      </c>
      <c r="M192" s="366">
        <v>609007</v>
      </c>
      <c r="N192" s="367"/>
      <c r="O192" s="368">
        <v>558722.02</v>
      </c>
      <c r="P192" s="369" t="s">
        <v>2344</v>
      </c>
      <c r="Q192" s="369" t="s">
        <v>2337</v>
      </c>
      <c r="R192" s="327"/>
      <c r="S192" s="330"/>
      <c r="T192" s="330"/>
      <c r="U192" s="330" t="s">
        <v>502</v>
      </c>
      <c r="V192" s="327">
        <v>20000</v>
      </c>
      <c r="W192" s="330" t="s">
        <v>2345</v>
      </c>
      <c r="X192" s="327"/>
      <c r="Y192" s="389"/>
      <c r="Z192" s="327">
        <v>102007</v>
      </c>
      <c r="AA192" s="323" t="s">
        <v>1495</v>
      </c>
      <c r="AB192" s="327">
        <v>487000</v>
      </c>
      <c r="AC192" s="330" t="s">
        <v>2346</v>
      </c>
      <c r="AH192" s="327">
        <f t="shared" si="27"/>
        <v>609007</v>
      </c>
      <c r="AK192" s="328">
        <f t="shared" si="28"/>
        <v>0</v>
      </c>
      <c r="AL192" s="338" t="s">
        <v>2347</v>
      </c>
      <c r="AM192" s="338"/>
      <c r="AN192" s="391"/>
      <c r="AO192" s="391"/>
      <c r="AP192" s="391"/>
      <c r="AQ192" s="332">
        <f>0.6%+0.14%</f>
        <v>0.0074</v>
      </c>
      <c r="AR192" s="398">
        <f t="shared" si="24"/>
        <v>609007</v>
      </c>
      <c r="AS192" s="327"/>
      <c r="AT192" s="327"/>
      <c r="AU192" s="327"/>
      <c r="AV192" s="327"/>
      <c r="AW192" s="327"/>
      <c r="AX192" s="327"/>
      <c r="AY192" s="184">
        <v>122007</v>
      </c>
      <c r="BA192" s="327"/>
      <c r="BB192" s="327">
        <v>487000</v>
      </c>
      <c r="BC192" s="327"/>
      <c r="BD192" s="327"/>
      <c r="BE192" s="327"/>
      <c r="BW192" s="323" t="s">
        <v>496</v>
      </c>
      <c r="BX192" s="323" t="s">
        <v>506</v>
      </c>
    </row>
    <row r="193" s="323" customFormat="1" customHeight="1" spans="1:76">
      <c r="A193" s="323">
        <v>126</v>
      </c>
      <c r="C193" s="323" t="s">
        <v>2348</v>
      </c>
      <c r="D193" s="343" t="s">
        <v>2349</v>
      </c>
      <c r="F193" s="338" t="s">
        <v>2350</v>
      </c>
      <c r="G193" s="323" t="s">
        <v>2351</v>
      </c>
      <c r="H193" s="833" t="s">
        <v>2352</v>
      </c>
      <c r="I193" s="361" t="s">
        <v>2353</v>
      </c>
      <c r="J193" s="323">
        <v>107.62</v>
      </c>
      <c r="K193" s="323">
        <v>107.62</v>
      </c>
      <c r="L193" s="323">
        <v>5850</v>
      </c>
      <c r="M193" s="366">
        <f>K193*L193</f>
        <v>629577</v>
      </c>
      <c r="N193" s="367">
        <v>5850</v>
      </c>
      <c r="O193" s="368">
        <v>577593.58</v>
      </c>
      <c r="P193" s="369" t="s">
        <v>2354</v>
      </c>
      <c r="Q193" s="369" t="s">
        <v>2337</v>
      </c>
      <c r="R193" s="327"/>
      <c r="S193" s="330"/>
      <c r="T193" s="330"/>
      <c r="U193" s="330" t="s">
        <v>502</v>
      </c>
      <c r="V193" s="327">
        <v>20000</v>
      </c>
      <c r="W193" s="330" t="s">
        <v>2292</v>
      </c>
      <c r="X193" s="327">
        <v>109577</v>
      </c>
      <c r="Y193" s="389" t="s">
        <v>2348</v>
      </c>
      <c r="Z193" s="327">
        <v>500000</v>
      </c>
      <c r="AA193" s="323" t="s">
        <v>1335</v>
      </c>
      <c r="AB193" s="327"/>
      <c r="AH193" s="327">
        <f t="shared" ref="AH193:AH224" si="29">V193+X193+Z193+AB193+AD193+AF193</f>
        <v>629577</v>
      </c>
      <c r="AK193" s="328">
        <f t="shared" si="28"/>
        <v>0</v>
      </c>
      <c r="AL193" s="338" t="s">
        <v>2355</v>
      </c>
      <c r="AM193" s="338"/>
      <c r="AN193" s="391"/>
      <c r="AO193" s="391"/>
      <c r="AP193" s="391"/>
      <c r="AQ193" s="332">
        <f>0.6%+0.14%</f>
        <v>0.0074</v>
      </c>
      <c r="AR193" s="398">
        <f t="shared" si="24"/>
        <v>629577</v>
      </c>
      <c r="AS193" s="327"/>
      <c r="AT193" s="327"/>
      <c r="AU193" s="327"/>
      <c r="AV193" s="327"/>
      <c r="AW193" s="327"/>
      <c r="AX193" s="327"/>
      <c r="AY193" s="184">
        <v>129577</v>
      </c>
      <c r="AZ193" s="135">
        <v>500000</v>
      </c>
      <c r="BA193" s="327"/>
      <c r="BB193" s="327"/>
      <c r="BC193" s="327"/>
      <c r="BD193" s="327"/>
      <c r="BE193" s="327"/>
      <c r="BW193" s="323" t="s">
        <v>496</v>
      </c>
      <c r="BX193" s="323" t="s">
        <v>506</v>
      </c>
    </row>
    <row r="194" s="323" customFormat="1" customHeight="1" spans="1:76">
      <c r="A194" s="323">
        <v>127</v>
      </c>
      <c r="C194" s="323" t="s">
        <v>1083</v>
      </c>
      <c r="D194" s="343" t="s">
        <v>2356</v>
      </c>
      <c r="F194" s="338" t="s">
        <v>2357</v>
      </c>
      <c r="G194" s="337" t="s">
        <v>2358</v>
      </c>
      <c r="H194" s="833" t="s">
        <v>2359</v>
      </c>
      <c r="I194" s="364" t="s">
        <v>2360</v>
      </c>
      <c r="J194" s="323">
        <v>107.98</v>
      </c>
      <c r="K194" s="323">
        <v>107.98</v>
      </c>
      <c r="L194" s="323">
        <v>5985.13</v>
      </c>
      <c r="M194" s="366">
        <v>646275</v>
      </c>
      <c r="N194" s="367">
        <v>5935.13</v>
      </c>
      <c r="O194" s="368">
        <v>592912.84</v>
      </c>
      <c r="P194" s="369" t="s">
        <v>2361</v>
      </c>
      <c r="Q194" s="369" t="s">
        <v>2337</v>
      </c>
      <c r="R194" s="327"/>
      <c r="S194" s="330"/>
      <c r="T194" s="330"/>
      <c r="U194" s="330" t="s">
        <v>594</v>
      </c>
      <c r="V194" s="327">
        <f>20000+101275+15000</f>
        <v>136275</v>
      </c>
      <c r="W194" s="389" t="s">
        <v>1110</v>
      </c>
      <c r="X194" s="327">
        <v>510000</v>
      </c>
      <c r="Y194" s="330" t="s">
        <v>638</v>
      </c>
      <c r="Z194" s="327"/>
      <c r="AA194" s="330"/>
      <c r="AB194" s="327"/>
      <c r="AH194" s="327">
        <f t="shared" si="29"/>
        <v>646275</v>
      </c>
      <c r="AK194" s="328">
        <f t="shared" si="28"/>
        <v>0</v>
      </c>
      <c r="AL194" s="338" t="s">
        <v>2362</v>
      </c>
      <c r="AM194" s="338"/>
      <c r="AN194" s="391"/>
      <c r="AO194" s="391"/>
      <c r="AP194" s="391"/>
      <c r="AQ194" s="332">
        <f>0.6%+0.05%+0.14%</f>
        <v>0.0079</v>
      </c>
      <c r="AR194" s="398">
        <f t="shared" si="24"/>
        <v>646275</v>
      </c>
      <c r="AS194" s="327"/>
      <c r="AT194" s="327">
        <v>100</v>
      </c>
      <c r="AU194" s="327"/>
      <c r="AV194" s="327"/>
      <c r="AW194" s="327"/>
      <c r="AX194" s="327"/>
      <c r="AY194" s="184"/>
      <c r="AZ194" s="135"/>
      <c r="BA194" s="327">
        <v>136275</v>
      </c>
      <c r="BB194" s="327">
        <v>510000</v>
      </c>
      <c r="BC194" s="327"/>
      <c r="BD194" s="327"/>
      <c r="BE194" s="327"/>
      <c r="BW194" s="323" t="s">
        <v>496</v>
      </c>
      <c r="BX194" s="323" t="s">
        <v>506</v>
      </c>
    </row>
    <row r="195" s="323" customFormat="1" customHeight="1" spans="1:76">
      <c r="A195" s="323">
        <v>128</v>
      </c>
      <c r="C195" s="323" t="s">
        <v>2363</v>
      </c>
      <c r="D195" s="343" t="s">
        <v>2364</v>
      </c>
      <c r="F195" s="338" t="s">
        <v>2365</v>
      </c>
      <c r="G195" s="323" t="s">
        <v>2366</v>
      </c>
      <c r="H195" s="833" t="s">
        <v>2367</v>
      </c>
      <c r="I195" s="361" t="s">
        <v>2368</v>
      </c>
      <c r="J195" s="323">
        <v>107.62</v>
      </c>
      <c r="K195" s="323">
        <v>107.62</v>
      </c>
      <c r="L195" s="323">
        <v>5671.55</v>
      </c>
      <c r="M195" s="366">
        <v>610372</v>
      </c>
      <c r="N195" s="367"/>
      <c r="O195" s="368">
        <v>559974.31</v>
      </c>
      <c r="P195" s="369" t="s">
        <v>2369</v>
      </c>
      <c r="Q195" s="369" t="s">
        <v>2337</v>
      </c>
      <c r="R195" s="327"/>
      <c r="S195" s="330"/>
      <c r="T195" s="330"/>
      <c r="U195" s="330" t="s">
        <v>2370</v>
      </c>
      <c r="V195" s="327">
        <v>10000</v>
      </c>
      <c r="W195" s="330" t="s">
        <v>1429</v>
      </c>
      <c r="X195" s="327">
        <v>77372</v>
      </c>
      <c r="Y195" s="389" t="s">
        <v>2363</v>
      </c>
      <c r="Z195" s="327">
        <v>35000</v>
      </c>
      <c r="AA195" s="330" t="s">
        <v>982</v>
      </c>
      <c r="AB195" s="327">
        <v>488000</v>
      </c>
      <c r="AC195" s="330" t="s">
        <v>1422</v>
      </c>
      <c r="AH195" s="327">
        <f t="shared" si="29"/>
        <v>610372</v>
      </c>
      <c r="AK195" s="328">
        <f t="shared" si="28"/>
        <v>0</v>
      </c>
      <c r="AL195" s="338" t="s">
        <v>2371</v>
      </c>
      <c r="AM195" s="338"/>
      <c r="AN195" s="391"/>
      <c r="AO195" s="391"/>
      <c r="AP195" s="391"/>
      <c r="AQ195" s="332">
        <f>0.4%+0.14%</f>
        <v>0.0054</v>
      </c>
      <c r="AR195" s="398">
        <f t="shared" si="24"/>
        <v>610372</v>
      </c>
      <c r="AS195" s="327"/>
      <c r="AT195" s="327"/>
      <c r="AU195" s="327"/>
      <c r="AV195" s="327"/>
      <c r="AW195" s="327"/>
      <c r="AX195" s="327"/>
      <c r="AY195" s="184"/>
      <c r="AZ195" s="135"/>
      <c r="BA195" s="327">
        <v>122372</v>
      </c>
      <c r="BB195" s="327"/>
      <c r="BC195" s="327">
        <v>488000</v>
      </c>
      <c r="BD195" s="327"/>
      <c r="BE195" s="327"/>
      <c r="BW195" s="323" t="s">
        <v>496</v>
      </c>
      <c r="BX195" s="323" t="s">
        <v>506</v>
      </c>
    </row>
    <row r="196" s="323" customFormat="1" customHeight="1" spans="1:76">
      <c r="A196" s="323">
        <v>129</v>
      </c>
      <c r="C196" s="323" t="s">
        <v>2372</v>
      </c>
      <c r="D196" s="343" t="s">
        <v>2373</v>
      </c>
      <c r="F196" s="836" t="s">
        <v>2374</v>
      </c>
      <c r="G196" s="323" t="s">
        <v>2375</v>
      </c>
      <c r="I196" s="364" t="s">
        <v>2376</v>
      </c>
      <c r="J196" s="323">
        <v>107.98</v>
      </c>
      <c r="K196" s="323">
        <v>107.98</v>
      </c>
      <c r="L196" s="323">
        <v>6019.63</v>
      </c>
      <c r="M196" s="366">
        <v>650000</v>
      </c>
      <c r="N196" s="367">
        <v>5955.8</v>
      </c>
      <c r="O196" s="368">
        <v>596330.28</v>
      </c>
      <c r="P196" s="369" t="s">
        <v>2377</v>
      </c>
      <c r="Q196" s="369" t="s">
        <v>2337</v>
      </c>
      <c r="R196" s="327"/>
      <c r="S196" s="330"/>
      <c r="T196" s="330"/>
      <c r="U196" s="330" t="s">
        <v>721</v>
      </c>
      <c r="V196" s="327">
        <v>130000</v>
      </c>
      <c r="W196" s="330" t="s">
        <v>2372</v>
      </c>
      <c r="X196" s="327">
        <v>520000</v>
      </c>
      <c r="Y196" s="330" t="s">
        <v>2378</v>
      </c>
      <c r="Z196" s="327"/>
      <c r="AB196" s="327"/>
      <c r="AH196" s="327">
        <f t="shared" si="29"/>
        <v>650000</v>
      </c>
      <c r="AK196" s="328">
        <f t="shared" si="28"/>
        <v>0</v>
      </c>
      <c r="AL196" s="338" t="s">
        <v>2379</v>
      </c>
      <c r="AM196" s="338"/>
      <c r="AN196" s="391"/>
      <c r="AO196" s="391"/>
      <c r="AP196" s="391"/>
      <c r="AQ196" s="478">
        <f>0.7%+0.05%+0.12%</f>
        <v>0.0087</v>
      </c>
      <c r="AR196" s="398">
        <f t="shared" si="24"/>
        <v>650000</v>
      </c>
      <c r="AS196" s="327"/>
      <c r="AT196" s="327"/>
      <c r="AU196" s="327"/>
      <c r="AV196" s="327"/>
      <c r="AW196" s="327"/>
      <c r="AX196" s="327"/>
      <c r="AY196" s="184"/>
      <c r="BA196" s="327"/>
      <c r="BB196" s="327">
        <v>130000</v>
      </c>
      <c r="BC196" s="327"/>
      <c r="BD196" s="327"/>
      <c r="BE196" s="327">
        <v>520000</v>
      </c>
      <c r="BW196" s="323" t="s">
        <v>496</v>
      </c>
      <c r="BX196" s="323" t="s">
        <v>506</v>
      </c>
    </row>
    <row r="197" s="323" customFormat="1" customHeight="1" spans="1:76">
      <c r="A197" s="323">
        <v>130</v>
      </c>
      <c r="C197" s="323" t="s">
        <v>2182</v>
      </c>
      <c r="D197" s="343" t="s">
        <v>2380</v>
      </c>
      <c r="F197" s="338" t="s">
        <v>2381</v>
      </c>
      <c r="G197" s="323" t="s">
        <v>2382</v>
      </c>
      <c r="H197" s="833" t="s">
        <v>2383</v>
      </c>
      <c r="I197" s="361" t="s">
        <v>2384</v>
      </c>
      <c r="J197" s="323">
        <v>107.62</v>
      </c>
      <c r="K197" s="323">
        <v>107.62</v>
      </c>
      <c r="L197" s="323">
        <v>5737</v>
      </c>
      <c r="M197" s="366">
        <v>617416</v>
      </c>
      <c r="N197" s="367">
        <v>5655.65</v>
      </c>
      <c r="O197" s="368">
        <v>566436.7</v>
      </c>
      <c r="P197" s="369" t="s">
        <v>2385</v>
      </c>
      <c r="Q197" s="369" t="s">
        <v>2337</v>
      </c>
      <c r="R197" s="327"/>
      <c r="S197" s="330"/>
      <c r="T197" s="330"/>
      <c r="U197" s="330" t="s">
        <v>508</v>
      </c>
      <c r="V197" s="327">
        <v>20000</v>
      </c>
      <c r="W197" s="380" t="s">
        <v>906</v>
      </c>
      <c r="X197" s="327">
        <v>197416</v>
      </c>
      <c r="Y197" s="389" t="s">
        <v>2182</v>
      </c>
      <c r="Z197" s="327">
        <v>400000</v>
      </c>
      <c r="AA197" s="323" t="s">
        <v>1692</v>
      </c>
      <c r="AB197" s="327"/>
      <c r="AH197" s="327">
        <f t="shared" si="29"/>
        <v>617416</v>
      </c>
      <c r="AK197" s="328">
        <f t="shared" si="28"/>
        <v>0</v>
      </c>
      <c r="AL197" s="338" t="s">
        <v>2386</v>
      </c>
      <c r="AM197" s="338"/>
      <c r="AN197" s="391"/>
      <c r="AO197" s="391"/>
      <c r="AP197" s="391"/>
      <c r="AQ197" s="332">
        <f>0.6%+0.05%+0.14%</f>
        <v>0.0079</v>
      </c>
      <c r="AR197" s="398">
        <f t="shared" si="24"/>
        <v>617416</v>
      </c>
      <c r="AS197" s="327"/>
      <c r="AT197" s="327">
        <v>100</v>
      </c>
      <c r="AU197" s="327"/>
      <c r="AV197" s="327"/>
      <c r="AW197" s="327"/>
      <c r="AX197" s="327"/>
      <c r="AY197" s="184">
        <v>217416</v>
      </c>
      <c r="AZ197" s="135">
        <v>400000</v>
      </c>
      <c r="BA197" s="327"/>
      <c r="BB197" s="327"/>
      <c r="BC197" s="327"/>
      <c r="BD197" s="327"/>
      <c r="BE197" s="327"/>
      <c r="BW197" s="323" t="s">
        <v>496</v>
      </c>
      <c r="BX197" s="323" t="s">
        <v>506</v>
      </c>
    </row>
    <row r="198" s="323" customFormat="1" customHeight="1" spans="1:76">
      <c r="A198" s="323">
        <v>131</v>
      </c>
      <c r="C198" s="323" t="s">
        <v>1973</v>
      </c>
      <c r="D198" s="343" t="s">
        <v>2387</v>
      </c>
      <c r="F198" s="338" t="s">
        <v>2388</v>
      </c>
      <c r="G198" s="323" t="s">
        <v>2389</v>
      </c>
      <c r="H198" s="833" t="s">
        <v>2390</v>
      </c>
      <c r="I198" s="361" t="s">
        <v>2391</v>
      </c>
      <c r="J198" s="323">
        <v>107.98</v>
      </c>
      <c r="K198" s="323">
        <v>107.98</v>
      </c>
      <c r="L198" s="323">
        <v>7000</v>
      </c>
      <c r="M198" s="366">
        <v>755860</v>
      </c>
      <c r="N198" s="367">
        <v>6976</v>
      </c>
      <c r="O198" s="368">
        <v>693449.54</v>
      </c>
      <c r="P198" s="369" t="s">
        <v>2392</v>
      </c>
      <c r="Q198" s="369" t="s">
        <v>2337</v>
      </c>
      <c r="R198" s="327"/>
      <c r="S198" s="330"/>
      <c r="T198" s="330"/>
      <c r="U198" s="330" t="s">
        <v>1427</v>
      </c>
      <c r="V198" s="327">
        <v>20000</v>
      </c>
      <c r="W198" s="330" t="s">
        <v>989</v>
      </c>
      <c r="X198" s="327">
        <v>259860</v>
      </c>
      <c r="Y198" s="389" t="s">
        <v>1973</v>
      </c>
      <c r="Z198" s="327">
        <v>177000</v>
      </c>
      <c r="AA198" s="323" t="s">
        <v>1248</v>
      </c>
      <c r="AB198" s="327">
        <v>299000</v>
      </c>
      <c r="AC198" s="330" t="s">
        <v>2299</v>
      </c>
      <c r="AH198" s="327">
        <f t="shared" si="29"/>
        <v>755860</v>
      </c>
      <c r="AK198" s="328">
        <f t="shared" si="28"/>
        <v>0</v>
      </c>
      <c r="AL198" s="338" t="s">
        <v>2393</v>
      </c>
      <c r="AM198" s="338"/>
      <c r="AN198" s="391"/>
      <c r="AO198" s="391"/>
      <c r="AP198" s="391"/>
      <c r="AQ198" s="332">
        <f>0.6%+0.06%+0.14%</f>
        <v>0.008</v>
      </c>
      <c r="AR198" s="398">
        <f t="shared" ref="AR198:AR261" si="30">SUM(AU198:BR198)</f>
        <v>755860</v>
      </c>
      <c r="AS198" s="327"/>
      <c r="AT198" s="327">
        <v>100</v>
      </c>
      <c r="AU198" s="327"/>
      <c r="AV198" s="327"/>
      <c r="AW198" s="327"/>
      <c r="AX198" s="327"/>
      <c r="AY198" s="184"/>
      <c r="AZ198" s="135">
        <v>456860</v>
      </c>
      <c r="BA198" s="327">
        <v>299000</v>
      </c>
      <c r="BB198" s="327"/>
      <c r="BC198" s="327"/>
      <c r="BD198" s="327"/>
      <c r="BE198" s="327"/>
      <c r="BW198" s="323" t="s">
        <v>496</v>
      </c>
      <c r="BX198" s="323" t="s">
        <v>506</v>
      </c>
    </row>
    <row r="199" s="323" customFormat="1" customHeight="1" spans="1:76">
      <c r="A199" s="323">
        <v>132</v>
      </c>
      <c r="C199" s="323" t="s">
        <v>656</v>
      </c>
      <c r="D199" s="343" t="s">
        <v>2394</v>
      </c>
      <c r="F199" s="338" t="s">
        <v>2395</v>
      </c>
      <c r="G199" s="323" t="s">
        <v>2396</v>
      </c>
      <c r="H199" s="833" t="s">
        <v>2397</v>
      </c>
      <c r="I199" s="361" t="s">
        <v>2398</v>
      </c>
      <c r="J199" s="323">
        <v>107.62</v>
      </c>
      <c r="K199" s="323">
        <v>107.62</v>
      </c>
      <c r="L199" s="323">
        <v>7040</v>
      </c>
      <c r="M199" s="366">
        <v>757645</v>
      </c>
      <c r="N199" s="367">
        <v>6976</v>
      </c>
      <c r="O199" s="368">
        <v>695087.16</v>
      </c>
      <c r="P199" s="369" t="s">
        <v>2399</v>
      </c>
      <c r="Q199" s="369" t="s">
        <v>1589</v>
      </c>
      <c r="R199" s="327"/>
      <c r="S199" s="330"/>
      <c r="T199" s="330"/>
      <c r="U199" s="330" t="s">
        <v>709</v>
      </c>
      <c r="V199" s="327">
        <v>20000</v>
      </c>
      <c r="W199" s="330" t="s">
        <v>1110</v>
      </c>
      <c r="X199" s="327">
        <v>180645</v>
      </c>
      <c r="Y199" s="330" t="s">
        <v>940</v>
      </c>
      <c r="Z199" s="327">
        <v>557000</v>
      </c>
      <c r="AA199" s="330" t="s">
        <v>2400</v>
      </c>
      <c r="AB199" s="327"/>
      <c r="AH199" s="327">
        <f t="shared" si="29"/>
        <v>757645</v>
      </c>
      <c r="AK199" s="328">
        <f t="shared" si="28"/>
        <v>0</v>
      </c>
      <c r="AL199" s="338" t="s">
        <v>2401</v>
      </c>
      <c r="AM199" s="338"/>
      <c r="AN199" s="391"/>
      <c r="AO199" s="391"/>
      <c r="AP199" s="391"/>
      <c r="AQ199" s="332">
        <f>0.7%+0.14%</f>
        <v>0.0084</v>
      </c>
      <c r="AR199" s="398">
        <f t="shared" si="30"/>
        <v>757645</v>
      </c>
      <c r="AS199" s="327"/>
      <c r="AT199" s="327"/>
      <c r="AU199" s="327"/>
      <c r="AV199" s="327"/>
      <c r="AW199" s="327"/>
      <c r="AX199" s="327"/>
      <c r="AY199" s="184"/>
      <c r="BA199" s="327"/>
      <c r="BB199" s="327"/>
      <c r="BC199" s="327"/>
      <c r="BD199" s="327">
        <v>200645</v>
      </c>
      <c r="BE199" s="327">
        <v>557000</v>
      </c>
      <c r="BW199" s="323" t="s">
        <v>496</v>
      </c>
      <c r="BX199" s="323" t="s">
        <v>506</v>
      </c>
    </row>
    <row r="200" s="323" customFormat="1" customHeight="1" spans="1:76">
      <c r="A200" s="323">
        <v>133</v>
      </c>
      <c r="C200" s="380">
        <v>45081</v>
      </c>
      <c r="D200" s="343" t="s">
        <v>2402</v>
      </c>
      <c r="F200" s="833" t="s">
        <v>2403</v>
      </c>
      <c r="G200" s="342" t="s">
        <v>2404</v>
      </c>
      <c r="I200" s="364" t="s">
        <v>2405</v>
      </c>
      <c r="J200" s="323">
        <v>107.62</v>
      </c>
      <c r="K200" s="323">
        <v>107.62</v>
      </c>
      <c r="L200" s="323">
        <v>8173.5</v>
      </c>
      <c r="M200" s="366">
        <v>878000</v>
      </c>
      <c r="N200" s="367">
        <v>8140</v>
      </c>
      <c r="O200" s="368">
        <v>805504.59</v>
      </c>
      <c r="P200" s="369" t="s">
        <v>2406</v>
      </c>
      <c r="Q200" s="369" t="s">
        <v>2407</v>
      </c>
      <c r="R200" s="327"/>
      <c r="S200" s="330"/>
      <c r="T200" s="330"/>
      <c r="U200" s="330" t="s">
        <v>721</v>
      </c>
      <c r="V200" s="327">
        <v>20000</v>
      </c>
      <c r="W200" s="330" t="s">
        <v>1663</v>
      </c>
      <c r="X200" s="327">
        <v>27000</v>
      </c>
      <c r="Y200" s="380" t="s">
        <v>2408</v>
      </c>
      <c r="Z200" s="327">
        <f>47000-47000</f>
        <v>0</v>
      </c>
      <c r="AA200" s="330"/>
      <c r="AB200" s="327">
        <v>131000</v>
      </c>
      <c r="AC200" s="330" t="s">
        <v>2409</v>
      </c>
      <c r="AD200" s="327">
        <v>700000</v>
      </c>
      <c r="AE200" s="330" t="s">
        <v>706</v>
      </c>
      <c r="AH200" s="327">
        <f t="shared" si="29"/>
        <v>878000</v>
      </c>
      <c r="AK200" s="328">
        <f t="shared" si="28"/>
        <v>0</v>
      </c>
      <c r="AL200" s="338" t="s">
        <v>2410</v>
      </c>
      <c r="AM200" s="338"/>
      <c r="AN200" s="391"/>
      <c r="AO200" s="391"/>
      <c r="AP200" s="391"/>
      <c r="AQ200" s="332">
        <f>0.4%+0.02%+0.08%</f>
        <v>0.005</v>
      </c>
      <c r="AR200" s="398">
        <f t="shared" si="30"/>
        <v>878000</v>
      </c>
      <c r="AS200" s="327">
        <v>100</v>
      </c>
      <c r="AT200" s="327"/>
      <c r="AU200" s="327"/>
      <c r="AV200" s="327"/>
      <c r="AW200" s="327"/>
      <c r="AX200" s="327"/>
      <c r="AY200" s="184"/>
      <c r="BA200" s="327"/>
      <c r="BB200" s="327"/>
      <c r="BC200" s="327"/>
      <c r="BD200" s="327"/>
      <c r="BE200" s="327">
        <v>178000</v>
      </c>
      <c r="BF200" s="323">
        <v>700000</v>
      </c>
      <c r="BW200" s="323" t="s">
        <v>496</v>
      </c>
      <c r="BX200" s="323" t="s">
        <v>506</v>
      </c>
    </row>
    <row r="201" s="323" customFormat="1" customHeight="1" spans="1:76">
      <c r="A201" s="323">
        <v>134</v>
      </c>
      <c r="B201" s="323"/>
      <c r="C201" s="323"/>
      <c r="D201" s="343"/>
      <c r="E201" s="323" t="s">
        <v>2411</v>
      </c>
      <c r="F201" s="338"/>
      <c r="G201" s="323" t="s">
        <v>2412</v>
      </c>
      <c r="H201" s="323"/>
      <c r="I201" s="361" t="s">
        <v>2413</v>
      </c>
      <c r="J201" s="323">
        <v>107.42</v>
      </c>
      <c r="K201" s="323">
        <v>107.42</v>
      </c>
      <c r="L201" s="323">
        <v>8031</v>
      </c>
      <c r="M201" s="366">
        <v>862690</v>
      </c>
      <c r="N201" s="323">
        <v>8650</v>
      </c>
      <c r="O201" s="368">
        <v>791458.72</v>
      </c>
      <c r="P201" s="369" t="s">
        <v>2414</v>
      </c>
      <c r="Q201" s="369" t="s">
        <v>177</v>
      </c>
      <c r="R201" s="327">
        <f>330000+532690</f>
        <v>862690</v>
      </c>
      <c r="S201" s="330" t="s">
        <v>865</v>
      </c>
      <c r="T201" s="330"/>
      <c r="U201" s="330"/>
      <c r="V201" s="327">
        <v>532690</v>
      </c>
      <c r="W201" s="330" t="s">
        <v>865</v>
      </c>
      <c r="X201" s="327">
        <v>330000</v>
      </c>
      <c r="Y201" s="389" t="s">
        <v>865</v>
      </c>
      <c r="Z201" s="327"/>
      <c r="AB201" s="327"/>
      <c r="AH201" s="327">
        <f t="shared" si="29"/>
        <v>862690</v>
      </c>
      <c r="AK201" s="328">
        <f t="shared" si="28"/>
        <v>0</v>
      </c>
      <c r="AL201" s="338"/>
      <c r="AM201" s="338"/>
      <c r="AN201" s="391"/>
      <c r="AO201" s="391"/>
      <c r="AP201" s="391"/>
      <c r="AQ201" s="332"/>
      <c r="AR201" s="398">
        <f t="shared" si="30"/>
        <v>0</v>
      </c>
      <c r="AS201" s="327">
        <v>100</v>
      </c>
      <c r="AT201" s="327"/>
      <c r="AU201" s="327"/>
      <c r="AV201" s="327"/>
      <c r="AW201" s="327"/>
      <c r="AX201" s="327"/>
      <c r="AY201" s="184"/>
      <c r="BA201" s="327"/>
      <c r="BB201" s="327"/>
      <c r="BC201" s="327"/>
      <c r="BD201" s="327"/>
      <c r="BE201" s="327"/>
      <c r="BW201" s="323" t="s">
        <v>496</v>
      </c>
      <c r="BX201" s="323" t="s">
        <v>2415</v>
      </c>
    </row>
    <row r="202" s="59" customFormat="1" customHeight="1" spans="1:57">
      <c r="A202" s="436">
        <v>135</v>
      </c>
      <c r="B202" s="172"/>
      <c r="C202" s="172"/>
      <c r="D202" s="414"/>
      <c r="E202" s="172" t="s">
        <v>2416</v>
      </c>
      <c r="F202" s="415"/>
      <c r="G202" s="461"/>
      <c r="H202" s="336"/>
      <c r="I202" s="439" t="s">
        <v>2417</v>
      </c>
      <c r="J202" s="172">
        <v>107.62</v>
      </c>
      <c r="K202" s="172"/>
      <c r="L202" s="172"/>
      <c r="M202" s="440"/>
      <c r="N202" s="172">
        <v>5896.54</v>
      </c>
      <c r="O202" s="419"/>
      <c r="P202" s="420"/>
      <c r="Q202" s="420"/>
      <c r="R202" s="358"/>
      <c r="S202" s="448"/>
      <c r="T202" s="448"/>
      <c r="U202" s="448"/>
      <c r="V202" s="457"/>
      <c r="W202" s="469"/>
      <c r="X202" s="457"/>
      <c r="Y202" s="474"/>
      <c r="Z202" s="457"/>
      <c r="AB202" s="457"/>
      <c r="AH202" s="327">
        <f t="shared" si="29"/>
        <v>0</v>
      </c>
      <c r="AI202" s="172"/>
      <c r="AJ202" s="172"/>
      <c r="AK202" s="359">
        <f t="shared" si="28"/>
        <v>0</v>
      </c>
      <c r="AL202" s="415"/>
      <c r="AM202" s="415"/>
      <c r="AN202" s="476"/>
      <c r="AO202" s="476"/>
      <c r="AP202" s="476"/>
      <c r="AQ202" s="456"/>
      <c r="AR202" s="397">
        <f t="shared" si="30"/>
        <v>0</v>
      </c>
      <c r="AS202" s="457"/>
      <c r="AT202" s="457">
        <f>100+100</f>
        <v>200</v>
      </c>
      <c r="AU202" s="457"/>
      <c r="AV202" s="457"/>
      <c r="AW202" s="457"/>
      <c r="AX202" s="457"/>
      <c r="AY202" s="480"/>
      <c r="BA202" s="457"/>
      <c r="BB202" s="457"/>
      <c r="BC202" s="457"/>
      <c r="BD202" s="457"/>
      <c r="BE202" s="457"/>
    </row>
    <row r="203" s="59" customFormat="1" customHeight="1" spans="1:57">
      <c r="A203" s="436">
        <v>136</v>
      </c>
      <c r="B203" s="172"/>
      <c r="C203" s="172"/>
      <c r="D203" s="414"/>
      <c r="E203" s="172" t="s">
        <v>2418</v>
      </c>
      <c r="F203" s="415"/>
      <c r="G203" s="461"/>
      <c r="H203" s="336"/>
      <c r="I203" s="463" t="s">
        <v>2419</v>
      </c>
      <c r="J203" s="172">
        <v>107.62</v>
      </c>
      <c r="K203" s="172"/>
      <c r="L203" s="172"/>
      <c r="M203" s="440"/>
      <c r="N203" s="172">
        <v>5889.94</v>
      </c>
      <c r="O203" s="419"/>
      <c r="P203" s="420"/>
      <c r="Q203" s="420"/>
      <c r="R203" s="358"/>
      <c r="S203" s="377"/>
      <c r="T203" s="377"/>
      <c r="U203" s="377"/>
      <c r="V203" s="457"/>
      <c r="W203" s="423"/>
      <c r="X203" s="457"/>
      <c r="Y203" s="474"/>
      <c r="Z203" s="457"/>
      <c r="AB203" s="457"/>
      <c r="AH203" s="327">
        <f t="shared" si="29"/>
        <v>0</v>
      </c>
      <c r="AI203" s="172"/>
      <c r="AJ203" s="172"/>
      <c r="AK203" s="359">
        <f t="shared" si="28"/>
        <v>0</v>
      </c>
      <c r="AL203" s="415"/>
      <c r="AM203" s="415"/>
      <c r="AN203" s="476"/>
      <c r="AO203" s="476"/>
      <c r="AP203" s="476"/>
      <c r="AQ203" s="456"/>
      <c r="AR203" s="397">
        <f t="shared" si="30"/>
        <v>0</v>
      </c>
      <c r="AS203" s="457"/>
      <c r="AT203" s="457">
        <v>100</v>
      </c>
      <c r="AU203" s="457"/>
      <c r="AV203" s="457"/>
      <c r="AW203" s="457"/>
      <c r="AX203" s="457"/>
      <c r="AY203" s="480"/>
      <c r="BA203" s="457"/>
      <c r="BB203" s="457"/>
      <c r="BC203" s="457"/>
      <c r="BD203" s="457"/>
      <c r="BE203" s="457"/>
    </row>
    <row r="204" s="323" customFormat="1" customHeight="1" spans="1:76">
      <c r="A204" s="323">
        <v>137</v>
      </c>
      <c r="C204" s="323">
        <v>2023.4</v>
      </c>
      <c r="D204" s="343" t="s">
        <v>2420</v>
      </c>
      <c r="F204" s="338" t="s">
        <v>2421</v>
      </c>
      <c r="G204" s="337" t="s">
        <v>2422</v>
      </c>
      <c r="H204" s="839" t="s">
        <v>2423</v>
      </c>
      <c r="I204" s="364" t="s">
        <v>2424</v>
      </c>
      <c r="J204" s="323">
        <v>107.62</v>
      </c>
      <c r="K204" s="323">
        <v>107.62</v>
      </c>
      <c r="L204" s="323">
        <v>5342.87</v>
      </c>
      <c r="M204" s="366">
        <v>575000</v>
      </c>
      <c r="N204" s="367"/>
      <c r="O204" s="368">
        <v>527522.94</v>
      </c>
      <c r="P204" s="369" t="s">
        <v>2425</v>
      </c>
      <c r="Q204" s="369" t="s">
        <v>2407</v>
      </c>
      <c r="R204" s="327"/>
      <c r="S204" s="330"/>
      <c r="T204" s="330"/>
      <c r="U204" s="330" t="s">
        <v>594</v>
      </c>
      <c r="V204" s="327">
        <v>20000</v>
      </c>
      <c r="W204" s="380" t="s">
        <v>2053</v>
      </c>
      <c r="X204" s="327">
        <v>355000</v>
      </c>
      <c r="Y204" s="389" t="s">
        <v>2426</v>
      </c>
      <c r="Z204" s="327">
        <v>200000</v>
      </c>
      <c r="AA204" s="323" t="s">
        <v>677</v>
      </c>
      <c r="AB204" s="327"/>
      <c r="AH204" s="327">
        <f t="shared" si="29"/>
        <v>575000</v>
      </c>
      <c r="AK204" s="328">
        <f t="shared" si="28"/>
        <v>0</v>
      </c>
      <c r="AL204" s="338" t="s">
        <v>2427</v>
      </c>
      <c r="AM204" s="338"/>
      <c r="AN204" s="391"/>
      <c r="AO204" s="391"/>
      <c r="AP204" s="391"/>
      <c r="AQ204" s="332">
        <f>0.6%+0.04%+0.1%</f>
        <v>0.0074</v>
      </c>
      <c r="AR204" s="398">
        <f t="shared" si="30"/>
        <v>575000</v>
      </c>
      <c r="AS204" s="327"/>
      <c r="AT204" s="327"/>
      <c r="AU204" s="327"/>
      <c r="AV204" s="327"/>
      <c r="AW204" s="327"/>
      <c r="AX204" s="327"/>
      <c r="AY204" s="184">
        <v>575000</v>
      </c>
      <c r="BA204" s="327"/>
      <c r="BB204" s="327"/>
      <c r="BC204" s="327"/>
      <c r="BD204" s="327"/>
      <c r="BE204" s="327"/>
      <c r="BW204" s="323" t="s">
        <v>496</v>
      </c>
      <c r="BX204" s="323" t="s">
        <v>506</v>
      </c>
    </row>
    <row r="205" s="323" customFormat="1" customHeight="1" spans="1:76">
      <c r="A205" s="323">
        <v>138</v>
      </c>
      <c r="C205" s="323" t="s">
        <v>1430</v>
      </c>
      <c r="D205" s="343" t="s">
        <v>2428</v>
      </c>
      <c r="F205" s="338" t="s">
        <v>2429</v>
      </c>
      <c r="G205" s="323" t="s">
        <v>2430</v>
      </c>
      <c r="H205" s="833" t="s">
        <v>2431</v>
      </c>
      <c r="I205" s="361" t="s">
        <v>2432</v>
      </c>
      <c r="J205" s="323">
        <v>107.62</v>
      </c>
      <c r="K205" s="323">
        <v>107.62</v>
      </c>
      <c r="L205" s="323">
        <v>5600</v>
      </c>
      <c r="M205" s="366">
        <v>602672</v>
      </c>
      <c r="N205" s="367">
        <v>5588.51</v>
      </c>
      <c r="O205" s="368">
        <v>552910.09</v>
      </c>
      <c r="P205" s="369" t="s">
        <v>2433</v>
      </c>
      <c r="Q205" s="369" t="s">
        <v>2407</v>
      </c>
      <c r="R205" s="327"/>
      <c r="S205" s="330"/>
      <c r="T205" s="330"/>
      <c r="U205" s="330" t="s">
        <v>709</v>
      </c>
      <c r="V205" s="327">
        <v>20000</v>
      </c>
      <c r="W205" s="330" t="s">
        <v>2434</v>
      </c>
      <c r="X205" s="327">
        <v>382672</v>
      </c>
      <c r="Y205" s="330" t="s">
        <v>1430</v>
      </c>
      <c r="Z205" s="327">
        <v>200000</v>
      </c>
      <c r="AA205" s="330" t="s">
        <v>541</v>
      </c>
      <c r="AB205" s="327"/>
      <c r="AH205" s="327">
        <f t="shared" si="29"/>
        <v>602672</v>
      </c>
      <c r="AK205" s="328">
        <f t="shared" si="28"/>
        <v>0</v>
      </c>
      <c r="AL205" s="338" t="s">
        <v>2435</v>
      </c>
      <c r="AM205" s="338"/>
      <c r="AN205" s="391"/>
      <c r="AO205" s="391"/>
      <c r="AP205" s="391"/>
      <c r="AQ205" s="332">
        <f>0.7%+0.14%</f>
        <v>0.0084</v>
      </c>
      <c r="AR205" s="398">
        <f t="shared" si="30"/>
        <v>602672</v>
      </c>
      <c r="AS205" s="327"/>
      <c r="AT205" s="327">
        <v>100</v>
      </c>
      <c r="AU205" s="327"/>
      <c r="AV205" s="327"/>
      <c r="AW205" s="327"/>
      <c r="AX205" s="327"/>
      <c r="AY205" s="184"/>
      <c r="BA205" s="327"/>
      <c r="BB205" s="327"/>
      <c r="BC205" s="327"/>
      <c r="BD205" s="327">
        <v>602672</v>
      </c>
      <c r="BE205" s="327"/>
      <c r="BW205" s="323" t="s">
        <v>496</v>
      </c>
      <c r="BX205" s="323" t="s">
        <v>506</v>
      </c>
    </row>
    <row r="206" s="323" customFormat="1" customHeight="1" spans="1:76">
      <c r="A206" s="323">
        <v>139</v>
      </c>
      <c r="C206" s="323" t="s">
        <v>2436</v>
      </c>
      <c r="D206" s="343" t="s">
        <v>2437</v>
      </c>
      <c r="F206" s="338" t="s">
        <v>2438</v>
      </c>
      <c r="G206" s="323" t="s">
        <v>2439</v>
      </c>
      <c r="H206" s="833" t="s">
        <v>2440</v>
      </c>
      <c r="I206" s="364" t="s">
        <v>2441</v>
      </c>
      <c r="J206" s="323">
        <v>107.62</v>
      </c>
      <c r="K206" s="323">
        <v>107.62</v>
      </c>
      <c r="L206" s="323">
        <v>5407.9</v>
      </c>
      <c r="M206" s="366">
        <v>582000</v>
      </c>
      <c r="N206" s="367"/>
      <c r="O206" s="368">
        <v>533944.95</v>
      </c>
      <c r="P206" s="369" t="s">
        <v>2442</v>
      </c>
      <c r="Q206" s="369" t="s">
        <v>2407</v>
      </c>
      <c r="R206" s="327"/>
      <c r="S206" s="330"/>
      <c r="T206" s="330"/>
      <c r="U206" s="330" t="s">
        <v>594</v>
      </c>
      <c r="V206" s="327">
        <v>20000</v>
      </c>
      <c r="W206" s="330" t="s">
        <v>1428</v>
      </c>
      <c r="X206" s="327">
        <v>172000</v>
      </c>
      <c r="Y206" s="389" t="s">
        <v>2436</v>
      </c>
      <c r="Z206" s="327">
        <v>190000</v>
      </c>
      <c r="AA206" s="323" t="s">
        <v>1368</v>
      </c>
      <c r="AB206" s="327">
        <v>200000</v>
      </c>
      <c r="AC206" s="323" t="s">
        <v>1692</v>
      </c>
      <c r="AH206" s="327">
        <f t="shared" si="29"/>
        <v>582000</v>
      </c>
      <c r="AK206" s="328">
        <f t="shared" si="28"/>
        <v>0</v>
      </c>
      <c r="AL206" s="338"/>
      <c r="AM206" s="338"/>
      <c r="AN206" s="391"/>
      <c r="AO206" s="391"/>
      <c r="AP206" s="391"/>
      <c r="AQ206" s="332">
        <f>0.6%+0.04%+0.1%</f>
        <v>0.0074</v>
      </c>
      <c r="AR206" s="398">
        <f t="shared" si="30"/>
        <v>582000</v>
      </c>
      <c r="AS206" s="327"/>
      <c r="AT206" s="327"/>
      <c r="AU206" s="327"/>
      <c r="AV206" s="327"/>
      <c r="AW206" s="327"/>
      <c r="AX206" s="327"/>
      <c r="AY206" s="184">
        <v>382000</v>
      </c>
      <c r="AZ206" s="135">
        <v>200000</v>
      </c>
      <c r="BA206" s="327"/>
      <c r="BB206" s="327"/>
      <c r="BC206" s="327"/>
      <c r="BD206" s="327"/>
      <c r="BE206" s="327"/>
      <c r="BW206" s="323" t="s">
        <v>496</v>
      </c>
      <c r="BX206" s="323" t="s">
        <v>506</v>
      </c>
    </row>
    <row r="207" s="323" customFormat="1" customHeight="1" spans="1:76">
      <c r="A207" s="323">
        <v>140</v>
      </c>
      <c r="C207" s="323">
        <v>2023.5</v>
      </c>
      <c r="D207" s="343" t="s">
        <v>2443</v>
      </c>
      <c r="F207" s="338" t="s">
        <v>2444</v>
      </c>
      <c r="G207" s="323" t="s">
        <v>2445</v>
      </c>
      <c r="H207" s="833" t="s">
        <v>2446</v>
      </c>
      <c r="I207" s="361" t="s">
        <v>2447</v>
      </c>
      <c r="J207" s="323">
        <v>107.62</v>
      </c>
      <c r="K207" s="323">
        <v>107.62</v>
      </c>
      <c r="L207" s="323">
        <v>5407.9</v>
      </c>
      <c r="M207" s="366">
        <v>582000</v>
      </c>
      <c r="N207" s="367"/>
      <c r="O207" s="368">
        <v>533944.95</v>
      </c>
      <c r="P207" s="369" t="s">
        <v>2448</v>
      </c>
      <c r="Q207" s="369" t="s">
        <v>2407</v>
      </c>
      <c r="R207" s="327"/>
      <c r="S207" s="330"/>
      <c r="T207" s="331"/>
      <c r="U207" s="330" t="s">
        <v>594</v>
      </c>
      <c r="V207" s="327">
        <v>20000</v>
      </c>
      <c r="W207" s="330" t="s">
        <v>1428</v>
      </c>
      <c r="X207" s="327">
        <v>382000</v>
      </c>
      <c r="Y207" s="330" t="s">
        <v>685</v>
      </c>
      <c r="Z207" s="327">
        <v>180000</v>
      </c>
      <c r="AA207" s="330" t="s">
        <v>1935</v>
      </c>
      <c r="AD207" s="327"/>
      <c r="AG207" s="390"/>
      <c r="AH207" s="327">
        <f t="shared" si="29"/>
        <v>582000</v>
      </c>
      <c r="AI207" s="338"/>
      <c r="AJ207" s="391"/>
      <c r="AK207" s="328">
        <f t="shared" si="28"/>
        <v>0</v>
      </c>
      <c r="AQ207" s="332">
        <f>0.6%+0.04%+0.1%</f>
        <v>0.0074</v>
      </c>
      <c r="AR207" s="398">
        <f t="shared" si="30"/>
        <v>582000</v>
      </c>
      <c r="AS207" s="327"/>
      <c r="AT207" s="327"/>
      <c r="AU207" s="327"/>
      <c r="AV207" s="327"/>
      <c r="AW207" s="327"/>
      <c r="AX207" s="327"/>
      <c r="AY207" s="184"/>
      <c r="BA207" s="327">
        <v>402000</v>
      </c>
      <c r="BB207" s="327"/>
      <c r="BC207" s="327"/>
      <c r="BD207" s="327">
        <v>180000</v>
      </c>
      <c r="BE207" s="327"/>
      <c r="BW207" s="323" t="s">
        <v>496</v>
      </c>
      <c r="BX207" s="323" t="s">
        <v>506</v>
      </c>
    </row>
    <row r="208" s="323" customFormat="1" customHeight="1" spans="1:76">
      <c r="A208" s="323">
        <v>141</v>
      </c>
      <c r="C208" s="323" t="s">
        <v>2449</v>
      </c>
      <c r="D208" s="343" t="s">
        <v>2450</v>
      </c>
      <c r="F208" s="338" t="s">
        <v>2451</v>
      </c>
      <c r="G208" s="342" t="s">
        <v>2452</v>
      </c>
      <c r="H208" s="838" t="s">
        <v>2453</v>
      </c>
      <c r="I208" s="364" t="s">
        <v>2454</v>
      </c>
      <c r="J208" s="323">
        <v>107.62</v>
      </c>
      <c r="K208" s="323">
        <v>107.62</v>
      </c>
      <c r="L208" s="323">
        <v>5491.54</v>
      </c>
      <c r="M208" s="366">
        <v>591000</v>
      </c>
      <c r="N208" s="367"/>
      <c r="O208" s="368">
        <v>542201.83</v>
      </c>
      <c r="P208" s="369" t="s">
        <v>2455</v>
      </c>
      <c r="Q208" s="369" t="s">
        <v>2407</v>
      </c>
      <c r="R208" s="327"/>
      <c r="S208" s="330"/>
      <c r="T208" s="330"/>
      <c r="U208" s="330" t="s">
        <v>524</v>
      </c>
      <c r="V208" s="327">
        <v>20000</v>
      </c>
      <c r="W208" s="330" t="s">
        <v>1393</v>
      </c>
      <c r="X208" s="327">
        <v>271000</v>
      </c>
      <c r="Y208" s="380" t="s">
        <v>2449</v>
      </c>
      <c r="Z208" s="327">
        <v>300000</v>
      </c>
      <c r="AA208" s="330" t="s">
        <v>2090</v>
      </c>
      <c r="AB208" s="327"/>
      <c r="AH208" s="327">
        <f t="shared" si="29"/>
        <v>591000</v>
      </c>
      <c r="AK208" s="328">
        <f t="shared" si="28"/>
        <v>0</v>
      </c>
      <c r="AL208" s="338" t="s">
        <v>2456</v>
      </c>
      <c r="AM208" s="338"/>
      <c r="AN208" s="393"/>
      <c r="AO208" s="393"/>
      <c r="AP208" s="393"/>
      <c r="AQ208" s="332">
        <f>0.6%+0.04%+0.1%</f>
        <v>0.0074</v>
      </c>
      <c r="AR208" s="398">
        <f t="shared" si="30"/>
        <v>591000</v>
      </c>
      <c r="AS208" s="327"/>
      <c r="AT208" s="327">
        <v>100</v>
      </c>
      <c r="AU208" s="327"/>
      <c r="AV208" s="327"/>
      <c r="AW208" s="327"/>
      <c r="AX208" s="327">
        <v>291000</v>
      </c>
      <c r="AY208" s="184"/>
      <c r="BA208" s="327"/>
      <c r="BB208" s="327">
        <v>300000</v>
      </c>
      <c r="BC208" s="327"/>
      <c r="BD208" s="327"/>
      <c r="BE208" s="327"/>
      <c r="BW208" s="323" t="s">
        <v>496</v>
      </c>
      <c r="BX208" s="323" t="s">
        <v>506</v>
      </c>
    </row>
    <row r="209" s="323" customFormat="1" customHeight="1" spans="1:76">
      <c r="A209" s="323">
        <v>142</v>
      </c>
      <c r="C209" s="323" t="s">
        <v>1299</v>
      </c>
      <c r="D209" s="343" t="s">
        <v>2457</v>
      </c>
      <c r="F209" s="338" t="s">
        <v>2458</v>
      </c>
      <c r="G209" s="342" t="s">
        <v>2459</v>
      </c>
      <c r="H209" s="838" t="s">
        <v>2460</v>
      </c>
      <c r="I209" s="361" t="s">
        <v>2461</v>
      </c>
      <c r="J209" s="323">
        <v>107.62</v>
      </c>
      <c r="K209" s="323">
        <v>107.62</v>
      </c>
      <c r="L209" s="323">
        <v>5483.27</v>
      </c>
      <c r="M209" s="366">
        <v>590000</v>
      </c>
      <c r="N209" s="367"/>
      <c r="O209" s="368">
        <v>541284.4</v>
      </c>
      <c r="P209" s="369" t="s">
        <v>2462</v>
      </c>
      <c r="Q209" s="369" t="s">
        <v>2407</v>
      </c>
      <c r="R209" s="327"/>
      <c r="S209" s="330"/>
      <c r="T209" s="330"/>
      <c r="U209" s="330" t="s">
        <v>524</v>
      </c>
      <c r="V209" s="327">
        <v>20000</v>
      </c>
      <c r="W209" s="380" t="s">
        <v>1393</v>
      </c>
      <c r="X209" s="327">
        <v>170000</v>
      </c>
      <c r="Y209" s="384" t="s">
        <v>1299</v>
      </c>
      <c r="Z209" s="327">
        <v>400000</v>
      </c>
      <c r="AA209" s="330" t="s">
        <v>975</v>
      </c>
      <c r="AB209" s="327"/>
      <c r="AH209" s="327">
        <f t="shared" si="29"/>
        <v>590000</v>
      </c>
      <c r="AK209" s="328">
        <f t="shared" si="28"/>
        <v>0</v>
      </c>
      <c r="AL209" s="338" t="s">
        <v>2463</v>
      </c>
      <c r="AM209" s="338"/>
      <c r="AN209" s="393"/>
      <c r="AO209" s="393"/>
      <c r="AP209" s="393"/>
      <c r="AQ209" s="332">
        <f>0.6%+0.04%+0.1%</f>
        <v>0.0074</v>
      </c>
      <c r="AR209" s="398">
        <f t="shared" si="30"/>
        <v>590000</v>
      </c>
      <c r="AS209" s="327"/>
      <c r="AT209" s="327"/>
      <c r="AU209" s="327"/>
      <c r="AV209" s="327"/>
      <c r="AW209" s="327"/>
      <c r="AX209" s="327"/>
      <c r="AY209" s="184">
        <v>190000</v>
      </c>
      <c r="BA209" s="327">
        <v>400000</v>
      </c>
      <c r="BB209" s="327"/>
      <c r="BC209" s="327"/>
      <c r="BD209" s="327"/>
      <c r="BE209" s="327"/>
      <c r="BW209" s="323" t="s">
        <v>496</v>
      </c>
      <c r="BX209" s="323" t="s">
        <v>506</v>
      </c>
    </row>
    <row r="210" s="323" customFormat="1" customHeight="1" spans="1:76">
      <c r="A210" s="323">
        <v>143</v>
      </c>
      <c r="C210" s="323" t="s">
        <v>1382</v>
      </c>
      <c r="D210" s="323">
        <v>20230001086</v>
      </c>
      <c r="F210" s="338" t="s">
        <v>2464</v>
      </c>
      <c r="G210" s="340" t="s">
        <v>2208</v>
      </c>
      <c r="H210" s="837" t="s">
        <v>2465</v>
      </c>
      <c r="I210" s="364" t="s">
        <v>2466</v>
      </c>
      <c r="J210" s="323">
        <v>107.62</v>
      </c>
      <c r="K210" s="323">
        <v>107.62</v>
      </c>
      <c r="L210" s="464">
        <v>5262.39</v>
      </c>
      <c r="M210" s="465">
        <v>566338</v>
      </c>
      <c r="N210" s="466"/>
      <c r="O210" s="467">
        <v>519576.15</v>
      </c>
      <c r="P210" s="369" t="s">
        <v>2467</v>
      </c>
      <c r="Q210" s="369" t="s">
        <v>2407</v>
      </c>
      <c r="R210" s="327"/>
      <c r="S210" s="330"/>
      <c r="T210" s="331" t="s">
        <v>2468</v>
      </c>
      <c r="U210" s="330" t="s">
        <v>2469</v>
      </c>
      <c r="V210" s="327">
        <v>16338</v>
      </c>
      <c r="W210" s="380" t="s">
        <v>1382</v>
      </c>
      <c r="X210" s="327">
        <v>12900</v>
      </c>
      <c r="Y210" s="380" t="s">
        <v>1644</v>
      </c>
      <c r="Z210" s="327">
        <v>87100</v>
      </c>
      <c r="AA210" s="330" t="s">
        <v>1083</v>
      </c>
      <c r="AB210" s="327">
        <v>450000</v>
      </c>
      <c r="AC210" s="330" t="s">
        <v>2470</v>
      </c>
      <c r="AH210" s="327">
        <f t="shared" si="29"/>
        <v>566338</v>
      </c>
      <c r="AK210" s="328">
        <f t="shared" si="28"/>
        <v>0</v>
      </c>
      <c r="AL210" s="338" t="s">
        <v>2471</v>
      </c>
      <c r="AM210" s="338"/>
      <c r="AN210" s="477"/>
      <c r="AO210" s="477"/>
      <c r="AP210" s="477"/>
      <c r="AQ210" s="332">
        <f>0.4%+0.04%+0.1%+0.04%</f>
        <v>0.0058</v>
      </c>
      <c r="AR210" s="398">
        <f t="shared" si="30"/>
        <v>566338</v>
      </c>
      <c r="AS210" s="327"/>
      <c r="AT210" s="327">
        <v>100</v>
      </c>
      <c r="AU210" s="327"/>
      <c r="AV210" s="327"/>
      <c r="AW210" s="327"/>
      <c r="AX210" s="327"/>
      <c r="AY210" s="184"/>
      <c r="AZ210" s="135"/>
      <c r="BA210" s="327">
        <v>116338</v>
      </c>
      <c r="BB210" s="327"/>
      <c r="BC210" s="327">
        <v>450000</v>
      </c>
      <c r="BD210" s="327"/>
      <c r="BE210" s="327"/>
      <c r="BW210" s="323" t="s">
        <v>496</v>
      </c>
      <c r="BX210" s="323" t="s">
        <v>506</v>
      </c>
    </row>
    <row r="211" s="323" customFormat="1" customHeight="1" spans="1:76">
      <c r="A211" s="323">
        <v>144</v>
      </c>
      <c r="C211" s="323" t="s">
        <v>1237</v>
      </c>
      <c r="D211" s="343" t="s">
        <v>2472</v>
      </c>
      <c r="F211" s="338" t="s">
        <v>2473</v>
      </c>
      <c r="G211" s="340" t="s">
        <v>2194</v>
      </c>
      <c r="H211" s="837" t="s">
        <v>2474</v>
      </c>
      <c r="I211" s="361" t="s">
        <v>2475</v>
      </c>
      <c r="J211" s="323">
        <v>107.62</v>
      </c>
      <c r="K211" s="323">
        <v>107.62</v>
      </c>
      <c r="L211" s="323">
        <v>5256.38</v>
      </c>
      <c r="M211" s="366">
        <v>565692</v>
      </c>
      <c r="N211" s="367"/>
      <c r="O211" s="368">
        <v>518983.49</v>
      </c>
      <c r="P211" s="369" t="s">
        <v>2476</v>
      </c>
      <c r="Q211" s="369" t="s">
        <v>2407</v>
      </c>
      <c r="R211" s="327"/>
      <c r="S211" s="330"/>
      <c r="T211" s="331" t="s">
        <v>2477</v>
      </c>
      <c r="U211" s="330" t="s">
        <v>2478</v>
      </c>
      <c r="V211" s="327">
        <v>2000</v>
      </c>
      <c r="W211" s="380">
        <v>44759</v>
      </c>
      <c r="X211" s="327">
        <v>18000</v>
      </c>
      <c r="Y211" s="380" t="s">
        <v>1297</v>
      </c>
      <c r="Z211" s="327">
        <v>100692</v>
      </c>
      <c r="AA211" s="380" t="s">
        <v>1237</v>
      </c>
      <c r="AB211" s="327">
        <v>50000</v>
      </c>
      <c r="AC211" s="323" t="s">
        <v>2479</v>
      </c>
      <c r="AD211" s="327">
        <v>395000</v>
      </c>
      <c r="AE211" s="330" t="s">
        <v>911</v>
      </c>
      <c r="AH211" s="327">
        <f t="shared" si="29"/>
        <v>565692</v>
      </c>
      <c r="AJ211" s="468"/>
      <c r="AK211" s="328">
        <f t="shared" si="28"/>
        <v>0</v>
      </c>
      <c r="AL211" s="338" t="s">
        <v>2480</v>
      </c>
      <c r="AM211" s="338"/>
      <c r="AN211" s="393"/>
      <c r="AO211" s="393"/>
      <c r="AP211" s="393"/>
      <c r="AQ211" s="332">
        <f>0.6%+0.04%+0.1%</f>
        <v>0.0074</v>
      </c>
      <c r="AR211" s="398">
        <f t="shared" si="30"/>
        <v>565692</v>
      </c>
      <c r="AS211" s="327"/>
      <c r="AT211" s="327"/>
      <c r="AU211" s="327"/>
      <c r="AV211" s="327">
        <v>170692</v>
      </c>
      <c r="AW211" s="327"/>
      <c r="AX211" s="327"/>
      <c r="AY211" s="184"/>
      <c r="BA211" s="327">
        <v>395000</v>
      </c>
      <c r="BB211" s="327"/>
      <c r="BC211" s="327"/>
      <c r="BD211" s="327"/>
      <c r="BE211" s="327"/>
      <c r="BW211" s="323" t="s">
        <v>496</v>
      </c>
      <c r="BX211" s="323" t="s">
        <v>506</v>
      </c>
    </row>
    <row r="212" s="323" customFormat="1" customHeight="1" spans="1:76">
      <c r="A212" s="323">
        <v>145</v>
      </c>
      <c r="C212" s="323" t="s">
        <v>1495</v>
      </c>
      <c r="D212" s="343" t="s">
        <v>2481</v>
      </c>
      <c r="F212" s="338" t="s">
        <v>2482</v>
      </c>
      <c r="G212" s="342" t="s">
        <v>2483</v>
      </c>
      <c r="H212" s="838" t="s">
        <v>2484</v>
      </c>
      <c r="I212" s="361" t="s">
        <v>2485</v>
      </c>
      <c r="J212" s="323">
        <v>107.62</v>
      </c>
      <c r="K212" s="323">
        <v>107.62</v>
      </c>
      <c r="L212" s="323">
        <v>5605.41</v>
      </c>
      <c r="M212" s="366">
        <v>603254</v>
      </c>
      <c r="N212" s="367"/>
      <c r="O212" s="368">
        <v>553444.04</v>
      </c>
      <c r="P212" s="369" t="s">
        <v>2486</v>
      </c>
      <c r="Q212" s="369" t="s">
        <v>2407</v>
      </c>
      <c r="R212" s="327"/>
      <c r="S212" s="330"/>
      <c r="T212" s="330"/>
      <c r="U212" s="330" t="s">
        <v>1427</v>
      </c>
      <c r="V212" s="327">
        <v>20000</v>
      </c>
      <c r="W212" s="330" t="s">
        <v>1842</v>
      </c>
      <c r="X212" s="327">
        <v>161254</v>
      </c>
      <c r="Y212" s="380" t="s">
        <v>1495</v>
      </c>
      <c r="Z212" s="327">
        <v>422000</v>
      </c>
      <c r="AA212" s="380" t="s">
        <v>1069</v>
      </c>
      <c r="AB212" s="327"/>
      <c r="AH212" s="327">
        <f t="shared" si="29"/>
        <v>603254</v>
      </c>
      <c r="AK212" s="328">
        <f t="shared" si="28"/>
        <v>0</v>
      </c>
      <c r="AL212" s="338" t="s">
        <v>2487</v>
      </c>
      <c r="AM212" s="338"/>
      <c r="AN212" s="393"/>
      <c r="AO212" s="393"/>
      <c r="AP212" s="393"/>
      <c r="AQ212" s="332">
        <f>0.6%+0.06%+0.14%</f>
        <v>0.008</v>
      </c>
      <c r="AR212" s="398">
        <f t="shared" si="30"/>
        <v>603254</v>
      </c>
      <c r="AS212" s="327"/>
      <c r="AT212" s="327"/>
      <c r="AU212" s="327"/>
      <c r="AV212" s="327"/>
      <c r="AW212" s="327"/>
      <c r="AX212" s="327"/>
      <c r="AY212" s="184">
        <v>181254</v>
      </c>
      <c r="AZ212" s="135">
        <v>422000</v>
      </c>
      <c r="BA212" s="327"/>
      <c r="BB212" s="327"/>
      <c r="BC212" s="327"/>
      <c r="BD212" s="327"/>
      <c r="BE212" s="327"/>
      <c r="BW212" s="323" t="s">
        <v>496</v>
      </c>
      <c r="BX212" s="323" t="s">
        <v>506</v>
      </c>
    </row>
    <row r="213" s="323" customFormat="1" customHeight="1" spans="1:76">
      <c r="A213" s="323">
        <v>146</v>
      </c>
      <c r="C213" s="323" t="s">
        <v>1050</v>
      </c>
      <c r="D213" s="343" t="s">
        <v>2488</v>
      </c>
      <c r="F213" s="338" t="s">
        <v>2489</v>
      </c>
      <c r="G213" s="342" t="s">
        <v>2490</v>
      </c>
      <c r="H213" s="838" t="s">
        <v>2491</v>
      </c>
      <c r="I213" s="361" t="s">
        <v>2492</v>
      </c>
      <c r="J213" s="323">
        <v>107.62</v>
      </c>
      <c r="K213" s="323">
        <v>107.62</v>
      </c>
      <c r="L213" s="323">
        <v>5301.38</v>
      </c>
      <c r="M213" s="366">
        <v>570535</v>
      </c>
      <c r="N213" s="367"/>
      <c r="O213" s="368">
        <v>523426.61</v>
      </c>
      <c r="P213" s="369" t="s">
        <v>2493</v>
      </c>
      <c r="Q213" s="369" t="s">
        <v>2407</v>
      </c>
      <c r="R213" s="327"/>
      <c r="S213" s="330"/>
      <c r="T213" s="331" t="s">
        <v>2494</v>
      </c>
      <c r="U213" s="330" t="s">
        <v>2495</v>
      </c>
      <c r="V213" s="327">
        <v>2000</v>
      </c>
      <c r="W213" s="380">
        <v>44761</v>
      </c>
      <c r="X213" s="327">
        <v>18000</v>
      </c>
      <c r="Y213" s="384" t="s">
        <v>1297</v>
      </c>
      <c r="Z213" s="327">
        <v>51535</v>
      </c>
      <c r="AA213" s="323" t="s">
        <v>1692</v>
      </c>
      <c r="AB213" s="327">
        <v>100000</v>
      </c>
      <c r="AC213" s="330" t="s">
        <v>1050</v>
      </c>
      <c r="AD213" s="327">
        <v>399000</v>
      </c>
      <c r="AE213" s="330" t="s">
        <v>1431</v>
      </c>
      <c r="AH213" s="327">
        <f t="shared" si="29"/>
        <v>570535</v>
      </c>
      <c r="AK213" s="328">
        <f t="shared" si="28"/>
        <v>0</v>
      </c>
      <c r="AL213" s="338" t="s">
        <v>2496</v>
      </c>
      <c r="AM213" s="338"/>
      <c r="AN213" s="393"/>
      <c r="AO213" s="393"/>
      <c r="AP213" s="393"/>
      <c r="AQ213" s="332">
        <f>0.6%+0.1%+0.04%</f>
        <v>0.0074</v>
      </c>
      <c r="AR213" s="398">
        <f t="shared" si="30"/>
        <v>570535</v>
      </c>
      <c r="AS213" s="327">
        <f>100</f>
        <v>100</v>
      </c>
      <c r="AT213" s="327"/>
      <c r="AU213" s="327"/>
      <c r="AV213" s="327"/>
      <c r="AW213" s="327"/>
      <c r="AX213" s="327"/>
      <c r="AY213" s="184"/>
      <c r="AZ213" s="135"/>
      <c r="BA213" s="327">
        <v>171535</v>
      </c>
      <c r="BB213" s="327">
        <v>399000</v>
      </c>
      <c r="BC213" s="327"/>
      <c r="BD213" s="327"/>
      <c r="BE213" s="327"/>
      <c r="BW213" s="323" t="s">
        <v>496</v>
      </c>
      <c r="BX213" s="323" t="s">
        <v>506</v>
      </c>
    </row>
    <row r="214" s="323" customFormat="1" customHeight="1" spans="1:76">
      <c r="A214" s="323">
        <v>147</v>
      </c>
      <c r="C214" s="323" t="s">
        <v>1494</v>
      </c>
      <c r="D214" s="343" t="s">
        <v>2497</v>
      </c>
      <c r="F214" s="338" t="s">
        <v>2498</v>
      </c>
      <c r="G214" s="340" t="s">
        <v>2499</v>
      </c>
      <c r="H214" s="837" t="s">
        <v>2500</v>
      </c>
      <c r="I214" s="361" t="s">
        <v>2501</v>
      </c>
      <c r="J214" s="323">
        <v>107.62</v>
      </c>
      <c r="K214" s="323">
        <v>107.62</v>
      </c>
      <c r="L214" s="323">
        <v>5620</v>
      </c>
      <c r="M214" s="366">
        <v>604824</v>
      </c>
      <c r="N214" s="367"/>
      <c r="O214" s="368">
        <v>554884.4</v>
      </c>
      <c r="P214" s="369" t="s">
        <v>2502</v>
      </c>
      <c r="Q214" s="369" t="s">
        <v>2407</v>
      </c>
      <c r="R214" s="327"/>
      <c r="S214" s="330"/>
      <c r="T214" s="330"/>
      <c r="U214" s="330" t="s">
        <v>2503</v>
      </c>
      <c r="V214" s="327">
        <f>20000+164824</f>
        <v>184824</v>
      </c>
      <c r="W214" s="330" t="s">
        <v>2044</v>
      </c>
      <c r="X214" s="327">
        <v>420000</v>
      </c>
      <c r="Y214" s="384" t="s">
        <v>1299</v>
      </c>
      <c r="Z214" s="327"/>
      <c r="AA214" s="380"/>
      <c r="AB214" s="327"/>
      <c r="AC214" s="380"/>
      <c r="AD214" s="380"/>
      <c r="AE214" s="380"/>
      <c r="AF214" s="380"/>
      <c r="AG214" s="380"/>
      <c r="AH214" s="327">
        <f t="shared" si="29"/>
        <v>604824</v>
      </c>
      <c r="AK214" s="328">
        <f t="shared" si="28"/>
        <v>0</v>
      </c>
      <c r="AL214" s="338" t="s">
        <v>2504</v>
      </c>
      <c r="AM214" s="338"/>
      <c r="AN214" s="393"/>
      <c r="AO214" s="393"/>
      <c r="AP214" s="393"/>
      <c r="AQ214" s="332">
        <f>0.4%</f>
        <v>0.004</v>
      </c>
      <c r="AR214" s="398">
        <f t="shared" si="30"/>
        <v>604824</v>
      </c>
      <c r="AS214" s="327">
        <v>100</v>
      </c>
      <c r="AT214" s="327"/>
      <c r="AU214" s="327"/>
      <c r="AV214" s="327"/>
      <c r="AW214" s="327"/>
      <c r="AX214" s="327">
        <v>184824</v>
      </c>
      <c r="AY214" s="184">
        <v>420000</v>
      </c>
      <c r="BA214" s="327"/>
      <c r="BB214" s="327"/>
      <c r="BC214" s="327"/>
      <c r="BD214" s="327"/>
      <c r="BE214" s="327"/>
      <c r="BW214" s="323" t="s">
        <v>496</v>
      </c>
      <c r="BX214" s="323" t="s">
        <v>506</v>
      </c>
    </row>
    <row r="215" s="323" customFormat="1" customHeight="1" spans="1:76">
      <c r="A215" s="323">
        <v>148</v>
      </c>
      <c r="C215" s="323" t="s">
        <v>2363</v>
      </c>
      <c r="D215" s="343" t="s">
        <v>2505</v>
      </c>
      <c r="F215" s="435" t="s">
        <v>2506</v>
      </c>
      <c r="G215" s="342" t="s">
        <v>2223</v>
      </c>
      <c r="H215" s="838" t="s">
        <v>2507</v>
      </c>
      <c r="I215" s="364" t="s">
        <v>2508</v>
      </c>
      <c r="J215" s="323">
        <v>107.62</v>
      </c>
      <c r="K215" s="323">
        <v>107.62</v>
      </c>
      <c r="L215" s="323">
        <v>5621.63</v>
      </c>
      <c r="M215" s="366">
        <v>605000</v>
      </c>
      <c r="N215" s="367"/>
      <c r="O215" s="368">
        <v>555045.87</v>
      </c>
      <c r="P215" s="369" t="s">
        <v>2509</v>
      </c>
      <c r="Q215" s="369" t="s">
        <v>2407</v>
      </c>
      <c r="R215" s="327"/>
      <c r="S215" s="330"/>
      <c r="T215" s="330"/>
      <c r="U215" s="330" t="s">
        <v>594</v>
      </c>
      <c r="V215" s="327">
        <v>20000</v>
      </c>
      <c r="W215" s="380" t="s">
        <v>1428</v>
      </c>
      <c r="X215" s="327">
        <f>200000+85000</f>
        <v>285000</v>
      </c>
      <c r="Y215" s="384" t="s">
        <v>2510</v>
      </c>
      <c r="Z215" s="327">
        <v>30000</v>
      </c>
      <c r="AA215" s="380" t="s">
        <v>2363</v>
      </c>
      <c r="AB215" s="327">
        <v>270000</v>
      </c>
      <c r="AC215" s="330" t="s">
        <v>1033</v>
      </c>
      <c r="AD215" s="380"/>
      <c r="AE215" s="380"/>
      <c r="AF215" s="380"/>
      <c r="AG215" s="380"/>
      <c r="AH215" s="327">
        <f t="shared" si="29"/>
        <v>605000</v>
      </c>
      <c r="AK215" s="328">
        <f t="shared" si="28"/>
        <v>0</v>
      </c>
      <c r="AL215" s="338" t="s">
        <v>2511</v>
      </c>
      <c r="AM215" s="338"/>
      <c r="AN215" s="393"/>
      <c r="AO215" s="393"/>
      <c r="AP215" s="393"/>
      <c r="AQ215" s="332">
        <f>0.6%+0.04%+0.1%</f>
        <v>0.0074</v>
      </c>
      <c r="AR215" s="398">
        <f t="shared" si="30"/>
        <v>605000</v>
      </c>
      <c r="AS215" s="327"/>
      <c r="AT215" s="327"/>
      <c r="AU215" s="327"/>
      <c r="AV215" s="327"/>
      <c r="AW215" s="327"/>
      <c r="AX215" s="327"/>
      <c r="AY215" s="184"/>
      <c r="AZ215" s="135">
        <v>335000</v>
      </c>
      <c r="BA215" s="327">
        <v>270000</v>
      </c>
      <c r="BB215" s="327"/>
      <c r="BC215" s="327"/>
      <c r="BD215" s="327"/>
      <c r="BE215" s="327"/>
      <c r="BW215" s="323" t="s">
        <v>496</v>
      </c>
      <c r="BX215" s="323" t="s">
        <v>506</v>
      </c>
    </row>
    <row r="216" s="323" customFormat="1" customHeight="1" spans="1:76">
      <c r="A216" s="323">
        <v>149</v>
      </c>
      <c r="C216" s="323" t="s">
        <v>2027</v>
      </c>
      <c r="D216" s="343" t="s">
        <v>2512</v>
      </c>
      <c r="F216" s="338" t="s">
        <v>2513</v>
      </c>
      <c r="G216" s="342" t="s">
        <v>2202</v>
      </c>
      <c r="H216" s="838" t="s">
        <v>2514</v>
      </c>
      <c r="I216" s="361" t="s">
        <v>2515</v>
      </c>
      <c r="J216" s="323">
        <v>107.62</v>
      </c>
      <c r="K216" s="323">
        <v>107.62</v>
      </c>
      <c r="L216" s="323">
        <v>5657.76</v>
      </c>
      <c r="M216" s="366">
        <v>608888</v>
      </c>
      <c r="N216" s="367"/>
      <c r="O216" s="368">
        <v>558612.84</v>
      </c>
      <c r="P216" s="369" t="s">
        <v>2516</v>
      </c>
      <c r="Q216" s="369" t="s">
        <v>2407</v>
      </c>
      <c r="R216" s="327"/>
      <c r="S216" s="330"/>
      <c r="T216" s="330"/>
      <c r="U216" s="330" t="s">
        <v>594</v>
      </c>
      <c r="V216" s="327">
        <v>20000</v>
      </c>
      <c r="W216" s="330" t="s">
        <v>2517</v>
      </c>
      <c r="X216" s="327">
        <v>68888</v>
      </c>
      <c r="Y216" s="384" t="s">
        <v>1682</v>
      </c>
      <c r="Z216" s="327">
        <v>40000</v>
      </c>
      <c r="AA216" s="380" t="s">
        <v>677</v>
      </c>
      <c r="AB216" s="327">
        <v>480000</v>
      </c>
      <c r="AC216" s="330" t="s">
        <v>1422</v>
      </c>
      <c r="AH216" s="327">
        <f t="shared" si="29"/>
        <v>608888</v>
      </c>
      <c r="AK216" s="328">
        <f t="shared" si="28"/>
        <v>0</v>
      </c>
      <c r="AL216" s="338" t="s">
        <v>2518</v>
      </c>
      <c r="AM216" s="338"/>
      <c r="AN216" s="393"/>
      <c r="AO216" s="393"/>
      <c r="AP216" s="393"/>
      <c r="AQ216" s="332">
        <f>0.6%+0.05%+0.14%</f>
        <v>0.0079</v>
      </c>
      <c r="AR216" s="398">
        <f t="shared" si="30"/>
        <v>608888</v>
      </c>
      <c r="AS216" s="327"/>
      <c r="AT216" s="327"/>
      <c r="AU216" s="327"/>
      <c r="AV216" s="327"/>
      <c r="AW216" s="327"/>
      <c r="AX216" s="327"/>
      <c r="AY216" s="184">
        <v>128888</v>
      </c>
      <c r="BA216" s="327"/>
      <c r="BB216" s="327"/>
      <c r="BC216" s="327">
        <v>480000</v>
      </c>
      <c r="BD216" s="327"/>
      <c r="BE216" s="327"/>
      <c r="BW216" s="323" t="s">
        <v>496</v>
      </c>
      <c r="BX216" s="323" t="s">
        <v>506</v>
      </c>
    </row>
    <row r="217" s="323" customFormat="1" customHeight="1" spans="1:76">
      <c r="A217" s="323">
        <v>150</v>
      </c>
      <c r="C217" s="323" t="s">
        <v>2519</v>
      </c>
      <c r="D217" s="343" t="s">
        <v>2520</v>
      </c>
      <c r="F217" s="435" t="s">
        <v>2521</v>
      </c>
      <c r="G217" s="342" t="s">
        <v>2522</v>
      </c>
      <c r="H217" s="838" t="s">
        <v>2523</v>
      </c>
      <c r="I217" s="364" t="s">
        <v>2524</v>
      </c>
      <c r="J217" s="323">
        <v>107.62</v>
      </c>
      <c r="K217" s="323">
        <v>107.62</v>
      </c>
      <c r="L217" s="323">
        <v>5657.76</v>
      </c>
      <c r="M217" s="366">
        <v>608888</v>
      </c>
      <c r="N217" s="367"/>
      <c r="O217" s="368">
        <v>558612.84</v>
      </c>
      <c r="P217" s="369" t="s">
        <v>2525</v>
      </c>
      <c r="Q217" s="369" t="s">
        <v>2407</v>
      </c>
      <c r="R217" s="327"/>
      <c r="S217" s="330"/>
      <c r="T217" s="330"/>
      <c r="U217" s="330" t="s">
        <v>2526</v>
      </c>
      <c r="V217" s="327">
        <v>20000</v>
      </c>
      <c r="W217" s="330" t="s">
        <v>2527</v>
      </c>
      <c r="X217" s="327">
        <v>28888</v>
      </c>
      <c r="Y217" s="384" t="s">
        <v>2519</v>
      </c>
      <c r="Z217" s="327">
        <v>80000</v>
      </c>
      <c r="AA217" s="330" t="s">
        <v>638</v>
      </c>
      <c r="AB217" s="327">
        <v>480000</v>
      </c>
      <c r="AC217" s="330" t="s">
        <v>1400</v>
      </c>
      <c r="AH217" s="327">
        <f t="shared" si="29"/>
        <v>608888</v>
      </c>
      <c r="AK217" s="328">
        <f t="shared" ref="AK217:AK280" si="31">M217-AH217</f>
        <v>0</v>
      </c>
      <c r="AL217" s="338" t="s">
        <v>2528</v>
      </c>
      <c r="AM217" s="338"/>
      <c r="AN217" s="393"/>
      <c r="AO217" s="393"/>
      <c r="AP217" s="393"/>
      <c r="AQ217" s="332">
        <f>0.6%+0.06%+0.14%</f>
        <v>0.008</v>
      </c>
      <c r="AR217" s="398">
        <f t="shared" si="30"/>
        <v>608888</v>
      </c>
      <c r="AS217" s="327"/>
      <c r="AT217" s="327"/>
      <c r="AU217" s="327"/>
      <c r="AV217" s="327"/>
      <c r="AW217" s="327"/>
      <c r="AX217" s="327"/>
      <c r="AY217" s="184"/>
      <c r="BA217" s="327"/>
      <c r="BB217" s="327">
        <v>128888</v>
      </c>
      <c r="BC217" s="327"/>
      <c r="BD217" s="327"/>
      <c r="BE217" s="327">
        <v>480000</v>
      </c>
      <c r="BW217" s="323" t="s">
        <v>496</v>
      </c>
      <c r="BX217" s="323" t="s">
        <v>506</v>
      </c>
    </row>
    <row r="218" s="323" customFormat="1" customHeight="1" spans="1:76">
      <c r="A218" s="323">
        <v>151</v>
      </c>
      <c r="C218" s="323" t="s">
        <v>2529</v>
      </c>
      <c r="D218" s="343" t="s">
        <v>2530</v>
      </c>
      <c r="F218" s="338" t="s">
        <v>2531</v>
      </c>
      <c r="G218" s="323" t="s">
        <v>2532</v>
      </c>
      <c r="H218" s="833" t="s">
        <v>2533</v>
      </c>
      <c r="I218" s="361" t="s">
        <v>2534</v>
      </c>
      <c r="J218" s="323">
        <v>107.62</v>
      </c>
      <c r="K218" s="323">
        <v>107.62</v>
      </c>
      <c r="L218" s="323">
        <v>5950</v>
      </c>
      <c r="M218" s="366">
        <v>640339</v>
      </c>
      <c r="N218" s="367">
        <v>5948.42</v>
      </c>
      <c r="O218" s="368">
        <v>587466.97</v>
      </c>
      <c r="P218" s="369" t="s">
        <v>2535</v>
      </c>
      <c r="Q218" s="369" t="s">
        <v>2407</v>
      </c>
      <c r="R218" s="327"/>
      <c r="S218" s="330"/>
      <c r="T218" s="342"/>
      <c r="U218" s="330" t="s">
        <v>721</v>
      </c>
      <c r="V218" s="327">
        <v>20000</v>
      </c>
      <c r="W218" s="330" t="s">
        <v>1430</v>
      </c>
      <c r="X218" s="327">
        <v>280339</v>
      </c>
      <c r="Y218" s="384" t="s">
        <v>2529</v>
      </c>
      <c r="Z218" s="327">
        <v>340000</v>
      </c>
      <c r="AA218" s="330" t="s">
        <v>2536</v>
      </c>
      <c r="AB218" s="327"/>
      <c r="AH218" s="327">
        <f t="shared" si="29"/>
        <v>640339</v>
      </c>
      <c r="AK218" s="328">
        <f t="shared" si="31"/>
        <v>0</v>
      </c>
      <c r="AL218" s="338" t="s">
        <v>2537</v>
      </c>
      <c r="AM218" s="338"/>
      <c r="AN218" s="393"/>
      <c r="AO218" s="393"/>
      <c r="AP218" s="393"/>
      <c r="AQ218" s="478">
        <f>0.7%+0.05%+0.12%</f>
        <v>0.0087</v>
      </c>
      <c r="AR218" s="398">
        <f t="shared" si="30"/>
        <v>640339</v>
      </c>
      <c r="AS218" s="327"/>
      <c r="AT218" s="327"/>
      <c r="AU218" s="327"/>
      <c r="AV218" s="327"/>
      <c r="AW218" s="327"/>
      <c r="AX218" s="327"/>
      <c r="AY218" s="184"/>
      <c r="BA218" s="327"/>
      <c r="BB218" s="327">
        <v>300339</v>
      </c>
      <c r="BC218" s="327"/>
      <c r="BD218" s="327"/>
      <c r="BE218" s="327">
        <v>340000</v>
      </c>
      <c r="BW218" s="323" t="s">
        <v>496</v>
      </c>
      <c r="BX218" s="323" t="s">
        <v>506</v>
      </c>
    </row>
    <row r="219" s="323" customFormat="1" customHeight="1" spans="1:76">
      <c r="A219" s="323">
        <v>152</v>
      </c>
      <c r="C219" s="323" t="s">
        <v>1495</v>
      </c>
      <c r="D219" s="343" t="s">
        <v>2538</v>
      </c>
      <c r="F219" s="338" t="s">
        <v>2539</v>
      </c>
      <c r="G219" s="342" t="s">
        <v>2540</v>
      </c>
      <c r="H219" s="838" t="s">
        <v>2541</v>
      </c>
      <c r="I219" s="364" t="s">
        <v>2542</v>
      </c>
      <c r="J219" s="323">
        <v>107.62</v>
      </c>
      <c r="K219" s="323">
        <v>107.62</v>
      </c>
      <c r="L219" s="323">
        <v>5965.4</v>
      </c>
      <c r="M219" s="366">
        <v>642000</v>
      </c>
      <c r="N219" s="367">
        <v>5942.22</v>
      </c>
      <c r="O219" s="368">
        <v>588990.83</v>
      </c>
      <c r="P219" s="369" t="s">
        <v>2543</v>
      </c>
      <c r="Q219" s="369" t="s">
        <v>2407</v>
      </c>
      <c r="R219" s="327"/>
      <c r="S219" s="330"/>
      <c r="T219" s="330"/>
      <c r="U219" s="330" t="s">
        <v>508</v>
      </c>
      <c r="V219" s="327">
        <v>20000</v>
      </c>
      <c r="W219" s="330" t="s">
        <v>1579</v>
      </c>
      <c r="X219" s="327">
        <v>322000</v>
      </c>
      <c r="Y219" s="384" t="s">
        <v>1495</v>
      </c>
      <c r="Z219" s="327">
        <v>300000</v>
      </c>
      <c r="AA219" s="330" t="s">
        <v>1707</v>
      </c>
      <c r="AB219" s="327"/>
      <c r="AH219" s="327">
        <f t="shared" si="29"/>
        <v>642000</v>
      </c>
      <c r="AK219" s="328">
        <f t="shared" si="31"/>
        <v>0</v>
      </c>
      <c r="AL219" s="338" t="s">
        <v>2544</v>
      </c>
      <c r="AM219" s="338"/>
      <c r="AN219" s="393"/>
      <c r="AO219" s="393"/>
      <c r="AP219" s="393"/>
      <c r="AQ219" s="332">
        <f>0.6%+0.05%+0.14%</f>
        <v>0.0079</v>
      </c>
      <c r="AR219" s="398">
        <f t="shared" si="30"/>
        <v>642000</v>
      </c>
      <c r="AS219" s="327"/>
      <c r="AT219" s="327"/>
      <c r="AU219" s="327"/>
      <c r="AV219" s="327"/>
      <c r="AW219" s="327"/>
      <c r="AX219" s="327"/>
      <c r="AY219" s="184">
        <v>342000</v>
      </c>
      <c r="BA219" s="327"/>
      <c r="BB219" s="327">
        <v>300000</v>
      </c>
      <c r="BC219" s="327"/>
      <c r="BD219" s="327"/>
      <c r="BE219" s="327"/>
      <c r="BW219" s="323" t="s">
        <v>496</v>
      </c>
      <c r="BX219" s="323" t="s">
        <v>506</v>
      </c>
    </row>
    <row r="220" s="323" customFormat="1" customHeight="1" spans="1:76">
      <c r="A220" s="323">
        <v>153</v>
      </c>
      <c r="C220" s="323" t="s">
        <v>1345</v>
      </c>
      <c r="D220" s="343" t="s">
        <v>2545</v>
      </c>
      <c r="F220" s="338" t="s">
        <v>2546</v>
      </c>
      <c r="G220" s="342" t="s">
        <v>2547</v>
      </c>
      <c r="H220" s="838" t="s">
        <v>2548</v>
      </c>
      <c r="I220" s="361" t="s">
        <v>2549</v>
      </c>
      <c r="J220" s="323">
        <v>107.62</v>
      </c>
      <c r="K220" s="323">
        <v>107.62</v>
      </c>
      <c r="L220" s="323">
        <v>7116</v>
      </c>
      <c r="M220" s="366">
        <v>765824</v>
      </c>
      <c r="N220" s="367">
        <v>6966</v>
      </c>
      <c r="O220" s="368">
        <v>702590.83</v>
      </c>
      <c r="P220" s="369" t="s">
        <v>2550</v>
      </c>
      <c r="Q220" s="369" t="s">
        <v>1589</v>
      </c>
      <c r="R220" s="327"/>
      <c r="S220" s="330"/>
      <c r="T220" s="330"/>
      <c r="U220" s="330" t="s">
        <v>2249</v>
      </c>
      <c r="V220" s="327">
        <f>20000+135824</f>
        <v>155824</v>
      </c>
      <c r="W220" s="330" t="s">
        <v>2434</v>
      </c>
      <c r="X220" s="327">
        <v>610000</v>
      </c>
      <c r="Y220" s="330" t="s">
        <v>2551</v>
      </c>
      <c r="Z220" s="327"/>
      <c r="AA220" s="380"/>
      <c r="AB220" s="327"/>
      <c r="AC220" s="380"/>
      <c r="AD220" s="380"/>
      <c r="AE220" s="380"/>
      <c r="AF220" s="380"/>
      <c r="AG220" s="380"/>
      <c r="AH220" s="327">
        <f t="shared" si="29"/>
        <v>765824</v>
      </c>
      <c r="AK220" s="328">
        <f t="shared" si="31"/>
        <v>0</v>
      </c>
      <c r="AL220" s="338" t="s">
        <v>2552</v>
      </c>
      <c r="AM220" s="338"/>
      <c r="AN220" s="393"/>
      <c r="AO220" s="393"/>
      <c r="AP220" s="393"/>
      <c r="AQ220" s="332">
        <f>0.6%+0.03%+0.14%</f>
        <v>0.0077</v>
      </c>
      <c r="AR220" s="398">
        <f t="shared" si="30"/>
        <v>765824</v>
      </c>
      <c r="AS220" s="327"/>
      <c r="AT220" s="327"/>
      <c r="AU220" s="327"/>
      <c r="AV220" s="327"/>
      <c r="AW220" s="327"/>
      <c r="AX220" s="327"/>
      <c r="AY220" s="184"/>
      <c r="BA220" s="327">
        <v>155824</v>
      </c>
      <c r="BB220" s="327"/>
      <c r="BC220" s="327">
        <v>610000</v>
      </c>
      <c r="BD220" s="327"/>
      <c r="BE220" s="327"/>
      <c r="BW220" s="323" t="s">
        <v>496</v>
      </c>
      <c r="BX220" s="323" t="s">
        <v>506</v>
      </c>
    </row>
    <row r="221" s="323" customFormat="1" customHeight="1" spans="1:76">
      <c r="A221" s="323">
        <v>154</v>
      </c>
      <c r="C221" s="323" t="s">
        <v>2266</v>
      </c>
      <c r="D221" s="343" t="s">
        <v>2553</v>
      </c>
      <c r="F221" s="338" t="s">
        <v>2554</v>
      </c>
      <c r="G221" s="340" t="s">
        <v>2555</v>
      </c>
      <c r="H221" s="837" t="s">
        <v>2556</v>
      </c>
      <c r="I221" s="364" t="s">
        <v>2557</v>
      </c>
      <c r="J221" s="323">
        <v>107.62</v>
      </c>
      <c r="K221" s="323">
        <v>107.62</v>
      </c>
      <c r="L221" s="323">
        <v>6968.96</v>
      </c>
      <c r="M221" s="366">
        <v>750000</v>
      </c>
      <c r="N221" s="367">
        <v>6958</v>
      </c>
      <c r="O221" s="368">
        <v>688073.39</v>
      </c>
      <c r="P221" s="369" t="s">
        <v>2558</v>
      </c>
      <c r="Q221" s="369" t="s">
        <v>1589</v>
      </c>
      <c r="R221" s="327"/>
      <c r="S221" s="330"/>
      <c r="T221" s="330"/>
      <c r="U221" s="330" t="s">
        <v>524</v>
      </c>
      <c r="V221" s="327">
        <v>20000</v>
      </c>
      <c r="W221" s="330" t="s">
        <v>751</v>
      </c>
      <c r="X221" s="327">
        <f>45000+55000</f>
        <v>100000</v>
      </c>
      <c r="Y221" s="384" t="s">
        <v>2266</v>
      </c>
      <c r="Z221" s="327">
        <v>30000</v>
      </c>
      <c r="AA221" s="323" t="s">
        <v>1567</v>
      </c>
      <c r="AB221" s="327">
        <v>600000</v>
      </c>
      <c r="AC221" s="330" t="s">
        <v>630</v>
      </c>
      <c r="AH221" s="327">
        <f t="shared" si="29"/>
        <v>750000</v>
      </c>
      <c r="AK221" s="328">
        <f t="shared" si="31"/>
        <v>0</v>
      </c>
      <c r="AL221" s="338" t="s">
        <v>2559</v>
      </c>
      <c r="AM221" s="338"/>
      <c r="AN221" s="393"/>
      <c r="AO221" s="393"/>
      <c r="AP221" s="393"/>
      <c r="AQ221" s="166">
        <f>0.7%+0.04%+0.12%</f>
        <v>0.0086</v>
      </c>
      <c r="AR221" s="398">
        <f t="shared" si="30"/>
        <v>750000</v>
      </c>
      <c r="AS221" s="327"/>
      <c r="AT221" s="327"/>
      <c r="AU221" s="327"/>
      <c r="AV221" s="327"/>
      <c r="AW221" s="327"/>
      <c r="AX221" s="327"/>
      <c r="AY221" s="184"/>
      <c r="BA221" s="327"/>
      <c r="BB221" s="327"/>
      <c r="BC221" s="327"/>
      <c r="BD221" s="327"/>
      <c r="BE221" s="327"/>
      <c r="BG221" s="323">
        <v>150000</v>
      </c>
      <c r="BI221" s="323">
        <v>600000</v>
      </c>
      <c r="BW221" s="323" t="s">
        <v>496</v>
      </c>
      <c r="BX221" s="323" t="s">
        <v>506</v>
      </c>
    </row>
    <row r="222" s="172" customFormat="1" customHeight="1" spans="1:75">
      <c r="A222" s="172">
        <v>155</v>
      </c>
      <c r="D222" s="414"/>
      <c r="E222" s="172" t="s">
        <v>2560</v>
      </c>
      <c r="G222" s="416"/>
      <c r="H222" s="416"/>
      <c r="I222" s="418" t="s">
        <v>2561</v>
      </c>
      <c r="J222" s="172">
        <v>107.42</v>
      </c>
      <c r="M222" s="440"/>
      <c r="N222" s="172">
        <v>8639.36</v>
      </c>
      <c r="O222" s="419"/>
      <c r="P222" s="420"/>
      <c r="Q222" s="420"/>
      <c r="R222" s="358"/>
      <c r="S222" s="377"/>
      <c r="T222" s="377"/>
      <c r="U222" s="377"/>
      <c r="V222" s="358"/>
      <c r="W222" s="377"/>
      <c r="X222" s="358"/>
      <c r="Y222" s="423"/>
      <c r="Z222" s="358"/>
      <c r="AA222" s="423"/>
      <c r="AB222" s="358"/>
      <c r="AC222" s="423"/>
      <c r="AD222" s="423"/>
      <c r="AE222" s="423"/>
      <c r="AF222" s="423"/>
      <c r="AG222" s="423"/>
      <c r="AH222" s="358">
        <f t="shared" si="29"/>
        <v>0</v>
      </c>
      <c r="AK222" s="359">
        <f t="shared" si="31"/>
        <v>0</v>
      </c>
      <c r="AL222" s="415"/>
      <c r="AM222" s="415"/>
      <c r="AN222" s="429"/>
      <c r="AO222" s="429"/>
      <c r="AP222" s="429"/>
      <c r="AQ222" s="430">
        <f>0.4%+0.05%+0.14%</f>
        <v>0.0059</v>
      </c>
      <c r="AR222" s="397">
        <f t="shared" si="30"/>
        <v>0</v>
      </c>
      <c r="AS222" s="358">
        <v>100</v>
      </c>
      <c r="AT222" s="358"/>
      <c r="AU222" s="358"/>
      <c r="AV222" s="358"/>
      <c r="AW222" s="358"/>
      <c r="AX222" s="358"/>
      <c r="AY222" s="215"/>
      <c r="AZ222" s="132"/>
      <c r="BA222" s="358"/>
      <c r="BB222" s="358"/>
      <c r="BC222" s="358"/>
      <c r="BD222" s="358"/>
      <c r="BE222" s="358"/>
      <c r="BS222" s="59"/>
      <c r="BW222" s="172" t="s">
        <v>496</v>
      </c>
    </row>
    <row r="223" s="323" customFormat="1" customHeight="1" spans="1:76">
      <c r="A223" s="323">
        <v>156</v>
      </c>
      <c r="C223" s="323" t="s">
        <v>557</v>
      </c>
      <c r="D223" s="343" t="s">
        <v>2562</v>
      </c>
      <c r="F223" s="338" t="s">
        <v>2563</v>
      </c>
      <c r="G223" s="342" t="s">
        <v>2564</v>
      </c>
      <c r="H223" s="342"/>
      <c r="I223" s="364" t="s">
        <v>2565</v>
      </c>
      <c r="J223" s="323">
        <v>107.98</v>
      </c>
      <c r="K223" s="323">
        <v>107.98</v>
      </c>
      <c r="L223" s="323">
        <v>7992.01</v>
      </c>
      <c r="M223" s="366">
        <v>862977</v>
      </c>
      <c r="N223" s="367"/>
      <c r="O223" s="368">
        <v>791722.02</v>
      </c>
      <c r="P223" s="369" t="s">
        <v>2566</v>
      </c>
      <c r="Q223" s="369" t="s">
        <v>2567</v>
      </c>
      <c r="R223" s="327"/>
      <c r="S223" s="330"/>
      <c r="T223" s="330"/>
      <c r="U223" s="330" t="s">
        <v>508</v>
      </c>
      <c r="V223" s="327">
        <v>2977</v>
      </c>
      <c r="W223" s="380" t="s">
        <v>557</v>
      </c>
      <c r="X223" s="327">
        <v>187000</v>
      </c>
      <c r="Y223" s="384" t="s">
        <v>2027</v>
      </c>
      <c r="Z223" s="327">
        <v>673000</v>
      </c>
      <c r="AA223" s="323" t="s">
        <v>1040</v>
      </c>
      <c r="AB223" s="327"/>
      <c r="AH223" s="327">
        <f t="shared" si="29"/>
        <v>862977</v>
      </c>
      <c r="AK223" s="328">
        <f t="shared" si="31"/>
        <v>0</v>
      </c>
      <c r="AL223" s="338" t="s">
        <v>2568</v>
      </c>
      <c r="AM223" s="338"/>
      <c r="AN223" s="393"/>
      <c r="AO223" s="393"/>
      <c r="AP223" s="393"/>
      <c r="AQ223" s="332">
        <f>0.6%+0.05%+0.14%</f>
        <v>0.0079</v>
      </c>
      <c r="AR223" s="398">
        <f t="shared" si="30"/>
        <v>862977</v>
      </c>
      <c r="AS223" s="327"/>
      <c r="AT223" s="327"/>
      <c r="AU223" s="327"/>
      <c r="AV223" s="327"/>
      <c r="AW223" s="327"/>
      <c r="AX223" s="327"/>
      <c r="AY223" s="184">
        <v>189977</v>
      </c>
      <c r="BA223" s="327">
        <v>673000</v>
      </c>
      <c r="BB223" s="327"/>
      <c r="BC223" s="327"/>
      <c r="BD223" s="327"/>
      <c r="BE223" s="327"/>
      <c r="BW223" s="323" t="s">
        <v>496</v>
      </c>
      <c r="BX223" s="323" t="s">
        <v>506</v>
      </c>
    </row>
    <row r="224" s="59" customFormat="1" customHeight="1" spans="1:57">
      <c r="A224" s="436">
        <v>157</v>
      </c>
      <c r="B224" s="172"/>
      <c r="C224" s="172"/>
      <c r="D224" s="172"/>
      <c r="E224" s="172" t="s">
        <v>2569</v>
      </c>
      <c r="F224" s="415"/>
      <c r="G224" s="462"/>
      <c r="H224" s="416"/>
      <c r="I224" s="463" t="s">
        <v>2570</v>
      </c>
      <c r="J224" s="172">
        <v>107.62</v>
      </c>
      <c r="K224" s="172"/>
      <c r="L224" s="172"/>
      <c r="M224" s="357"/>
      <c r="N224" s="172">
        <v>5883.35</v>
      </c>
      <c r="O224" s="419"/>
      <c r="P224" s="444"/>
      <c r="Q224" s="444"/>
      <c r="R224" s="446"/>
      <c r="S224" s="470"/>
      <c r="T224" s="377"/>
      <c r="U224" s="377"/>
      <c r="V224" s="358"/>
      <c r="W224" s="471"/>
      <c r="X224" s="358"/>
      <c r="Y224" s="387"/>
      <c r="Z224" s="358"/>
      <c r="AA224" s="475"/>
      <c r="AB224" s="358"/>
      <c r="AC224" s="172"/>
      <c r="AD224" s="172"/>
      <c r="AE224" s="172"/>
      <c r="AF224" s="172"/>
      <c r="AG224" s="172"/>
      <c r="AH224" s="327">
        <f t="shared" si="29"/>
        <v>0</v>
      </c>
      <c r="AI224" s="172"/>
      <c r="AJ224" s="172"/>
      <c r="AK224" s="359">
        <f t="shared" si="31"/>
        <v>0</v>
      </c>
      <c r="AL224" s="415"/>
      <c r="AM224" s="415"/>
      <c r="AN224" s="455"/>
      <c r="AO224" s="455"/>
      <c r="AP224" s="455"/>
      <c r="AQ224" s="456"/>
      <c r="AR224" s="397">
        <f t="shared" si="30"/>
        <v>0</v>
      </c>
      <c r="AS224" s="457"/>
      <c r="AT224" s="457"/>
      <c r="AU224" s="457"/>
      <c r="AV224" s="457"/>
      <c r="AW224" s="457"/>
      <c r="AX224" s="457"/>
      <c r="AY224" s="480"/>
      <c r="BA224" s="457"/>
      <c r="BB224" s="457"/>
      <c r="BC224" s="457"/>
      <c r="BD224" s="457"/>
      <c r="BE224" s="457"/>
    </row>
    <row r="225" s="323" customFormat="1" customHeight="1" spans="1:76">
      <c r="A225" s="323">
        <v>158</v>
      </c>
      <c r="C225" s="380">
        <v>45417</v>
      </c>
      <c r="D225" s="343" t="s">
        <v>2571</v>
      </c>
      <c r="F225" s="338" t="s">
        <v>2572</v>
      </c>
      <c r="G225" s="342" t="s">
        <v>2573</v>
      </c>
      <c r="H225" s="838" t="s">
        <v>2574</v>
      </c>
      <c r="I225" s="364" t="s">
        <v>2575</v>
      </c>
      <c r="J225" s="323">
        <v>107.98</v>
      </c>
      <c r="K225" s="323">
        <v>107.98</v>
      </c>
      <c r="L225" s="323">
        <v>5600</v>
      </c>
      <c r="M225" s="366">
        <v>604688</v>
      </c>
      <c r="N225" s="367">
        <v>5518.93</v>
      </c>
      <c r="O225" s="368">
        <v>554759.63</v>
      </c>
      <c r="P225" s="369" t="s">
        <v>2576</v>
      </c>
      <c r="Q225" s="369" t="s">
        <v>2577</v>
      </c>
      <c r="R225" s="327"/>
      <c r="S225" s="330"/>
      <c r="T225" s="330"/>
      <c r="U225" s="330" t="s">
        <v>709</v>
      </c>
      <c r="V225" s="327">
        <v>20000</v>
      </c>
      <c r="W225" s="330" t="s">
        <v>504</v>
      </c>
      <c r="X225" s="327">
        <v>184688</v>
      </c>
      <c r="Y225" s="330" t="s">
        <v>1001</v>
      </c>
      <c r="Z225" s="327">
        <v>400000</v>
      </c>
      <c r="AA225" s="330" t="s">
        <v>2578</v>
      </c>
      <c r="AB225" s="327"/>
      <c r="AH225" s="327">
        <f t="shared" ref="AH225:AH256" si="32">V225+X225+Z225+AB225+AD225+AF225</f>
        <v>604688</v>
      </c>
      <c r="AK225" s="328">
        <f t="shared" si="31"/>
        <v>0</v>
      </c>
      <c r="AL225" s="338" t="s">
        <v>2579</v>
      </c>
      <c r="AM225" s="338"/>
      <c r="AN225" s="393"/>
      <c r="AO225" s="393"/>
      <c r="AP225" s="393"/>
      <c r="AQ225" s="166">
        <f>0.7%+0.12%</f>
        <v>0.0082</v>
      </c>
      <c r="AR225" s="398">
        <f t="shared" si="30"/>
        <v>604688</v>
      </c>
      <c r="AS225" s="327"/>
      <c r="AT225" s="327">
        <v>100</v>
      </c>
      <c r="AU225" s="327"/>
      <c r="AV225" s="327"/>
      <c r="AW225" s="327"/>
      <c r="AX225" s="327"/>
      <c r="AY225" s="184"/>
      <c r="BA225" s="327"/>
      <c r="BB225" s="327"/>
      <c r="BC225" s="327"/>
      <c r="BD225" s="327"/>
      <c r="BE225" s="327"/>
      <c r="BK225" s="323">
        <v>204688</v>
      </c>
      <c r="BL225" s="323">
        <v>400000</v>
      </c>
      <c r="BW225" s="323" t="s">
        <v>496</v>
      </c>
      <c r="BX225" s="323" t="s">
        <v>506</v>
      </c>
    </row>
    <row r="226" s="323" customFormat="1" customHeight="1" spans="1:76">
      <c r="A226" s="323">
        <v>159</v>
      </c>
      <c r="C226" s="323" t="s">
        <v>757</v>
      </c>
      <c r="D226" s="341" t="s">
        <v>2580</v>
      </c>
      <c r="F226" s="338" t="s">
        <v>2581</v>
      </c>
      <c r="G226" s="342" t="s">
        <v>2225</v>
      </c>
      <c r="H226" s="838" t="s">
        <v>2582</v>
      </c>
      <c r="I226" s="361" t="s">
        <v>2583</v>
      </c>
      <c r="J226" s="323">
        <v>107.62</v>
      </c>
      <c r="K226" s="323">
        <v>107.62</v>
      </c>
      <c r="L226" s="468">
        <v>5650</v>
      </c>
      <c r="M226" s="366">
        <v>608053</v>
      </c>
      <c r="N226" s="367">
        <v>5582.31</v>
      </c>
      <c r="O226" s="368">
        <v>557846.79</v>
      </c>
      <c r="P226" s="369" t="s">
        <v>2584</v>
      </c>
      <c r="Q226" s="369" t="s">
        <v>2577</v>
      </c>
      <c r="R226" s="327"/>
      <c r="S226" s="330"/>
      <c r="T226" s="330"/>
      <c r="U226" s="330" t="s">
        <v>515</v>
      </c>
      <c r="V226" s="327">
        <v>20000</v>
      </c>
      <c r="W226" s="330" t="s">
        <v>2585</v>
      </c>
      <c r="X226" s="327">
        <v>102053</v>
      </c>
      <c r="Y226" s="330" t="s">
        <v>757</v>
      </c>
      <c r="Z226" s="327">
        <v>486000</v>
      </c>
      <c r="AA226" s="330" t="s">
        <v>991</v>
      </c>
      <c r="AB226" s="327"/>
      <c r="AC226" s="380"/>
      <c r="AD226" s="380"/>
      <c r="AE226" s="380"/>
      <c r="AF226" s="380"/>
      <c r="AG226" s="380"/>
      <c r="AH226" s="327">
        <f t="shared" si="32"/>
        <v>608053</v>
      </c>
      <c r="AK226" s="328">
        <f t="shared" si="31"/>
        <v>0</v>
      </c>
      <c r="AL226" s="338" t="s">
        <v>2586</v>
      </c>
      <c r="AM226" s="338"/>
      <c r="AN226" s="393"/>
      <c r="AO226" s="393"/>
      <c r="AP226" s="393"/>
      <c r="AQ226" s="332">
        <f>0.4%+0.02%+0.12%</f>
        <v>0.0054</v>
      </c>
      <c r="AR226" s="398">
        <f t="shared" si="30"/>
        <v>608053</v>
      </c>
      <c r="AS226" s="327">
        <f>100</f>
        <v>100</v>
      </c>
      <c r="AT226" s="327"/>
      <c r="AU226" s="327"/>
      <c r="AV226" s="327"/>
      <c r="AW226" s="327"/>
      <c r="AX226" s="327"/>
      <c r="AY226" s="184"/>
      <c r="BA226" s="327"/>
      <c r="BB226" s="327"/>
      <c r="BC226" s="327">
        <v>122053</v>
      </c>
      <c r="BD226" s="327">
        <v>486000</v>
      </c>
      <c r="BE226" s="327"/>
      <c r="BW226" s="323" t="s">
        <v>496</v>
      </c>
      <c r="BX226" s="323" t="s">
        <v>506</v>
      </c>
    </row>
    <row r="227" s="323" customFormat="1" customHeight="1" spans="1:76">
      <c r="A227" s="323">
        <v>160</v>
      </c>
      <c r="C227" s="323" t="s">
        <v>2587</v>
      </c>
      <c r="D227" s="343" t="s">
        <v>2588</v>
      </c>
      <c r="F227" s="338" t="s">
        <v>2589</v>
      </c>
      <c r="G227" s="342" t="s">
        <v>2590</v>
      </c>
      <c r="H227" s="838" t="s">
        <v>2591</v>
      </c>
      <c r="I227" s="361" t="s">
        <v>2592</v>
      </c>
      <c r="J227" s="323">
        <v>107.98</v>
      </c>
      <c r="K227" s="323">
        <v>107.98</v>
      </c>
      <c r="L227" s="323">
        <v>5649</v>
      </c>
      <c r="M227" s="366">
        <v>609979</v>
      </c>
      <c r="N227" s="367">
        <v>5570.89</v>
      </c>
      <c r="O227" s="368">
        <v>559613.76</v>
      </c>
      <c r="P227" s="369" t="s">
        <v>2593</v>
      </c>
      <c r="Q227" s="369" t="s">
        <v>2577</v>
      </c>
      <c r="R227" s="327"/>
      <c r="S227" s="330"/>
      <c r="T227" s="330"/>
      <c r="U227" s="330" t="s">
        <v>594</v>
      </c>
      <c r="V227" s="327">
        <v>20000</v>
      </c>
      <c r="W227" s="330" t="s">
        <v>2594</v>
      </c>
      <c r="X227" s="327">
        <v>109979</v>
      </c>
      <c r="Y227" s="330" t="s">
        <v>2587</v>
      </c>
      <c r="Z227" s="327">
        <v>480000</v>
      </c>
      <c r="AA227" s="323" t="s">
        <v>1000</v>
      </c>
      <c r="AB227" s="327"/>
      <c r="AH227" s="327">
        <f t="shared" si="32"/>
        <v>609979</v>
      </c>
      <c r="AK227" s="328">
        <f t="shared" si="31"/>
        <v>0</v>
      </c>
      <c r="AL227" s="338" t="s">
        <v>2595</v>
      </c>
      <c r="AM227" s="338"/>
      <c r="AN227" s="393"/>
      <c r="AO227" s="393"/>
      <c r="AP227" s="393"/>
      <c r="AQ227" s="332">
        <f>0.5%+0.05%+0.12%</f>
        <v>0.0067</v>
      </c>
      <c r="AR227" s="398">
        <f t="shared" si="30"/>
        <v>609979</v>
      </c>
      <c r="AS227" s="327"/>
      <c r="AT227" s="327"/>
      <c r="AU227" s="327"/>
      <c r="AV227" s="327"/>
      <c r="AW227" s="327"/>
      <c r="AX227" s="327"/>
      <c r="AY227" s="184"/>
      <c r="BA227" s="327"/>
      <c r="BB227" s="327"/>
      <c r="BC227" s="327">
        <v>129979</v>
      </c>
      <c r="BD227" s="327">
        <v>480000</v>
      </c>
      <c r="BE227" s="327"/>
      <c r="BW227" s="323" t="s">
        <v>496</v>
      </c>
      <c r="BX227" s="323" t="s">
        <v>506</v>
      </c>
    </row>
    <row r="228" s="323" customFormat="1" customHeight="1" spans="1:76">
      <c r="A228" s="323">
        <v>161</v>
      </c>
      <c r="C228" s="323" t="s">
        <v>1057</v>
      </c>
      <c r="D228" s="343" t="s">
        <v>2596</v>
      </c>
      <c r="F228" s="338" t="s">
        <v>2597</v>
      </c>
      <c r="G228" s="342" t="s">
        <v>2598</v>
      </c>
      <c r="H228" s="838" t="s">
        <v>2599</v>
      </c>
      <c r="I228" s="361" t="s">
        <v>2600</v>
      </c>
      <c r="J228" s="323">
        <v>107.62</v>
      </c>
      <c r="K228" s="323">
        <v>107.62</v>
      </c>
      <c r="L228" s="323">
        <v>5723.84</v>
      </c>
      <c r="M228" s="366">
        <v>616000</v>
      </c>
      <c r="N228" s="367">
        <v>5643.32</v>
      </c>
      <c r="O228" s="368">
        <v>565137.61</v>
      </c>
      <c r="P228" s="369" t="s">
        <v>2601</v>
      </c>
      <c r="Q228" s="369" t="s">
        <v>2577</v>
      </c>
      <c r="R228" s="327"/>
      <c r="S228" s="330"/>
      <c r="T228" s="330"/>
      <c r="U228" s="330" t="s">
        <v>721</v>
      </c>
      <c r="V228" s="327">
        <v>10000</v>
      </c>
      <c r="W228" s="330" t="s">
        <v>2602</v>
      </c>
      <c r="X228" s="327">
        <f>206000+80000</f>
        <v>286000</v>
      </c>
      <c r="Y228" s="330" t="s">
        <v>1090</v>
      </c>
      <c r="Z228" s="327">
        <v>320000</v>
      </c>
      <c r="AA228" s="330" t="s">
        <v>2603</v>
      </c>
      <c r="AB228" s="327"/>
      <c r="AH228" s="327">
        <f t="shared" si="32"/>
        <v>616000</v>
      </c>
      <c r="AK228" s="328">
        <f t="shared" si="31"/>
        <v>0</v>
      </c>
      <c r="AL228" s="338" t="s">
        <v>2604</v>
      </c>
      <c r="AM228" s="338"/>
      <c r="AN228" s="393"/>
      <c r="AO228" s="393"/>
      <c r="AP228" s="393"/>
      <c r="AQ228" s="332">
        <f>0.4%+0.02%+0.08%</f>
        <v>0.005</v>
      </c>
      <c r="AR228" s="398">
        <f t="shared" si="30"/>
        <v>616000</v>
      </c>
      <c r="AS228" s="327"/>
      <c r="AT228" s="327"/>
      <c r="AU228" s="327"/>
      <c r="AV228" s="327"/>
      <c r="AW228" s="327"/>
      <c r="AX228" s="327"/>
      <c r="AY228" s="184"/>
      <c r="AZ228" s="135"/>
      <c r="BA228" s="327">
        <v>296000</v>
      </c>
      <c r="BB228" s="327">
        <v>320000</v>
      </c>
      <c r="BC228" s="327"/>
      <c r="BD228" s="327"/>
      <c r="BE228" s="327"/>
      <c r="BW228" s="323" t="s">
        <v>496</v>
      </c>
      <c r="BX228" s="323" t="s">
        <v>506</v>
      </c>
    </row>
    <row r="229" s="323" customFormat="1" customHeight="1" spans="1:76">
      <c r="A229" s="323">
        <v>162</v>
      </c>
      <c r="C229" s="323" t="s">
        <v>881</v>
      </c>
      <c r="D229" s="343" t="s">
        <v>2605</v>
      </c>
      <c r="F229" s="836" t="s">
        <v>2606</v>
      </c>
      <c r="G229" s="342" t="s">
        <v>2607</v>
      </c>
      <c r="H229" s="342"/>
      <c r="I229" s="364" t="s">
        <v>2608</v>
      </c>
      <c r="J229" s="323">
        <v>107.98</v>
      </c>
      <c r="K229" s="323">
        <v>107.98</v>
      </c>
      <c r="L229" s="323">
        <v>5660</v>
      </c>
      <c r="M229" s="366">
        <v>611167</v>
      </c>
      <c r="N229" s="367">
        <v>5631.9</v>
      </c>
      <c r="O229" s="368">
        <v>560703.67</v>
      </c>
      <c r="P229" s="369" t="s">
        <v>2609</v>
      </c>
      <c r="Q229" s="369" t="s">
        <v>2577</v>
      </c>
      <c r="R229" s="327"/>
      <c r="S229" s="425"/>
      <c r="T229" s="425"/>
      <c r="U229" s="425" t="s">
        <v>709</v>
      </c>
      <c r="V229" s="327">
        <v>251167</v>
      </c>
      <c r="W229" s="425" t="s">
        <v>1954</v>
      </c>
      <c r="X229" s="327">
        <v>10000</v>
      </c>
      <c r="Y229" s="330" t="s">
        <v>2160</v>
      </c>
      <c r="Z229" s="327">
        <v>350000</v>
      </c>
      <c r="AA229" s="425" t="s">
        <v>907</v>
      </c>
      <c r="AB229" s="327"/>
      <c r="AH229" s="327">
        <f t="shared" si="32"/>
        <v>611167</v>
      </c>
      <c r="AK229" s="328">
        <f t="shared" si="31"/>
        <v>0</v>
      </c>
      <c r="AL229" s="338" t="s">
        <v>2610</v>
      </c>
      <c r="AM229" s="338"/>
      <c r="AN229" s="393"/>
      <c r="AO229" s="393"/>
      <c r="AP229" s="393"/>
      <c r="AQ229" s="332">
        <f>0.7%+0.14%</f>
        <v>0.0084</v>
      </c>
      <c r="AR229" s="398">
        <f t="shared" si="30"/>
        <v>611167</v>
      </c>
      <c r="AS229" s="327"/>
      <c r="AT229" s="327"/>
      <c r="AU229" s="327"/>
      <c r="AV229" s="327"/>
      <c r="AW229" s="327"/>
      <c r="AX229" s="327"/>
      <c r="AY229" s="184"/>
      <c r="BA229" s="327">
        <v>251167</v>
      </c>
      <c r="BB229" s="327"/>
      <c r="BC229" s="327"/>
      <c r="BD229" s="327">
        <v>360000</v>
      </c>
      <c r="BE229" s="327"/>
      <c r="BW229" s="323" t="s">
        <v>496</v>
      </c>
      <c r="BX229" s="323" t="s">
        <v>506</v>
      </c>
    </row>
    <row r="230" s="323" customFormat="1" customHeight="1" spans="1:76">
      <c r="A230" s="323">
        <v>163</v>
      </c>
      <c r="C230" s="323" t="s">
        <v>906</v>
      </c>
      <c r="D230" s="343" t="s">
        <v>2611</v>
      </c>
      <c r="F230" s="338" t="s">
        <v>2612</v>
      </c>
      <c r="G230" s="342" t="s">
        <v>2613</v>
      </c>
      <c r="H230" s="838" t="s">
        <v>2614</v>
      </c>
      <c r="I230" s="361" t="s">
        <v>2615</v>
      </c>
      <c r="J230" s="323">
        <v>107.62</v>
      </c>
      <c r="K230" s="323">
        <v>107.62</v>
      </c>
      <c r="L230" s="323">
        <v>5482.25</v>
      </c>
      <c r="M230" s="366">
        <v>590000</v>
      </c>
      <c r="N230" s="367"/>
      <c r="O230" s="368">
        <v>541284.4</v>
      </c>
      <c r="P230" s="369" t="s">
        <v>2616</v>
      </c>
      <c r="Q230" s="369" t="s">
        <v>2577</v>
      </c>
      <c r="R230" s="327"/>
      <c r="S230" s="330"/>
      <c r="T230" s="330"/>
      <c r="U230" s="330" t="s">
        <v>524</v>
      </c>
      <c r="V230" s="327">
        <v>20000</v>
      </c>
      <c r="W230" s="472" t="s">
        <v>2617</v>
      </c>
      <c r="X230" s="327">
        <v>170000</v>
      </c>
      <c r="Y230" s="384" t="s">
        <v>906</v>
      </c>
      <c r="Z230" s="327">
        <v>400000</v>
      </c>
      <c r="AA230" s="330" t="s">
        <v>866</v>
      </c>
      <c r="AB230" s="327"/>
      <c r="AH230" s="327">
        <f t="shared" si="32"/>
        <v>590000</v>
      </c>
      <c r="AK230" s="328">
        <f t="shared" si="31"/>
        <v>0</v>
      </c>
      <c r="AL230" s="338" t="s">
        <v>2618</v>
      </c>
      <c r="AM230" s="338"/>
      <c r="AN230" s="393"/>
      <c r="AO230" s="393"/>
      <c r="AP230" s="393"/>
      <c r="AQ230" s="332">
        <f>0.6%+0.04%+0.1%</f>
        <v>0.0074</v>
      </c>
      <c r="AR230" s="398">
        <f t="shared" si="30"/>
        <v>590000</v>
      </c>
      <c r="AS230" s="327"/>
      <c r="AT230" s="327"/>
      <c r="AU230" s="327"/>
      <c r="AV230" s="327"/>
      <c r="AW230" s="327"/>
      <c r="AX230" s="327"/>
      <c r="AY230" s="184">
        <v>190000</v>
      </c>
      <c r="BA230" s="327">
        <v>400000</v>
      </c>
      <c r="BB230" s="327"/>
      <c r="BC230" s="327"/>
      <c r="BD230" s="327"/>
      <c r="BE230" s="327"/>
      <c r="BW230" s="323" t="s">
        <v>496</v>
      </c>
      <c r="BX230" s="323" t="s">
        <v>506</v>
      </c>
    </row>
    <row r="231" s="323" customFormat="1" customHeight="1" spans="1:76">
      <c r="A231" s="323">
        <v>164</v>
      </c>
      <c r="C231" s="323" t="s">
        <v>866</v>
      </c>
      <c r="D231" s="338" t="s">
        <v>2619</v>
      </c>
      <c r="F231" s="338" t="s">
        <v>2620</v>
      </c>
      <c r="G231" s="342" t="s">
        <v>2621</v>
      </c>
      <c r="H231" s="838" t="s">
        <v>2622</v>
      </c>
      <c r="I231" s="364" t="s">
        <v>2623</v>
      </c>
      <c r="J231" s="323">
        <v>107.98</v>
      </c>
      <c r="K231" s="323">
        <v>107.98</v>
      </c>
      <c r="L231" s="323">
        <v>5800</v>
      </c>
      <c r="M231" s="366">
        <v>626284</v>
      </c>
      <c r="N231" s="367">
        <v>5738.57</v>
      </c>
      <c r="O231" s="368">
        <v>574572.48</v>
      </c>
      <c r="P231" s="369" t="s">
        <v>2624</v>
      </c>
      <c r="Q231" s="369" t="s">
        <v>2577</v>
      </c>
      <c r="R231" s="327"/>
      <c r="S231" s="330"/>
      <c r="T231" s="330"/>
      <c r="U231" s="330" t="s">
        <v>721</v>
      </c>
      <c r="V231" s="327">
        <v>20000</v>
      </c>
      <c r="W231" s="330" t="s">
        <v>1735</v>
      </c>
      <c r="X231" s="327">
        <v>176284</v>
      </c>
      <c r="Y231" s="384" t="s">
        <v>866</v>
      </c>
      <c r="Z231" s="327">
        <v>430000</v>
      </c>
      <c r="AA231" s="330" t="s">
        <v>2070</v>
      </c>
      <c r="AB231" s="327"/>
      <c r="AH231" s="327">
        <f t="shared" si="32"/>
        <v>626284</v>
      </c>
      <c r="AK231" s="328">
        <f t="shared" si="31"/>
        <v>0</v>
      </c>
      <c r="AL231" s="338" t="s">
        <v>2625</v>
      </c>
      <c r="AM231" s="338"/>
      <c r="AN231" s="393"/>
      <c r="AO231" s="393"/>
      <c r="AP231" s="393"/>
      <c r="AQ231" s="332">
        <f>0.7%+0.05%+0.14%</f>
        <v>0.0089</v>
      </c>
      <c r="AR231" s="398">
        <f t="shared" si="30"/>
        <v>626284</v>
      </c>
      <c r="AS231" s="327"/>
      <c r="AT231" s="327">
        <v>100</v>
      </c>
      <c r="AU231" s="327"/>
      <c r="AV231" s="327"/>
      <c r="AW231" s="327"/>
      <c r="AX231" s="327"/>
      <c r="AY231" s="184"/>
      <c r="BA231" s="327">
        <v>196284</v>
      </c>
      <c r="BB231" s="327"/>
      <c r="BC231" s="327">
        <v>430000</v>
      </c>
      <c r="BD231" s="327"/>
      <c r="BE231" s="327"/>
      <c r="BW231" s="323" t="s">
        <v>496</v>
      </c>
      <c r="BX231" s="323" t="s">
        <v>506</v>
      </c>
    </row>
    <row r="232" s="323" customFormat="1" customHeight="1" spans="1:76">
      <c r="A232" s="323">
        <v>165</v>
      </c>
      <c r="C232" s="323" t="s">
        <v>2003</v>
      </c>
      <c r="D232" s="323">
        <v>20230003244</v>
      </c>
      <c r="F232" s="338" t="s">
        <v>2626</v>
      </c>
      <c r="G232" s="342" t="s">
        <v>2627</v>
      </c>
      <c r="H232" s="838" t="s">
        <v>2628</v>
      </c>
      <c r="I232" s="361" t="s">
        <v>2629</v>
      </c>
      <c r="J232" s="323">
        <v>107.62</v>
      </c>
      <c r="K232" s="323">
        <v>107.62</v>
      </c>
      <c r="L232" s="323">
        <v>5566.5</v>
      </c>
      <c r="M232" s="326">
        <v>599067</v>
      </c>
      <c r="N232" s="327"/>
      <c r="O232" s="328">
        <v>549602.75</v>
      </c>
      <c r="P232" s="841" t="s">
        <v>2630</v>
      </c>
      <c r="Q232" s="369" t="s">
        <v>2577</v>
      </c>
      <c r="R232" s="327"/>
      <c r="S232" s="330"/>
      <c r="T232" s="330" t="s">
        <v>2627</v>
      </c>
      <c r="U232" s="330" t="s">
        <v>590</v>
      </c>
      <c r="V232" s="327">
        <v>20000</v>
      </c>
      <c r="W232" s="330" t="s">
        <v>873</v>
      </c>
      <c r="X232" s="327">
        <f>35000+184067</f>
        <v>219067</v>
      </c>
      <c r="Y232" s="384" t="s">
        <v>2003</v>
      </c>
      <c r="Z232" s="327">
        <v>360000</v>
      </c>
      <c r="AA232" s="380" t="s">
        <v>1428</v>
      </c>
      <c r="AB232" s="327"/>
      <c r="AH232" s="327">
        <f t="shared" si="32"/>
        <v>599067</v>
      </c>
      <c r="AK232" s="328">
        <f t="shared" si="31"/>
        <v>0</v>
      </c>
      <c r="AL232" s="338" t="s">
        <v>2631</v>
      </c>
      <c r="AM232" s="338"/>
      <c r="AN232" s="392"/>
      <c r="AO232" s="392"/>
      <c r="AP232" s="392"/>
      <c r="AQ232" s="332">
        <f>0.6%+0.04%+0.1%</f>
        <v>0.0074</v>
      </c>
      <c r="AR232" s="398">
        <f t="shared" si="30"/>
        <v>599067</v>
      </c>
      <c r="AS232" s="327"/>
      <c r="AT232" s="327"/>
      <c r="AU232" s="327"/>
      <c r="AV232" s="327"/>
      <c r="AW232" s="327"/>
      <c r="AX232" s="327">
        <v>599067</v>
      </c>
      <c r="AY232" s="184"/>
      <c r="BA232" s="327"/>
      <c r="BB232" s="327"/>
      <c r="BC232" s="327"/>
      <c r="BD232" s="327"/>
      <c r="BE232" s="327"/>
      <c r="BW232" s="323" t="s">
        <v>496</v>
      </c>
      <c r="BX232" s="323" t="s">
        <v>506</v>
      </c>
    </row>
    <row r="233" s="323" customFormat="1" customHeight="1" spans="1:76">
      <c r="A233" s="323">
        <v>166</v>
      </c>
      <c r="C233" s="323" t="s">
        <v>1477</v>
      </c>
      <c r="D233" s="323">
        <v>20230003314</v>
      </c>
      <c r="F233" s="338" t="s">
        <v>2632</v>
      </c>
      <c r="G233" s="340" t="s">
        <v>2633</v>
      </c>
      <c r="H233" s="340"/>
      <c r="I233" s="364" t="s">
        <v>2634</v>
      </c>
      <c r="J233" s="323">
        <v>107.98</v>
      </c>
      <c r="K233" s="323">
        <v>107.98</v>
      </c>
      <c r="L233" s="323">
        <v>5547.32</v>
      </c>
      <c r="M233" s="326">
        <v>599000</v>
      </c>
      <c r="N233" s="327"/>
      <c r="O233" s="328">
        <v>549541.28</v>
      </c>
      <c r="P233" s="363" t="s">
        <v>2635</v>
      </c>
      <c r="Q233" s="369" t="s">
        <v>2577</v>
      </c>
      <c r="R233" s="327"/>
      <c r="S233" s="330"/>
      <c r="T233" s="330"/>
      <c r="U233" s="330" t="s">
        <v>502</v>
      </c>
      <c r="V233" s="327">
        <v>9000</v>
      </c>
      <c r="W233" s="380" t="s">
        <v>1477</v>
      </c>
      <c r="X233" s="327">
        <v>150000</v>
      </c>
      <c r="Y233" s="384" t="s">
        <v>2345</v>
      </c>
      <c r="Z233" s="327">
        <v>440000</v>
      </c>
      <c r="AA233" s="380" t="s">
        <v>1040</v>
      </c>
      <c r="AB233" s="327"/>
      <c r="AH233" s="327">
        <f t="shared" si="32"/>
        <v>599000</v>
      </c>
      <c r="AK233" s="328">
        <f t="shared" si="31"/>
        <v>0</v>
      </c>
      <c r="AL233" s="338" t="s">
        <v>2636</v>
      </c>
      <c r="AM233" s="338"/>
      <c r="AN233" s="392"/>
      <c r="AO233" s="392"/>
      <c r="AP233" s="392"/>
      <c r="AQ233" s="332">
        <f>0.6%+0.1%</f>
        <v>0.007</v>
      </c>
      <c r="AR233" s="398">
        <f t="shared" si="30"/>
        <v>599000</v>
      </c>
      <c r="AS233" s="327"/>
      <c r="AT233" s="327"/>
      <c r="AU233" s="327"/>
      <c r="AV233" s="327"/>
      <c r="AW233" s="327"/>
      <c r="AX233" s="327"/>
      <c r="AY233" s="184">
        <v>159000</v>
      </c>
      <c r="BA233" s="327">
        <v>440000</v>
      </c>
      <c r="BB233" s="327"/>
      <c r="BC233" s="327"/>
      <c r="BD233" s="327"/>
      <c r="BE233" s="327"/>
      <c r="BW233" s="323" t="s">
        <v>496</v>
      </c>
      <c r="BX233" s="323" t="s">
        <v>506</v>
      </c>
    </row>
    <row r="234" s="323" customFormat="1" customHeight="1" spans="1:76">
      <c r="A234" s="323">
        <v>167</v>
      </c>
      <c r="C234" s="323" t="s">
        <v>1017</v>
      </c>
      <c r="D234" s="343" t="s">
        <v>2637</v>
      </c>
      <c r="F234" s="338" t="s">
        <v>2638</v>
      </c>
      <c r="G234" s="342" t="s">
        <v>2639</v>
      </c>
      <c r="H234" s="838" t="s">
        <v>2640</v>
      </c>
      <c r="I234" s="361" t="s">
        <v>2641</v>
      </c>
      <c r="J234" s="323">
        <v>107.62</v>
      </c>
      <c r="K234" s="323">
        <v>107.62</v>
      </c>
      <c r="L234" s="323">
        <v>5863.22</v>
      </c>
      <c r="M234" s="366">
        <v>631000</v>
      </c>
      <c r="N234" s="367">
        <v>5843</v>
      </c>
      <c r="O234" s="368">
        <v>578899.08</v>
      </c>
      <c r="P234" s="369" t="s">
        <v>2642</v>
      </c>
      <c r="Q234" s="369" t="s">
        <v>2577</v>
      </c>
      <c r="R234" s="327"/>
      <c r="S234" s="330"/>
      <c r="T234" s="330"/>
      <c r="U234" s="330" t="s">
        <v>2643</v>
      </c>
      <c r="V234" s="327">
        <v>20000</v>
      </c>
      <c r="W234" s="330" t="s">
        <v>1335</v>
      </c>
      <c r="X234" s="327">
        <v>21000</v>
      </c>
      <c r="Y234" s="380" t="s">
        <v>1017</v>
      </c>
      <c r="Z234" s="327">
        <v>90000</v>
      </c>
      <c r="AA234" s="330" t="s">
        <v>1057</v>
      </c>
      <c r="AB234" s="327">
        <v>500000</v>
      </c>
      <c r="AC234" s="330" t="s">
        <v>1048</v>
      </c>
      <c r="AD234" s="380"/>
      <c r="AE234" s="380"/>
      <c r="AF234" s="380"/>
      <c r="AG234" s="380"/>
      <c r="AH234" s="327">
        <f t="shared" si="32"/>
        <v>631000</v>
      </c>
      <c r="AK234" s="328">
        <f t="shared" si="31"/>
        <v>0</v>
      </c>
      <c r="AL234" s="338" t="s">
        <v>2644</v>
      </c>
      <c r="AM234" s="338"/>
      <c r="AN234" s="393"/>
      <c r="AO234" s="393"/>
      <c r="AP234" s="393"/>
      <c r="AQ234" s="332">
        <f>0.4%+0.08%</f>
        <v>0.0048</v>
      </c>
      <c r="AR234" s="398">
        <f t="shared" si="30"/>
        <v>631000</v>
      </c>
      <c r="AS234" s="327"/>
      <c r="AT234" s="327"/>
      <c r="AU234" s="327"/>
      <c r="AV234" s="327"/>
      <c r="AW234" s="327"/>
      <c r="AX234" s="327"/>
      <c r="AY234" s="184"/>
      <c r="AZ234" s="135"/>
      <c r="BA234" s="327">
        <v>131000</v>
      </c>
      <c r="BB234" s="327">
        <v>500000</v>
      </c>
      <c r="BC234" s="327"/>
      <c r="BD234" s="327"/>
      <c r="BE234" s="327"/>
      <c r="BW234" s="323" t="s">
        <v>496</v>
      </c>
      <c r="BX234" s="323" t="s">
        <v>506</v>
      </c>
    </row>
    <row r="235" s="323" customFormat="1" customHeight="1" spans="1:76">
      <c r="A235" s="323">
        <v>168</v>
      </c>
      <c r="C235" s="323" t="s">
        <v>667</v>
      </c>
      <c r="D235" s="323">
        <v>20230005717</v>
      </c>
      <c r="F235" s="338" t="s">
        <v>2645</v>
      </c>
      <c r="G235" s="342" t="s">
        <v>2646</v>
      </c>
      <c r="H235" s="838" t="s">
        <v>2647</v>
      </c>
      <c r="I235" s="364" t="s">
        <v>2648</v>
      </c>
      <c r="J235" s="323">
        <v>107.98</v>
      </c>
      <c r="K235" s="323">
        <v>107.98</v>
      </c>
      <c r="L235" s="323">
        <v>5881.59</v>
      </c>
      <c r="M235" s="326">
        <v>635094</v>
      </c>
      <c r="N235" s="327">
        <v>5831.59</v>
      </c>
      <c r="O235" s="328">
        <v>582655.05</v>
      </c>
      <c r="P235" s="363" t="s">
        <v>2649</v>
      </c>
      <c r="Q235" s="369" t="s">
        <v>2577</v>
      </c>
      <c r="R235" s="327"/>
      <c r="S235" s="330"/>
      <c r="T235" s="330"/>
      <c r="U235" s="330" t="s">
        <v>1427</v>
      </c>
      <c r="V235" s="327">
        <f>20000+50000+65094</f>
        <v>135094</v>
      </c>
      <c r="W235" s="330" t="s">
        <v>911</v>
      </c>
      <c r="X235" s="327">
        <v>500000</v>
      </c>
      <c r="Y235" s="330" t="s">
        <v>638</v>
      </c>
      <c r="Z235" s="327"/>
      <c r="AA235" s="380"/>
      <c r="AB235" s="327"/>
      <c r="AH235" s="327">
        <f t="shared" si="32"/>
        <v>635094</v>
      </c>
      <c r="AK235" s="328">
        <f t="shared" si="31"/>
        <v>0</v>
      </c>
      <c r="AL235" s="338" t="s">
        <v>2650</v>
      </c>
      <c r="AM235" s="338"/>
      <c r="AN235" s="392"/>
      <c r="AO235" s="392"/>
      <c r="AP235" s="392"/>
      <c r="AQ235" s="332">
        <f>0.5%+0.04%+0.14%</f>
        <v>0.0068</v>
      </c>
      <c r="AR235" s="398">
        <f t="shared" si="30"/>
        <v>635094</v>
      </c>
      <c r="AS235" s="327"/>
      <c r="AT235" s="327"/>
      <c r="AU235" s="327"/>
      <c r="AV235" s="327"/>
      <c r="AW235" s="327"/>
      <c r="AX235" s="327"/>
      <c r="AY235" s="184"/>
      <c r="BA235" s="327">
        <v>135094</v>
      </c>
      <c r="BB235" s="327">
        <v>500000</v>
      </c>
      <c r="BC235" s="327"/>
      <c r="BD235" s="327"/>
      <c r="BE235" s="327"/>
      <c r="BW235" s="323" t="s">
        <v>496</v>
      </c>
      <c r="BX235" s="323" t="s">
        <v>506</v>
      </c>
    </row>
    <row r="236" s="323" customFormat="1" customHeight="1" spans="1:76">
      <c r="A236" s="323">
        <v>169</v>
      </c>
      <c r="C236" s="323" t="s">
        <v>1407</v>
      </c>
      <c r="D236" s="323">
        <v>20230004619</v>
      </c>
      <c r="F236" s="338" t="s">
        <v>2651</v>
      </c>
      <c r="G236" s="323" t="s">
        <v>2652</v>
      </c>
      <c r="H236" s="833" t="s">
        <v>2653</v>
      </c>
      <c r="I236" s="361" t="s">
        <v>2654</v>
      </c>
      <c r="J236" s="323">
        <v>107.62</v>
      </c>
      <c r="K236" s="323">
        <v>107.62</v>
      </c>
      <c r="L236" s="323">
        <v>5918.84</v>
      </c>
      <c r="M236" s="326">
        <v>636986</v>
      </c>
      <c r="N236" s="327">
        <v>5868.84</v>
      </c>
      <c r="O236" s="328">
        <v>584390.83</v>
      </c>
      <c r="P236" s="363" t="s">
        <v>2655</v>
      </c>
      <c r="Q236" s="369" t="s">
        <v>2407</v>
      </c>
      <c r="R236" s="327"/>
      <c r="S236" s="330"/>
      <c r="T236" s="330"/>
      <c r="U236" s="330" t="s">
        <v>524</v>
      </c>
      <c r="V236" s="327">
        <v>20000</v>
      </c>
      <c r="W236" s="330" t="s">
        <v>1407</v>
      </c>
      <c r="X236" s="327">
        <v>216986</v>
      </c>
      <c r="Y236" s="389" t="s">
        <v>566</v>
      </c>
      <c r="Z236" s="327">
        <v>170000</v>
      </c>
      <c r="AA236" s="323" t="s">
        <v>2656</v>
      </c>
      <c r="AB236" s="327">
        <v>230000</v>
      </c>
      <c r="AC236" s="330" t="s">
        <v>1660</v>
      </c>
      <c r="AH236" s="327">
        <f t="shared" si="32"/>
        <v>636986</v>
      </c>
      <c r="AK236" s="328">
        <f t="shared" si="31"/>
        <v>0</v>
      </c>
      <c r="AL236" s="338" t="s">
        <v>2657</v>
      </c>
      <c r="AM236" s="338"/>
      <c r="AQ236" s="332">
        <f>0.4%+0.05%+0.14%</f>
        <v>0.0059</v>
      </c>
      <c r="AR236" s="398">
        <f t="shared" si="30"/>
        <v>636986</v>
      </c>
      <c r="AS236" s="327"/>
      <c r="AT236" s="327"/>
      <c r="AU236" s="327"/>
      <c r="AV236" s="327"/>
      <c r="AW236" s="327"/>
      <c r="AX236" s="327"/>
      <c r="AY236" s="184"/>
      <c r="AZ236" s="135">
        <v>406986</v>
      </c>
      <c r="BA236" s="327"/>
      <c r="BB236" s="327">
        <v>230000</v>
      </c>
      <c r="BC236" s="327"/>
      <c r="BD236" s="327"/>
      <c r="BE236" s="327"/>
      <c r="BW236" s="323" t="s">
        <v>496</v>
      </c>
      <c r="BX236" s="323" t="s">
        <v>506</v>
      </c>
    </row>
    <row r="237" s="323" customFormat="1" customHeight="1" spans="1:76">
      <c r="A237" s="323">
        <v>170</v>
      </c>
      <c r="C237" s="323">
        <v>2023.6</v>
      </c>
      <c r="D237" s="323">
        <v>20230005387</v>
      </c>
      <c r="F237" s="338" t="s">
        <v>2658</v>
      </c>
      <c r="G237" s="323" t="s">
        <v>2659</v>
      </c>
      <c r="I237" s="364" t="s">
        <v>2660</v>
      </c>
      <c r="J237" s="323">
        <v>107.98</v>
      </c>
      <c r="K237" s="323">
        <v>107.98</v>
      </c>
      <c r="L237" s="323">
        <f>M237/K237</f>
        <v>5907.41804037785</v>
      </c>
      <c r="M237" s="326">
        <v>637883</v>
      </c>
      <c r="N237" s="327">
        <v>5857.42</v>
      </c>
      <c r="O237" s="328">
        <v>585213.76</v>
      </c>
      <c r="P237" s="363" t="s">
        <v>2661</v>
      </c>
      <c r="Q237" s="369" t="s">
        <v>2407</v>
      </c>
      <c r="R237" s="327"/>
      <c r="S237" s="330"/>
      <c r="T237" s="330"/>
      <c r="U237" s="330"/>
      <c r="V237" s="327">
        <v>97883</v>
      </c>
      <c r="W237" s="330" t="s">
        <v>2662</v>
      </c>
      <c r="X237" s="327">
        <v>30000</v>
      </c>
      <c r="Y237" s="330" t="s">
        <v>1090</v>
      </c>
      <c r="Z237" s="327">
        <v>510000</v>
      </c>
      <c r="AA237" s="330" t="s">
        <v>1048</v>
      </c>
      <c r="AB237" s="327"/>
      <c r="AH237" s="327">
        <f t="shared" si="32"/>
        <v>637883</v>
      </c>
      <c r="AK237" s="328">
        <f t="shared" si="31"/>
        <v>0</v>
      </c>
      <c r="AL237" s="338"/>
      <c r="AM237" s="338"/>
      <c r="AQ237" s="332">
        <f>0.4%+0.02%+0.08%</f>
        <v>0.005</v>
      </c>
      <c r="AR237" s="398">
        <f t="shared" si="30"/>
        <v>637883</v>
      </c>
      <c r="AS237" s="327"/>
      <c r="AT237" s="327"/>
      <c r="AU237" s="327"/>
      <c r="AV237" s="327"/>
      <c r="AW237" s="327"/>
      <c r="AX237" s="327"/>
      <c r="AY237" s="184"/>
      <c r="AZ237" s="135"/>
      <c r="BA237" s="327">
        <v>127883</v>
      </c>
      <c r="BB237" s="327">
        <v>510000</v>
      </c>
      <c r="BC237" s="327"/>
      <c r="BD237" s="327"/>
      <c r="BE237" s="327"/>
      <c r="BW237" s="323" t="s">
        <v>496</v>
      </c>
      <c r="BX237" s="323" t="s">
        <v>506</v>
      </c>
    </row>
    <row r="238" s="323" customFormat="1" customHeight="1" spans="1:76">
      <c r="A238" s="323">
        <v>171</v>
      </c>
      <c r="C238" s="323" t="s">
        <v>2348</v>
      </c>
      <c r="D238" s="323">
        <v>20230004337</v>
      </c>
      <c r="F238" s="833" t="s">
        <v>2663</v>
      </c>
      <c r="G238" s="323" t="s">
        <v>2214</v>
      </c>
      <c r="I238" s="361" t="s">
        <v>2664</v>
      </c>
      <c r="J238" s="323">
        <v>107.62</v>
      </c>
      <c r="K238" s="323">
        <v>107.62</v>
      </c>
      <c r="L238" s="323">
        <v>5696</v>
      </c>
      <c r="M238" s="326">
        <v>613003</v>
      </c>
      <c r="N238" s="327">
        <v>5615.35</v>
      </c>
      <c r="O238" s="328">
        <v>562388.07</v>
      </c>
      <c r="P238" s="363" t="s">
        <v>2665</v>
      </c>
      <c r="Q238" s="369" t="s">
        <v>2407</v>
      </c>
      <c r="R238" s="327"/>
      <c r="S238" s="330"/>
      <c r="T238" s="330"/>
      <c r="U238" s="330" t="s">
        <v>2298</v>
      </c>
      <c r="V238" s="327">
        <v>20000</v>
      </c>
      <c r="W238" s="380" t="s">
        <v>906</v>
      </c>
      <c r="X238" s="327">
        <v>73003</v>
      </c>
      <c r="Y238" s="389" t="s">
        <v>2348</v>
      </c>
      <c r="Z238" s="327">
        <v>30000</v>
      </c>
      <c r="AA238" s="323" t="s">
        <v>1047</v>
      </c>
      <c r="AB238" s="327">
        <v>490000</v>
      </c>
      <c r="AC238" s="330" t="s">
        <v>2004</v>
      </c>
      <c r="AH238" s="327">
        <f t="shared" si="32"/>
        <v>613003</v>
      </c>
      <c r="AK238" s="328">
        <f t="shared" si="31"/>
        <v>0</v>
      </c>
      <c r="AL238" s="323">
        <v>17609969189</v>
      </c>
      <c r="AM238" s="338"/>
      <c r="AQ238" s="332">
        <f>0.6%+0.06%+0.14%</f>
        <v>0.008</v>
      </c>
      <c r="AR238" s="398">
        <f t="shared" si="30"/>
        <v>613003</v>
      </c>
      <c r="AS238" s="327"/>
      <c r="AT238" s="327"/>
      <c r="AU238" s="327"/>
      <c r="AV238" s="327"/>
      <c r="AW238" s="327"/>
      <c r="AX238" s="327"/>
      <c r="AY238" s="184"/>
      <c r="AZ238" s="135">
        <v>123003</v>
      </c>
      <c r="BA238" s="327">
        <v>490000</v>
      </c>
      <c r="BB238" s="327"/>
      <c r="BC238" s="327"/>
      <c r="BD238" s="327"/>
      <c r="BE238" s="327"/>
      <c r="BW238" s="323" t="s">
        <v>496</v>
      </c>
      <c r="BX238" s="323" t="s">
        <v>506</v>
      </c>
    </row>
    <row r="239" s="323" customFormat="1" customHeight="1" spans="1:76">
      <c r="A239" s="323">
        <v>172</v>
      </c>
      <c r="C239" s="380">
        <v>45121</v>
      </c>
      <c r="D239" s="323">
        <v>20230005922</v>
      </c>
      <c r="F239" s="338" t="s">
        <v>2666</v>
      </c>
      <c r="G239" s="323" t="s">
        <v>2667</v>
      </c>
      <c r="H239" s="833" t="s">
        <v>2668</v>
      </c>
      <c r="I239" s="364" t="s">
        <v>2669</v>
      </c>
      <c r="J239" s="323">
        <v>107.98</v>
      </c>
      <c r="K239" s="323">
        <v>107.98</v>
      </c>
      <c r="L239" s="323">
        <v>5910</v>
      </c>
      <c r="M239" s="326">
        <v>638162</v>
      </c>
      <c r="N239" s="327">
        <v>5903.93</v>
      </c>
      <c r="O239" s="328">
        <v>585469.72</v>
      </c>
      <c r="P239" s="363" t="s">
        <v>2670</v>
      </c>
      <c r="Q239" s="369" t="s">
        <v>2407</v>
      </c>
      <c r="R239" s="327"/>
      <c r="S239" s="330"/>
      <c r="T239" s="330"/>
      <c r="U239" s="330" t="s">
        <v>508</v>
      </c>
      <c r="V239" s="327">
        <f>20000+238162</f>
        <v>258162</v>
      </c>
      <c r="W239" s="330" t="s">
        <v>2671</v>
      </c>
      <c r="X239" s="327">
        <v>380000</v>
      </c>
      <c r="Y239" s="330" t="s">
        <v>2672</v>
      </c>
      <c r="Z239" s="327"/>
      <c r="AB239" s="327"/>
      <c r="AH239" s="327">
        <f t="shared" si="32"/>
        <v>638162</v>
      </c>
      <c r="AK239" s="328">
        <f t="shared" si="31"/>
        <v>0</v>
      </c>
      <c r="AL239" s="338" t="s">
        <v>2673</v>
      </c>
      <c r="AM239" s="338"/>
      <c r="AQ239" s="332">
        <f>0.5%+0.05%+0.14%</f>
        <v>0.0069</v>
      </c>
      <c r="AR239" s="398">
        <f t="shared" si="30"/>
        <v>638162</v>
      </c>
      <c r="AS239" s="327"/>
      <c r="AT239" s="327">
        <v>100</v>
      </c>
      <c r="AU239" s="327"/>
      <c r="AV239" s="327"/>
      <c r="AW239" s="327"/>
      <c r="AX239" s="327"/>
      <c r="AY239" s="184"/>
      <c r="BA239" s="327">
        <v>258162</v>
      </c>
      <c r="BB239" s="327">
        <v>380000</v>
      </c>
      <c r="BC239" s="327"/>
      <c r="BD239" s="327"/>
      <c r="BE239" s="327"/>
      <c r="BW239" s="323" t="s">
        <v>496</v>
      </c>
      <c r="BX239" s="323" t="s">
        <v>506</v>
      </c>
    </row>
    <row r="240" s="323" customFormat="1" customHeight="1" spans="1:76">
      <c r="A240" s="323">
        <v>173</v>
      </c>
      <c r="C240" s="323" t="s">
        <v>541</v>
      </c>
      <c r="D240" s="323">
        <v>20230008557</v>
      </c>
      <c r="F240" s="338" t="s">
        <v>2674</v>
      </c>
      <c r="G240" s="323" t="s">
        <v>2675</v>
      </c>
      <c r="H240" s="833" t="s">
        <v>2676</v>
      </c>
      <c r="I240" s="361" t="s">
        <v>2677</v>
      </c>
      <c r="J240" s="323">
        <v>107.62</v>
      </c>
      <c r="K240" s="323">
        <v>107.62</v>
      </c>
      <c r="L240" s="323">
        <v>5946.85</v>
      </c>
      <c r="M240" s="326">
        <v>640000</v>
      </c>
      <c r="N240" s="327">
        <v>5936.02</v>
      </c>
      <c r="O240" s="328">
        <v>587155.96</v>
      </c>
      <c r="P240" s="363" t="s">
        <v>2678</v>
      </c>
      <c r="Q240" s="369" t="s">
        <v>2407</v>
      </c>
      <c r="R240" s="327"/>
      <c r="S240" s="330"/>
      <c r="T240" s="330"/>
      <c r="U240" s="330" t="s">
        <v>2249</v>
      </c>
      <c r="V240" s="327">
        <v>20000</v>
      </c>
      <c r="W240" s="330" t="s">
        <v>2679</v>
      </c>
      <c r="X240" s="327">
        <f>20000+2000</f>
        <v>22000</v>
      </c>
      <c r="Y240" s="330" t="s">
        <v>541</v>
      </c>
      <c r="Z240" s="327">
        <v>150000</v>
      </c>
      <c r="AA240" s="323" t="s">
        <v>541</v>
      </c>
      <c r="AB240" s="327">
        <v>110000</v>
      </c>
      <c r="AC240" s="323" t="s">
        <v>925</v>
      </c>
      <c r="AD240" s="323">
        <v>138000</v>
      </c>
      <c r="AE240" s="323" t="s">
        <v>1000</v>
      </c>
      <c r="AF240" s="327">
        <v>200000</v>
      </c>
      <c r="AG240" s="330" t="s">
        <v>578</v>
      </c>
      <c r="AH240" s="327">
        <f t="shared" si="32"/>
        <v>640000</v>
      </c>
      <c r="AK240" s="328">
        <f t="shared" si="31"/>
        <v>0</v>
      </c>
      <c r="AL240" s="338"/>
      <c r="AM240" s="338"/>
      <c r="AQ240" s="332">
        <f>0.7%+0.02%+0.12%</f>
        <v>0.0084</v>
      </c>
      <c r="AR240" s="398">
        <f t="shared" si="30"/>
        <v>640000</v>
      </c>
      <c r="AS240" s="327"/>
      <c r="AT240" s="327"/>
      <c r="AU240" s="327"/>
      <c r="AV240" s="327"/>
      <c r="AW240" s="327"/>
      <c r="AX240" s="327"/>
      <c r="AY240" s="184"/>
      <c r="BA240" s="327"/>
      <c r="BB240" s="327"/>
      <c r="BC240" s="327"/>
      <c r="BD240" s="327">
        <v>440000</v>
      </c>
      <c r="BE240" s="327"/>
      <c r="BF240" s="323">
        <v>200000</v>
      </c>
      <c r="BW240" s="323" t="s">
        <v>496</v>
      </c>
      <c r="BX240" s="323" t="s">
        <v>506</v>
      </c>
    </row>
    <row r="241" s="323" customFormat="1" ht="50" customHeight="1" spans="1:76">
      <c r="A241" s="323">
        <v>174</v>
      </c>
      <c r="C241" s="323" t="s">
        <v>925</v>
      </c>
      <c r="D241" s="323">
        <v>20230009213</v>
      </c>
      <c r="F241" s="338" t="s">
        <v>2680</v>
      </c>
      <c r="G241" s="337" t="s">
        <v>2681</v>
      </c>
      <c r="H241" s="833" t="s">
        <v>2682</v>
      </c>
      <c r="I241" s="361" t="s">
        <v>2683</v>
      </c>
      <c r="J241" s="323">
        <v>107.98</v>
      </c>
      <c r="K241" s="323">
        <v>107.98</v>
      </c>
      <c r="L241" s="323">
        <v>5980</v>
      </c>
      <c r="M241" s="326">
        <v>645720</v>
      </c>
      <c r="N241" s="327">
        <v>5924.6</v>
      </c>
      <c r="O241" s="328">
        <v>592403.67</v>
      </c>
      <c r="P241" s="363" t="s">
        <v>2684</v>
      </c>
      <c r="Q241" s="369" t="s">
        <v>2407</v>
      </c>
      <c r="R241" s="327"/>
      <c r="S241" s="330"/>
      <c r="T241" s="330"/>
      <c r="U241" s="378" t="s">
        <v>2685</v>
      </c>
      <c r="V241" s="327">
        <f>5000-5000</f>
        <v>0</v>
      </c>
      <c r="W241" s="330"/>
      <c r="X241" s="327">
        <v>20000</v>
      </c>
      <c r="Y241" s="330" t="s">
        <v>541</v>
      </c>
      <c r="Z241" s="327">
        <v>89720</v>
      </c>
      <c r="AA241" s="323" t="s">
        <v>925</v>
      </c>
      <c r="AB241" s="327">
        <v>20000</v>
      </c>
      <c r="AC241" s="323" t="s">
        <v>1000</v>
      </c>
      <c r="AD241" s="327">
        <v>516000</v>
      </c>
      <c r="AE241" s="330" t="s">
        <v>762</v>
      </c>
      <c r="AH241" s="327">
        <f t="shared" si="32"/>
        <v>645720</v>
      </c>
      <c r="AK241" s="328">
        <f t="shared" si="31"/>
        <v>0</v>
      </c>
      <c r="AL241" s="338" t="s">
        <v>2686</v>
      </c>
      <c r="AM241" s="338"/>
      <c r="AQ241" s="479">
        <f>0.4%+0.08%</f>
        <v>0.0048</v>
      </c>
      <c r="AR241" s="398">
        <f t="shared" si="30"/>
        <v>645720</v>
      </c>
      <c r="AS241" s="327"/>
      <c r="AT241" s="327"/>
      <c r="AU241" s="327"/>
      <c r="AV241" s="327"/>
      <c r="AW241" s="327"/>
      <c r="AX241" s="327"/>
      <c r="AY241" s="184"/>
      <c r="BA241" s="327"/>
      <c r="BB241" s="327"/>
      <c r="BC241" s="327"/>
      <c r="BD241" s="327">
        <v>129720</v>
      </c>
      <c r="BE241" s="327"/>
      <c r="BG241" s="323">
        <v>516000</v>
      </c>
      <c r="BW241" s="323" t="s">
        <v>496</v>
      </c>
      <c r="BX241" s="323" t="s">
        <v>506</v>
      </c>
    </row>
    <row r="242" s="323" customFormat="1" customHeight="1" spans="1:76">
      <c r="A242" s="323">
        <v>175</v>
      </c>
      <c r="C242" s="323" t="s">
        <v>2687</v>
      </c>
      <c r="D242" s="323">
        <v>20240000479</v>
      </c>
      <c r="F242" s="338" t="s">
        <v>2688</v>
      </c>
      <c r="G242" s="323" t="s">
        <v>2689</v>
      </c>
      <c r="H242" s="833" t="s">
        <v>2690</v>
      </c>
      <c r="I242" s="361" t="s">
        <v>2691</v>
      </c>
      <c r="J242" s="323">
        <v>107.62</v>
      </c>
      <c r="K242" s="323">
        <v>107.62</v>
      </c>
      <c r="L242" s="323">
        <v>7015.42</v>
      </c>
      <c r="M242" s="326">
        <v>755000</v>
      </c>
      <c r="N242" s="327">
        <v>6952</v>
      </c>
      <c r="O242" s="328">
        <v>692660.55</v>
      </c>
      <c r="P242" s="363" t="s">
        <v>2692</v>
      </c>
      <c r="Q242" s="369" t="s">
        <v>2407</v>
      </c>
      <c r="R242" s="327"/>
      <c r="S242" s="330"/>
      <c r="T242" s="330"/>
      <c r="U242" s="330" t="s">
        <v>508</v>
      </c>
      <c r="V242" s="327">
        <v>20000</v>
      </c>
      <c r="W242" s="330" t="s">
        <v>767</v>
      </c>
      <c r="X242" s="327">
        <v>531000</v>
      </c>
      <c r="Y242" s="389" t="s">
        <v>2687</v>
      </c>
      <c r="Z242" s="327">
        <v>204000</v>
      </c>
      <c r="AA242" s="323" t="s">
        <v>752</v>
      </c>
      <c r="AB242" s="327"/>
      <c r="AH242" s="327">
        <f t="shared" si="32"/>
        <v>755000</v>
      </c>
      <c r="AK242" s="328">
        <f t="shared" si="31"/>
        <v>0</v>
      </c>
      <c r="AL242" s="338" t="s">
        <v>2693</v>
      </c>
      <c r="AM242" s="338"/>
      <c r="AQ242" s="162">
        <f>0.5%+0.04%+0.12%</f>
        <v>0.0066</v>
      </c>
      <c r="AR242" s="398">
        <f t="shared" si="30"/>
        <v>755000</v>
      </c>
      <c r="AS242" s="327"/>
      <c r="AT242" s="327"/>
      <c r="AU242" s="327"/>
      <c r="AV242" s="327"/>
      <c r="AW242" s="327"/>
      <c r="AX242" s="327"/>
      <c r="AY242" s="184"/>
      <c r="BA242" s="327"/>
      <c r="BB242" s="327"/>
      <c r="BC242" s="327"/>
      <c r="BD242" s="327"/>
      <c r="BE242" s="327"/>
      <c r="BG242" s="323">
        <v>755000</v>
      </c>
      <c r="BW242" s="323" t="s">
        <v>496</v>
      </c>
      <c r="BX242" s="323" t="s">
        <v>506</v>
      </c>
    </row>
    <row r="243" s="323" customFormat="1" customHeight="1" spans="1:76">
      <c r="A243" s="323">
        <v>176</v>
      </c>
      <c r="C243" s="323" t="s">
        <v>2694</v>
      </c>
      <c r="D243" s="323">
        <v>20230006969</v>
      </c>
      <c r="F243" s="338" t="s">
        <v>2695</v>
      </c>
      <c r="G243" s="323" t="s">
        <v>2696</v>
      </c>
      <c r="H243" s="833" t="s">
        <v>2697</v>
      </c>
      <c r="I243" s="361" t="s">
        <v>2698</v>
      </c>
      <c r="J243" s="323">
        <v>107.98</v>
      </c>
      <c r="K243" s="323">
        <v>107.98</v>
      </c>
      <c r="L243" s="323">
        <v>6945.73</v>
      </c>
      <c r="M243" s="326">
        <v>750000</v>
      </c>
      <c r="N243" s="327">
        <v>6932</v>
      </c>
      <c r="O243" s="328">
        <v>688073.39</v>
      </c>
      <c r="P243" s="363" t="s">
        <v>2699</v>
      </c>
      <c r="Q243" s="369" t="s">
        <v>2407</v>
      </c>
      <c r="R243" s="327"/>
      <c r="S243" s="330"/>
      <c r="T243" s="330"/>
      <c r="U243" s="330" t="s">
        <v>721</v>
      </c>
      <c r="V243" s="327">
        <v>20000</v>
      </c>
      <c r="W243" s="330" t="s">
        <v>963</v>
      </c>
      <c r="X243" s="327">
        <f>200000+5000</f>
        <v>205000</v>
      </c>
      <c r="Y243" s="389" t="s">
        <v>1954</v>
      </c>
      <c r="Z243" s="327">
        <f>500000+25000</f>
        <v>525000</v>
      </c>
      <c r="AA243" s="330" t="s">
        <v>2694</v>
      </c>
      <c r="AB243" s="327"/>
      <c r="AH243" s="327">
        <f t="shared" si="32"/>
        <v>750000</v>
      </c>
      <c r="AK243" s="328">
        <f t="shared" si="31"/>
        <v>0</v>
      </c>
      <c r="AL243" s="338" t="s">
        <v>2700</v>
      </c>
      <c r="AM243" s="338"/>
      <c r="AQ243" s="332">
        <f>0.7%+0.05%+0.14%</f>
        <v>0.0089</v>
      </c>
      <c r="AR243" s="398">
        <f t="shared" si="30"/>
        <v>750000</v>
      </c>
      <c r="AS243" s="327"/>
      <c r="AT243" s="327"/>
      <c r="AU243" s="327"/>
      <c r="AV243" s="327"/>
      <c r="AW243" s="327"/>
      <c r="AX243" s="327"/>
      <c r="AY243" s="184"/>
      <c r="BA243" s="327"/>
      <c r="BB243" s="327">
        <v>750000</v>
      </c>
      <c r="BC243" s="327"/>
      <c r="BD243" s="327"/>
      <c r="BE243" s="327"/>
      <c r="BW243" s="323" t="s">
        <v>496</v>
      </c>
      <c r="BX243" s="323" t="s">
        <v>506</v>
      </c>
    </row>
    <row r="244" s="172" customFormat="1" customHeight="1" spans="6:85">
      <c r="F244" s="415"/>
      <c r="G244" s="172" t="s">
        <v>2701</v>
      </c>
      <c r="I244" s="418" t="s">
        <v>2702</v>
      </c>
      <c r="J244" s="172">
        <v>14.47</v>
      </c>
      <c r="L244" s="172">
        <v>2291.64</v>
      </c>
      <c r="M244" s="357">
        <v>33160</v>
      </c>
      <c r="N244" s="358"/>
      <c r="O244" s="359"/>
      <c r="P244" s="444"/>
      <c r="Q244" s="452"/>
      <c r="R244" s="358"/>
      <c r="S244" s="377"/>
      <c r="T244" s="377"/>
      <c r="U244" s="377"/>
      <c r="V244" s="358">
        <v>2000</v>
      </c>
      <c r="W244" s="377">
        <v>45542</v>
      </c>
      <c r="X244" s="358"/>
      <c r="Y244" s="473"/>
      <c r="Z244" s="358"/>
      <c r="AB244" s="358"/>
      <c r="AH244" s="358">
        <f t="shared" si="32"/>
        <v>2000</v>
      </c>
      <c r="AK244" s="359">
        <f t="shared" ref="AK244:AK266" si="33">M244-AH244</f>
        <v>31160</v>
      </c>
      <c r="AL244" s="415"/>
      <c r="AM244" s="415"/>
      <c r="AQ244" s="396">
        <v>0.02</v>
      </c>
      <c r="AR244" s="397">
        <f t="shared" si="30"/>
        <v>0</v>
      </c>
      <c r="AS244" s="358"/>
      <c r="AT244" s="358"/>
      <c r="AU244" s="358"/>
      <c r="AV244" s="358"/>
      <c r="AW244" s="358"/>
      <c r="AX244" s="358"/>
      <c r="AY244" s="215"/>
      <c r="AZ244" s="132"/>
      <c r="BA244" s="358"/>
      <c r="BB244" s="358"/>
      <c r="BC244" s="358"/>
      <c r="BD244" s="358"/>
      <c r="BE244" s="358"/>
      <c r="CG244" s="137"/>
    </row>
    <row r="245" s="172" customFormat="1" customHeight="1" spans="6:85">
      <c r="F245" s="415"/>
      <c r="I245" s="418" t="s">
        <v>2703</v>
      </c>
      <c r="J245" s="172" t="s">
        <v>2704</v>
      </c>
      <c r="M245" s="357"/>
      <c r="N245" s="358"/>
      <c r="O245" s="359"/>
      <c r="P245" s="444"/>
      <c r="Q245" s="452"/>
      <c r="R245" s="358"/>
      <c r="S245" s="377"/>
      <c r="T245" s="377"/>
      <c r="U245" s="377"/>
      <c r="V245" s="358"/>
      <c r="W245" s="423"/>
      <c r="X245" s="358"/>
      <c r="Y245" s="473"/>
      <c r="Z245" s="358"/>
      <c r="AB245" s="358"/>
      <c r="AH245" s="358">
        <f t="shared" si="32"/>
        <v>0</v>
      </c>
      <c r="AK245" s="359">
        <f t="shared" si="33"/>
        <v>0</v>
      </c>
      <c r="AL245" s="415"/>
      <c r="AM245" s="415"/>
      <c r="AQ245" s="430"/>
      <c r="AR245" s="397">
        <f t="shared" si="30"/>
        <v>0</v>
      </c>
      <c r="AS245" s="358"/>
      <c r="AT245" s="358"/>
      <c r="AU245" s="358"/>
      <c r="AV245" s="358"/>
      <c r="AW245" s="358"/>
      <c r="AX245" s="358"/>
      <c r="AY245" s="215"/>
      <c r="AZ245" s="132"/>
      <c r="BA245" s="358"/>
      <c r="BB245" s="358"/>
      <c r="BC245" s="358"/>
      <c r="BD245" s="358"/>
      <c r="BE245" s="358"/>
      <c r="CG245" s="137"/>
    </row>
    <row r="246" s="172" customFormat="1" customHeight="1" spans="6:85">
      <c r="F246" s="415"/>
      <c r="I246" s="418" t="s">
        <v>2705</v>
      </c>
      <c r="J246" s="172">
        <v>23.24</v>
      </c>
      <c r="L246" s="172">
        <v>2290.88</v>
      </c>
      <c r="M246" s="357">
        <v>53240</v>
      </c>
      <c r="N246" s="358"/>
      <c r="O246" s="359"/>
      <c r="P246" s="444"/>
      <c r="Q246" s="452"/>
      <c r="R246" s="358"/>
      <c r="S246" s="377"/>
      <c r="T246" s="377"/>
      <c r="U246" s="377"/>
      <c r="V246" s="358"/>
      <c r="W246" s="423"/>
      <c r="X246" s="358"/>
      <c r="Y246" s="473"/>
      <c r="Z246" s="358"/>
      <c r="AB246" s="358"/>
      <c r="AH246" s="358">
        <f t="shared" si="32"/>
        <v>0</v>
      </c>
      <c r="AK246" s="359">
        <f t="shared" si="33"/>
        <v>53240</v>
      </c>
      <c r="AL246" s="415"/>
      <c r="AM246" s="415"/>
      <c r="AQ246" s="396">
        <v>0.02</v>
      </c>
      <c r="AR246" s="397">
        <f t="shared" si="30"/>
        <v>0</v>
      </c>
      <c r="AS246" s="358"/>
      <c r="AT246" s="358"/>
      <c r="AU246" s="358"/>
      <c r="AV246" s="358"/>
      <c r="AW246" s="358"/>
      <c r="AX246" s="358"/>
      <c r="AY246" s="215"/>
      <c r="AZ246" s="132"/>
      <c r="BA246" s="358"/>
      <c r="BB246" s="358"/>
      <c r="BC246" s="358"/>
      <c r="BD246" s="358"/>
      <c r="BE246" s="358"/>
      <c r="CG246" s="137"/>
    </row>
    <row r="247" s="172" customFormat="1" customHeight="1" spans="6:85">
      <c r="F247" s="415"/>
      <c r="I247" s="418" t="s">
        <v>2706</v>
      </c>
      <c r="J247" s="172">
        <v>58.35</v>
      </c>
      <c r="M247" s="357"/>
      <c r="N247" s="358"/>
      <c r="O247" s="359"/>
      <c r="P247" s="444"/>
      <c r="Q247" s="452"/>
      <c r="R247" s="358"/>
      <c r="S247" s="377"/>
      <c r="T247" s="377"/>
      <c r="U247" s="377"/>
      <c r="V247" s="358"/>
      <c r="W247" s="423"/>
      <c r="X247" s="358"/>
      <c r="Y247" s="473"/>
      <c r="Z247" s="358"/>
      <c r="AB247" s="358"/>
      <c r="AH247" s="358">
        <f t="shared" si="32"/>
        <v>0</v>
      </c>
      <c r="AK247" s="359">
        <f t="shared" si="33"/>
        <v>0</v>
      </c>
      <c r="AL247" s="415"/>
      <c r="AM247" s="415"/>
      <c r="AQ247" s="396">
        <v>0.02</v>
      </c>
      <c r="AR247" s="397">
        <f t="shared" si="30"/>
        <v>0</v>
      </c>
      <c r="AS247" s="358"/>
      <c r="AT247" s="358"/>
      <c r="AU247" s="358"/>
      <c r="AV247" s="358"/>
      <c r="AW247" s="358"/>
      <c r="AX247" s="358"/>
      <c r="AY247" s="215"/>
      <c r="AZ247" s="132"/>
      <c r="BA247" s="358"/>
      <c r="BB247" s="358"/>
      <c r="BC247" s="358"/>
      <c r="BD247" s="358"/>
      <c r="BE247" s="358"/>
      <c r="CG247" s="137"/>
    </row>
    <row r="248" s="172" customFormat="1" customHeight="1" spans="6:85">
      <c r="F248" s="415"/>
      <c r="I248" s="418" t="s">
        <v>2707</v>
      </c>
      <c r="J248" s="172">
        <v>56.59</v>
      </c>
      <c r="M248" s="357"/>
      <c r="N248" s="358"/>
      <c r="O248" s="359"/>
      <c r="P248" s="444"/>
      <c r="Q248" s="452"/>
      <c r="R248" s="358"/>
      <c r="S248" s="377"/>
      <c r="T248" s="377"/>
      <c r="U248" s="377"/>
      <c r="V248" s="358"/>
      <c r="W248" s="423"/>
      <c r="X248" s="358"/>
      <c r="Y248" s="473"/>
      <c r="Z248" s="358"/>
      <c r="AB248" s="358"/>
      <c r="AH248" s="358">
        <f t="shared" si="32"/>
        <v>0</v>
      </c>
      <c r="AK248" s="359">
        <f t="shared" si="33"/>
        <v>0</v>
      </c>
      <c r="AL248" s="415"/>
      <c r="AM248" s="415"/>
      <c r="AQ248" s="396">
        <v>0.02</v>
      </c>
      <c r="AR248" s="397">
        <f t="shared" si="30"/>
        <v>0</v>
      </c>
      <c r="AS248" s="358"/>
      <c r="AT248" s="358"/>
      <c r="AU248" s="358"/>
      <c r="AV248" s="358"/>
      <c r="AW248" s="358"/>
      <c r="AX248" s="358"/>
      <c r="AY248" s="215"/>
      <c r="AZ248" s="132"/>
      <c r="BA248" s="358"/>
      <c r="BB248" s="358"/>
      <c r="BC248" s="358"/>
      <c r="BD248" s="358"/>
      <c r="BE248" s="358"/>
      <c r="CG248" s="137"/>
    </row>
    <row r="249" s="172" customFormat="1" customHeight="1" spans="6:85">
      <c r="F249" s="415"/>
      <c r="I249" s="418" t="s">
        <v>2708</v>
      </c>
      <c r="J249" s="172">
        <v>23.24</v>
      </c>
      <c r="L249" s="172">
        <v>2290.88</v>
      </c>
      <c r="M249" s="357">
        <v>53240</v>
      </c>
      <c r="N249" s="358"/>
      <c r="O249" s="359"/>
      <c r="P249" s="444"/>
      <c r="Q249" s="452"/>
      <c r="R249" s="358"/>
      <c r="S249" s="377"/>
      <c r="T249" s="377"/>
      <c r="U249" s="377"/>
      <c r="V249" s="358"/>
      <c r="W249" s="423"/>
      <c r="X249" s="358"/>
      <c r="Y249" s="473"/>
      <c r="Z249" s="358"/>
      <c r="AB249" s="358"/>
      <c r="AH249" s="358">
        <f t="shared" si="32"/>
        <v>0</v>
      </c>
      <c r="AK249" s="359">
        <f t="shared" si="33"/>
        <v>53240</v>
      </c>
      <c r="AL249" s="415"/>
      <c r="AM249" s="415"/>
      <c r="AQ249" s="396">
        <v>0.02</v>
      </c>
      <c r="AR249" s="397">
        <f t="shared" si="30"/>
        <v>0</v>
      </c>
      <c r="AS249" s="358"/>
      <c r="AT249" s="358"/>
      <c r="AU249" s="358"/>
      <c r="AV249" s="358"/>
      <c r="AW249" s="358"/>
      <c r="AX249" s="358"/>
      <c r="AY249" s="215"/>
      <c r="AZ249" s="132"/>
      <c r="BA249" s="358"/>
      <c r="BB249" s="358"/>
      <c r="BC249" s="358"/>
      <c r="BD249" s="358"/>
      <c r="BE249" s="358"/>
      <c r="CG249" s="137"/>
    </row>
    <row r="250" s="172" customFormat="1" customHeight="1" spans="6:85">
      <c r="F250" s="415"/>
      <c r="G250" s="172" t="s">
        <v>2709</v>
      </c>
      <c r="I250" s="418" t="s">
        <v>2710</v>
      </c>
      <c r="J250" s="172">
        <v>14.44</v>
      </c>
      <c r="L250" s="172">
        <v>2290.86</v>
      </c>
      <c r="M250" s="357">
        <v>33080</v>
      </c>
      <c r="N250" s="358"/>
      <c r="O250" s="359"/>
      <c r="P250" s="444"/>
      <c r="Q250" s="452"/>
      <c r="R250" s="358"/>
      <c r="S250" s="377"/>
      <c r="T250" s="377"/>
      <c r="U250" s="377"/>
      <c r="V250" s="358">
        <v>33080</v>
      </c>
      <c r="W250" s="377">
        <v>45537</v>
      </c>
      <c r="X250" s="358"/>
      <c r="Y250" s="473"/>
      <c r="Z250" s="358"/>
      <c r="AB250" s="358"/>
      <c r="AH250" s="358">
        <f t="shared" si="32"/>
        <v>33080</v>
      </c>
      <c r="AK250" s="359">
        <f t="shared" si="33"/>
        <v>0</v>
      </c>
      <c r="AL250" s="415"/>
      <c r="AM250" s="415"/>
      <c r="AQ250" s="396">
        <v>0.02</v>
      </c>
      <c r="AR250" s="397">
        <f t="shared" si="30"/>
        <v>33080</v>
      </c>
      <c r="AS250" s="358"/>
      <c r="AT250" s="358"/>
      <c r="AU250" s="358"/>
      <c r="AV250" s="358"/>
      <c r="AW250" s="358"/>
      <c r="AX250" s="358"/>
      <c r="AY250" s="215"/>
      <c r="AZ250" s="132"/>
      <c r="BA250" s="358"/>
      <c r="BB250" s="358"/>
      <c r="BC250" s="358"/>
      <c r="BD250" s="358"/>
      <c r="BE250" s="358"/>
      <c r="BN250" s="172">
        <v>33080</v>
      </c>
      <c r="CG250" s="137"/>
    </row>
    <row r="251" s="172" customFormat="1" customHeight="1" spans="6:85">
      <c r="F251" s="415"/>
      <c r="G251" s="172" t="s">
        <v>2711</v>
      </c>
      <c r="I251" s="418" t="s">
        <v>2712</v>
      </c>
      <c r="J251" s="172">
        <v>14.47</v>
      </c>
      <c r="L251" s="172">
        <v>2291.64</v>
      </c>
      <c r="M251" s="357">
        <v>33160</v>
      </c>
      <c r="N251" s="358"/>
      <c r="O251" s="359"/>
      <c r="P251" s="444"/>
      <c r="Q251" s="452"/>
      <c r="R251" s="358"/>
      <c r="S251" s="377"/>
      <c r="T251" s="377"/>
      <c r="U251" s="377"/>
      <c r="V251" s="358">
        <v>5000</v>
      </c>
      <c r="W251" s="377">
        <v>45537</v>
      </c>
      <c r="X251" s="358">
        <v>28160</v>
      </c>
      <c r="Y251" s="473">
        <v>45542</v>
      </c>
      <c r="Z251" s="358"/>
      <c r="AB251" s="358"/>
      <c r="AH251" s="358">
        <f t="shared" si="32"/>
        <v>33160</v>
      </c>
      <c r="AK251" s="359">
        <f t="shared" si="33"/>
        <v>0</v>
      </c>
      <c r="AL251" s="415"/>
      <c r="AM251" s="415"/>
      <c r="AQ251" s="396">
        <v>0.02</v>
      </c>
      <c r="AR251" s="397">
        <f t="shared" si="30"/>
        <v>33160</v>
      </c>
      <c r="AS251" s="358"/>
      <c r="AT251" s="358"/>
      <c r="AU251" s="358"/>
      <c r="AV251" s="358"/>
      <c r="AW251" s="358"/>
      <c r="AX251" s="358"/>
      <c r="AY251" s="215"/>
      <c r="AZ251" s="132"/>
      <c r="BA251" s="358"/>
      <c r="BB251" s="358"/>
      <c r="BC251" s="358"/>
      <c r="BD251" s="358"/>
      <c r="BE251" s="358"/>
      <c r="BN251" s="172">
        <v>33160</v>
      </c>
      <c r="CG251" s="137"/>
    </row>
    <row r="252" s="172" customFormat="1" customHeight="1" spans="6:85">
      <c r="F252" s="415"/>
      <c r="G252" s="336" t="s">
        <v>1784</v>
      </c>
      <c r="I252" s="418" t="s">
        <v>2713</v>
      </c>
      <c r="J252" s="172">
        <v>14.47</v>
      </c>
      <c r="L252" s="172">
        <v>2291.64</v>
      </c>
      <c r="M252" s="357">
        <v>33160</v>
      </c>
      <c r="N252" s="358"/>
      <c r="O252" s="359"/>
      <c r="P252" s="444"/>
      <c r="Q252" s="452"/>
      <c r="R252" s="358"/>
      <c r="S252" s="377"/>
      <c r="T252" s="377"/>
      <c r="U252" s="377"/>
      <c r="V252" s="358">
        <v>2000</v>
      </c>
      <c r="W252" s="473" t="s">
        <v>2714</v>
      </c>
      <c r="X252" s="358">
        <v>31160</v>
      </c>
      <c r="Y252" s="377" t="s">
        <v>2715</v>
      </c>
      <c r="Z252" s="358"/>
      <c r="AA252" s="377"/>
      <c r="AB252" s="358"/>
      <c r="AH252" s="358">
        <f t="shared" si="32"/>
        <v>33160</v>
      </c>
      <c r="AK252" s="359">
        <f t="shared" si="33"/>
        <v>0</v>
      </c>
      <c r="AL252" s="415"/>
      <c r="AM252" s="415"/>
      <c r="AQ252" s="396">
        <v>0.02</v>
      </c>
      <c r="AR252" s="397">
        <f t="shared" si="30"/>
        <v>33160</v>
      </c>
      <c r="AS252" s="358"/>
      <c r="AT252" s="358"/>
      <c r="AU252" s="358"/>
      <c r="AV252" s="358"/>
      <c r="AW252" s="358"/>
      <c r="AX252" s="358"/>
      <c r="AY252" s="215"/>
      <c r="AZ252" s="132"/>
      <c r="BA252" s="358"/>
      <c r="BB252" s="358"/>
      <c r="BC252" s="358"/>
      <c r="BD252" s="358"/>
      <c r="BE252" s="358"/>
      <c r="BQ252" s="172">
        <v>33160</v>
      </c>
      <c r="CG252" s="137"/>
    </row>
    <row r="253" s="172" customFormat="1" customHeight="1" spans="6:85">
      <c r="F253" s="415"/>
      <c r="I253" s="418" t="s">
        <v>2716</v>
      </c>
      <c r="J253" s="172">
        <v>23.24</v>
      </c>
      <c r="L253" s="172">
        <v>2290.88</v>
      </c>
      <c r="M253" s="357">
        <v>53240</v>
      </c>
      <c r="N253" s="358"/>
      <c r="O253" s="359"/>
      <c r="P253" s="444"/>
      <c r="Q253" s="452"/>
      <c r="R253" s="358"/>
      <c r="S253" s="377"/>
      <c r="T253" s="377"/>
      <c r="U253" s="377"/>
      <c r="V253" s="358"/>
      <c r="W253" s="423"/>
      <c r="X253" s="358"/>
      <c r="Y253" s="473"/>
      <c r="Z253" s="358"/>
      <c r="AB253" s="358"/>
      <c r="AH253" s="358">
        <f t="shared" si="32"/>
        <v>0</v>
      </c>
      <c r="AK253" s="359">
        <f t="shared" si="33"/>
        <v>53240</v>
      </c>
      <c r="AL253" s="415"/>
      <c r="AM253" s="415"/>
      <c r="AQ253" s="396">
        <v>0.02</v>
      </c>
      <c r="AR253" s="397">
        <f t="shared" si="30"/>
        <v>0</v>
      </c>
      <c r="AS253" s="358"/>
      <c r="AT253" s="358"/>
      <c r="AU253" s="358"/>
      <c r="AV253" s="358"/>
      <c r="AW253" s="358"/>
      <c r="AX253" s="358"/>
      <c r="AY253" s="215"/>
      <c r="AZ253" s="132"/>
      <c r="BA253" s="358"/>
      <c r="BB253" s="358"/>
      <c r="BC253" s="358"/>
      <c r="BD253" s="358"/>
      <c r="BE253" s="358"/>
      <c r="CG253" s="137"/>
    </row>
    <row r="254" s="172" customFormat="1" customHeight="1" spans="6:85">
      <c r="F254" s="415"/>
      <c r="I254" s="418" t="s">
        <v>2717</v>
      </c>
      <c r="J254" s="172">
        <v>56.55</v>
      </c>
      <c r="M254" s="357"/>
      <c r="N254" s="358"/>
      <c r="O254" s="359"/>
      <c r="P254" s="444"/>
      <c r="Q254" s="452"/>
      <c r="R254" s="358"/>
      <c r="S254" s="377"/>
      <c r="T254" s="377"/>
      <c r="U254" s="377"/>
      <c r="V254" s="358"/>
      <c r="W254" s="423"/>
      <c r="X254" s="358"/>
      <c r="Y254" s="473"/>
      <c r="Z254" s="358"/>
      <c r="AB254" s="358"/>
      <c r="AH254" s="358">
        <f t="shared" si="32"/>
        <v>0</v>
      </c>
      <c r="AK254" s="359">
        <f t="shared" si="33"/>
        <v>0</v>
      </c>
      <c r="AL254" s="415"/>
      <c r="AM254" s="415"/>
      <c r="AQ254" s="396">
        <v>0.02</v>
      </c>
      <c r="AR254" s="397">
        <f t="shared" si="30"/>
        <v>0</v>
      </c>
      <c r="AS254" s="358"/>
      <c r="AT254" s="358"/>
      <c r="AU254" s="358"/>
      <c r="AV254" s="358"/>
      <c r="AW254" s="358"/>
      <c r="AX254" s="358"/>
      <c r="AY254" s="215"/>
      <c r="AZ254" s="132"/>
      <c r="BA254" s="358"/>
      <c r="BB254" s="358"/>
      <c r="BC254" s="358"/>
      <c r="BD254" s="358"/>
      <c r="BE254" s="358"/>
      <c r="CG254" s="137"/>
    </row>
    <row r="255" s="172" customFormat="1" customHeight="1" spans="6:85">
      <c r="F255" s="415"/>
      <c r="I255" s="418" t="s">
        <v>2718</v>
      </c>
      <c r="J255" s="172">
        <v>58.72</v>
      </c>
      <c r="M255" s="357"/>
      <c r="N255" s="358"/>
      <c r="O255" s="359"/>
      <c r="P255" s="444"/>
      <c r="Q255" s="452"/>
      <c r="R255" s="358"/>
      <c r="S255" s="377"/>
      <c r="T255" s="377"/>
      <c r="U255" s="377"/>
      <c r="V255" s="358"/>
      <c r="W255" s="423"/>
      <c r="X255" s="358"/>
      <c r="Y255" s="473"/>
      <c r="Z255" s="358"/>
      <c r="AB255" s="358"/>
      <c r="AH255" s="358">
        <f t="shared" si="32"/>
        <v>0</v>
      </c>
      <c r="AK255" s="359">
        <f t="shared" si="33"/>
        <v>0</v>
      </c>
      <c r="AL255" s="415"/>
      <c r="AM255" s="415"/>
      <c r="AQ255" s="396">
        <v>0.02</v>
      </c>
      <c r="AR255" s="397">
        <f t="shared" si="30"/>
        <v>0</v>
      </c>
      <c r="AS255" s="358"/>
      <c r="AT255" s="358"/>
      <c r="AU255" s="358"/>
      <c r="AV255" s="358"/>
      <c r="AW255" s="358"/>
      <c r="AX255" s="358"/>
      <c r="AY255" s="215"/>
      <c r="AZ255" s="132"/>
      <c r="BA255" s="358"/>
      <c r="BB255" s="358"/>
      <c r="BC255" s="358"/>
      <c r="BD255" s="358"/>
      <c r="BE255" s="358"/>
      <c r="CG255" s="137"/>
    </row>
    <row r="256" s="172" customFormat="1" customHeight="1" spans="6:85">
      <c r="F256" s="415"/>
      <c r="G256" s="172" t="s">
        <v>2382</v>
      </c>
      <c r="I256" s="418" t="s">
        <v>2719</v>
      </c>
      <c r="J256" s="172">
        <v>23.24</v>
      </c>
      <c r="L256" s="172">
        <v>2290.88</v>
      </c>
      <c r="M256" s="357">
        <v>53240</v>
      </c>
      <c r="N256" s="358"/>
      <c r="O256" s="359"/>
      <c r="P256" s="444"/>
      <c r="Q256" s="452"/>
      <c r="R256" s="358"/>
      <c r="S256" s="377"/>
      <c r="T256" s="377"/>
      <c r="U256" s="377"/>
      <c r="V256" s="358">
        <v>53240</v>
      </c>
      <c r="W256" s="377">
        <v>45541</v>
      </c>
      <c r="X256" s="358"/>
      <c r="Y256" s="473"/>
      <c r="Z256" s="358"/>
      <c r="AB256" s="358"/>
      <c r="AH256" s="358">
        <f t="shared" si="32"/>
        <v>53240</v>
      </c>
      <c r="AK256" s="359">
        <f t="shared" si="33"/>
        <v>0</v>
      </c>
      <c r="AL256" s="415"/>
      <c r="AM256" s="415"/>
      <c r="AQ256" s="396">
        <v>0.02</v>
      </c>
      <c r="AR256" s="397">
        <f t="shared" si="30"/>
        <v>53240</v>
      </c>
      <c r="AS256" s="358"/>
      <c r="AT256" s="358"/>
      <c r="AU256" s="358"/>
      <c r="AV256" s="358"/>
      <c r="AW256" s="358"/>
      <c r="AX256" s="358"/>
      <c r="AY256" s="215"/>
      <c r="AZ256" s="132"/>
      <c r="BA256" s="358"/>
      <c r="BB256" s="358"/>
      <c r="BC256" s="358"/>
      <c r="BD256" s="358"/>
      <c r="BE256" s="358"/>
      <c r="BN256" s="172">
        <v>53240</v>
      </c>
      <c r="CG256" s="137"/>
    </row>
    <row r="257" s="172" customFormat="1" customHeight="1" spans="6:85">
      <c r="F257" s="415"/>
      <c r="G257" s="172" t="s">
        <v>2720</v>
      </c>
      <c r="I257" s="418" t="s">
        <v>2721</v>
      </c>
      <c r="J257" s="172">
        <v>14.44</v>
      </c>
      <c r="L257" s="172">
        <v>2290.86</v>
      </c>
      <c r="M257" s="357">
        <v>33080</v>
      </c>
      <c r="N257" s="358"/>
      <c r="O257" s="359"/>
      <c r="P257" s="444"/>
      <c r="Q257" s="452"/>
      <c r="R257" s="358"/>
      <c r="S257" s="377"/>
      <c r="T257" s="377"/>
      <c r="U257" s="377"/>
      <c r="V257" s="358">
        <v>2000</v>
      </c>
      <c r="W257" s="377">
        <v>45537</v>
      </c>
      <c r="X257" s="358">
        <v>31080</v>
      </c>
      <c r="Y257" s="473">
        <v>45554</v>
      </c>
      <c r="Z257" s="358"/>
      <c r="AB257" s="358"/>
      <c r="AH257" s="358">
        <f t="shared" ref="AH257:AH311" si="34">V257+X257+Z257+AB257+AD257+AF257</f>
        <v>33080</v>
      </c>
      <c r="AK257" s="359">
        <f t="shared" si="33"/>
        <v>0</v>
      </c>
      <c r="AL257" s="415"/>
      <c r="AM257" s="415"/>
      <c r="AQ257" s="396">
        <v>0.02</v>
      </c>
      <c r="AR257" s="397">
        <f t="shared" si="30"/>
        <v>33080</v>
      </c>
      <c r="AS257" s="358"/>
      <c r="AT257" s="358"/>
      <c r="AU257" s="358"/>
      <c r="AV257" s="358"/>
      <c r="AW257" s="358"/>
      <c r="AX257" s="358"/>
      <c r="AY257" s="215"/>
      <c r="AZ257" s="132"/>
      <c r="BA257" s="358"/>
      <c r="BB257" s="358"/>
      <c r="BC257" s="358"/>
      <c r="BD257" s="358"/>
      <c r="BE257" s="358"/>
      <c r="BN257" s="172">
        <v>33080</v>
      </c>
      <c r="CG257" s="137"/>
    </row>
    <row r="258" s="172" customFormat="1" customHeight="1" spans="6:85">
      <c r="F258" s="415"/>
      <c r="G258" s="172" t="s">
        <v>2722</v>
      </c>
      <c r="I258" s="418" t="s">
        <v>2723</v>
      </c>
      <c r="J258" s="172">
        <v>14.47</v>
      </c>
      <c r="L258" s="172">
        <v>2291.64</v>
      </c>
      <c r="M258" s="357">
        <v>33160</v>
      </c>
      <c r="N258" s="358"/>
      <c r="O258" s="359"/>
      <c r="P258" s="444"/>
      <c r="Q258" s="452"/>
      <c r="R258" s="358"/>
      <c r="S258" s="377"/>
      <c r="T258" s="377"/>
      <c r="U258" s="377"/>
      <c r="V258" s="358">
        <v>5000</v>
      </c>
      <c r="W258" s="377">
        <v>45537</v>
      </c>
      <c r="X258" s="358">
        <v>28160</v>
      </c>
      <c r="Y258" s="473">
        <v>45544</v>
      </c>
      <c r="Z258" s="358"/>
      <c r="AB258" s="358"/>
      <c r="AH258" s="358">
        <f t="shared" si="34"/>
        <v>33160</v>
      </c>
      <c r="AK258" s="359">
        <f t="shared" si="33"/>
        <v>0</v>
      </c>
      <c r="AL258" s="415"/>
      <c r="AM258" s="415"/>
      <c r="AQ258" s="396">
        <v>0.02</v>
      </c>
      <c r="AR258" s="397">
        <f t="shared" si="30"/>
        <v>33160</v>
      </c>
      <c r="AS258" s="358"/>
      <c r="AT258" s="358"/>
      <c r="AU258" s="358"/>
      <c r="AV258" s="358"/>
      <c r="AW258" s="358"/>
      <c r="AX258" s="358"/>
      <c r="AY258" s="215"/>
      <c r="AZ258" s="132"/>
      <c r="BA258" s="358"/>
      <c r="BB258" s="358"/>
      <c r="BC258" s="358"/>
      <c r="BD258" s="358"/>
      <c r="BE258" s="358"/>
      <c r="BN258" s="172">
        <v>33160</v>
      </c>
      <c r="CG258" s="137"/>
    </row>
    <row r="259" s="172" customFormat="1" customHeight="1" spans="6:85">
      <c r="F259" s="415"/>
      <c r="G259" s="172" t="s">
        <v>2724</v>
      </c>
      <c r="I259" s="418" t="s">
        <v>2725</v>
      </c>
      <c r="J259" s="172">
        <v>14.47</v>
      </c>
      <c r="L259" s="172">
        <v>2291.64</v>
      </c>
      <c r="M259" s="357">
        <v>33160</v>
      </c>
      <c r="N259" s="358"/>
      <c r="O259" s="359"/>
      <c r="P259" s="444"/>
      <c r="Q259" s="452"/>
      <c r="R259" s="358"/>
      <c r="S259" s="377"/>
      <c r="T259" s="377"/>
      <c r="U259" s="377"/>
      <c r="V259" s="358">
        <v>33160</v>
      </c>
      <c r="W259" s="377">
        <v>45536</v>
      </c>
      <c r="X259" s="358"/>
      <c r="Y259" s="473"/>
      <c r="Z259" s="358"/>
      <c r="AB259" s="358"/>
      <c r="AH259" s="358">
        <f t="shared" si="34"/>
        <v>33160</v>
      </c>
      <c r="AK259" s="359">
        <f t="shared" si="33"/>
        <v>0</v>
      </c>
      <c r="AL259" s="415"/>
      <c r="AM259" s="415"/>
      <c r="AQ259" s="396">
        <v>0.02</v>
      </c>
      <c r="AR259" s="397">
        <f t="shared" si="30"/>
        <v>33160</v>
      </c>
      <c r="AS259" s="358"/>
      <c r="AT259" s="358"/>
      <c r="AU259" s="358"/>
      <c r="AV259" s="358"/>
      <c r="AW259" s="358"/>
      <c r="AX259" s="358"/>
      <c r="AY259" s="215"/>
      <c r="AZ259" s="132"/>
      <c r="BA259" s="358"/>
      <c r="BB259" s="358"/>
      <c r="BC259" s="358"/>
      <c r="BD259" s="358"/>
      <c r="BE259" s="358"/>
      <c r="BN259" s="172">
        <v>33160</v>
      </c>
      <c r="CG259" s="137"/>
    </row>
    <row r="260" s="172" customFormat="1" customHeight="1" spans="6:85">
      <c r="F260" s="415"/>
      <c r="I260" s="418" t="s">
        <v>2726</v>
      </c>
      <c r="J260" s="172" t="s">
        <v>2704</v>
      </c>
      <c r="M260" s="357"/>
      <c r="N260" s="358"/>
      <c r="O260" s="359"/>
      <c r="P260" s="444"/>
      <c r="Q260" s="452"/>
      <c r="R260" s="358"/>
      <c r="S260" s="377"/>
      <c r="T260" s="377"/>
      <c r="U260" s="377"/>
      <c r="V260" s="358"/>
      <c r="W260" s="423"/>
      <c r="X260" s="358"/>
      <c r="Y260" s="473"/>
      <c r="Z260" s="358"/>
      <c r="AB260" s="358"/>
      <c r="AH260" s="358">
        <f t="shared" si="34"/>
        <v>0</v>
      </c>
      <c r="AK260" s="359">
        <f t="shared" si="33"/>
        <v>0</v>
      </c>
      <c r="AL260" s="415"/>
      <c r="AM260" s="415"/>
      <c r="AQ260" s="430"/>
      <c r="AR260" s="397">
        <f t="shared" si="30"/>
        <v>0</v>
      </c>
      <c r="AS260" s="358"/>
      <c r="AT260" s="358"/>
      <c r="AU260" s="358"/>
      <c r="AV260" s="358"/>
      <c r="AW260" s="358"/>
      <c r="AX260" s="358"/>
      <c r="AY260" s="215"/>
      <c r="AZ260" s="132"/>
      <c r="BA260" s="358"/>
      <c r="BB260" s="358"/>
      <c r="BC260" s="358"/>
      <c r="BD260" s="358"/>
      <c r="BE260" s="358"/>
      <c r="CG260" s="137"/>
    </row>
    <row r="261" s="172" customFormat="1" customHeight="1" spans="6:85">
      <c r="F261" s="415"/>
      <c r="G261" s="172" t="s">
        <v>2727</v>
      </c>
      <c r="I261" s="418" t="s">
        <v>2728</v>
      </c>
      <c r="J261" s="172">
        <v>23.24</v>
      </c>
      <c r="L261" s="172">
        <v>2290.88</v>
      </c>
      <c r="M261" s="357">
        <v>53240</v>
      </c>
      <c r="N261" s="358"/>
      <c r="O261" s="359"/>
      <c r="P261" s="444"/>
      <c r="Q261" s="452"/>
      <c r="R261" s="358"/>
      <c r="S261" s="377"/>
      <c r="T261" s="377"/>
      <c r="U261" s="377"/>
      <c r="V261" s="358">
        <v>2000</v>
      </c>
      <c r="W261" s="377">
        <v>45540</v>
      </c>
      <c r="X261" s="358">
        <v>51240</v>
      </c>
      <c r="Y261" s="377" t="s">
        <v>2407</v>
      </c>
      <c r="Z261" s="358"/>
      <c r="AB261" s="358"/>
      <c r="AH261" s="358">
        <f t="shared" si="34"/>
        <v>53240</v>
      </c>
      <c r="AK261" s="359">
        <f t="shared" si="33"/>
        <v>0</v>
      </c>
      <c r="AL261" s="415"/>
      <c r="AM261" s="415"/>
      <c r="AQ261" s="396">
        <v>0.02</v>
      </c>
      <c r="AR261" s="397">
        <f t="shared" si="30"/>
        <v>53240</v>
      </c>
      <c r="AS261" s="358"/>
      <c r="AT261" s="358"/>
      <c r="AU261" s="358"/>
      <c r="AV261" s="358"/>
      <c r="AW261" s="358"/>
      <c r="AX261" s="358"/>
      <c r="AY261" s="215"/>
      <c r="AZ261" s="132"/>
      <c r="BA261" s="358"/>
      <c r="BB261" s="358"/>
      <c r="BC261" s="358"/>
      <c r="BD261" s="358"/>
      <c r="BE261" s="358"/>
      <c r="BO261" s="172">
        <v>53240</v>
      </c>
      <c r="CG261" s="137"/>
    </row>
    <row r="262" s="172" customFormat="1" customHeight="1" spans="6:85">
      <c r="F262" s="415"/>
      <c r="I262" s="418" t="s">
        <v>2729</v>
      </c>
      <c r="J262" s="172">
        <v>58.72</v>
      </c>
      <c r="M262" s="357"/>
      <c r="N262" s="358"/>
      <c r="O262" s="359"/>
      <c r="P262" s="444"/>
      <c r="Q262" s="452"/>
      <c r="R262" s="358"/>
      <c r="S262" s="377"/>
      <c r="T262" s="377"/>
      <c r="U262" s="377"/>
      <c r="V262" s="358"/>
      <c r="W262" s="423"/>
      <c r="X262" s="358"/>
      <c r="Y262" s="473"/>
      <c r="Z262" s="358"/>
      <c r="AB262" s="358"/>
      <c r="AH262" s="358">
        <f t="shared" si="34"/>
        <v>0</v>
      </c>
      <c r="AK262" s="359">
        <f t="shared" si="33"/>
        <v>0</v>
      </c>
      <c r="AL262" s="415"/>
      <c r="AM262" s="415"/>
      <c r="AQ262" s="396">
        <v>0.02</v>
      </c>
      <c r="AR262" s="397">
        <f t="shared" ref="AR262:AR325" si="35">SUM(AU262:BR262)</f>
        <v>0</v>
      </c>
      <c r="AS262" s="358"/>
      <c r="AT262" s="358"/>
      <c r="AU262" s="358"/>
      <c r="AV262" s="358"/>
      <c r="AW262" s="358"/>
      <c r="AX262" s="358"/>
      <c r="AY262" s="215"/>
      <c r="AZ262" s="132"/>
      <c r="BA262" s="358"/>
      <c r="BB262" s="358"/>
      <c r="BC262" s="358"/>
      <c r="BD262" s="358"/>
      <c r="BE262" s="358"/>
      <c r="CG262" s="137"/>
    </row>
    <row r="263" s="172" customFormat="1" customHeight="1" spans="6:85">
      <c r="F263" s="415"/>
      <c r="I263" s="418" t="s">
        <v>2730</v>
      </c>
      <c r="J263" s="172">
        <v>57.09</v>
      </c>
      <c r="M263" s="357"/>
      <c r="N263" s="358"/>
      <c r="O263" s="359"/>
      <c r="P263" s="444"/>
      <c r="Q263" s="452"/>
      <c r="R263" s="358"/>
      <c r="S263" s="377"/>
      <c r="T263" s="377"/>
      <c r="U263" s="377"/>
      <c r="V263" s="358"/>
      <c r="W263" s="423"/>
      <c r="X263" s="358"/>
      <c r="Y263" s="473"/>
      <c r="Z263" s="358"/>
      <c r="AB263" s="358"/>
      <c r="AH263" s="358">
        <f t="shared" si="34"/>
        <v>0</v>
      </c>
      <c r="AK263" s="359">
        <f t="shared" si="33"/>
        <v>0</v>
      </c>
      <c r="AL263" s="415"/>
      <c r="AM263" s="415"/>
      <c r="AQ263" s="396">
        <v>0.02</v>
      </c>
      <c r="AR263" s="397">
        <f t="shared" si="35"/>
        <v>0</v>
      </c>
      <c r="AS263" s="358"/>
      <c r="AT263" s="358"/>
      <c r="AU263" s="358"/>
      <c r="AV263" s="358"/>
      <c r="AW263" s="358"/>
      <c r="AX263" s="358"/>
      <c r="AY263" s="215"/>
      <c r="AZ263" s="132"/>
      <c r="BA263" s="358"/>
      <c r="BB263" s="358"/>
      <c r="BC263" s="358"/>
      <c r="BD263" s="358"/>
      <c r="BE263" s="358"/>
      <c r="CG263" s="137"/>
    </row>
    <row r="264" s="172" customFormat="1" customHeight="1" spans="6:85">
      <c r="F264" s="415"/>
      <c r="G264" s="172" t="s">
        <v>2731</v>
      </c>
      <c r="I264" s="418" t="s">
        <v>2732</v>
      </c>
      <c r="J264" s="172">
        <v>23.24</v>
      </c>
      <c r="L264" s="172">
        <v>2290.88</v>
      </c>
      <c r="M264" s="357">
        <v>53240</v>
      </c>
      <c r="N264" s="358"/>
      <c r="O264" s="359"/>
      <c r="P264" s="444"/>
      <c r="Q264" s="452"/>
      <c r="R264" s="358"/>
      <c r="S264" s="377"/>
      <c r="T264" s="377"/>
      <c r="U264" s="377"/>
      <c r="V264" s="358">
        <v>1000</v>
      </c>
      <c r="W264" s="377">
        <v>45540</v>
      </c>
      <c r="X264" s="358"/>
      <c r="Y264" s="473"/>
      <c r="Z264" s="358"/>
      <c r="AB264" s="358"/>
      <c r="AH264" s="358">
        <f t="shared" si="34"/>
        <v>1000</v>
      </c>
      <c r="AK264" s="359">
        <f t="shared" si="33"/>
        <v>52240</v>
      </c>
      <c r="AL264" s="415"/>
      <c r="AM264" s="415"/>
      <c r="AQ264" s="396">
        <v>0.02</v>
      </c>
      <c r="AR264" s="397">
        <f t="shared" si="35"/>
        <v>0</v>
      </c>
      <c r="AS264" s="358"/>
      <c r="AT264" s="358"/>
      <c r="AU264" s="358"/>
      <c r="AV264" s="358"/>
      <c r="AW264" s="358"/>
      <c r="AX264" s="358"/>
      <c r="AY264" s="215"/>
      <c r="AZ264" s="132"/>
      <c r="BA264" s="358"/>
      <c r="BB264" s="358"/>
      <c r="BC264" s="358"/>
      <c r="BD264" s="358"/>
      <c r="BE264" s="358"/>
      <c r="CG264" s="137"/>
    </row>
    <row r="265" s="172" customFormat="1" customHeight="1" spans="6:85">
      <c r="F265" s="415"/>
      <c r="G265" s="172" t="s">
        <v>2733</v>
      </c>
      <c r="I265" s="418" t="s">
        <v>2734</v>
      </c>
      <c r="J265" s="172">
        <v>14.44</v>
      </c>
      <c r="L265" s="172">
        <v>2290.86</v>
      </c>
      <c r="M265" s="357">
        <v>33080</v>
      </c>
      <c r="N265" s="358"/>
      <c r="O265" s="359"/>
      <c r="P265" s="444"/>
      <c r="Q265" s="452"/>
      <c r="R265" s="358"/>
      <c r="S265" s="377"/>
      <c r="T265" s="377"/>
      <c r="U265" s="377"/>
      <c r="V265" s="358">
        <v>3000</v>
      </c>
      <c r="W265" s="377">
        <v>45540</v>
      </c>
      <c r="X265" s="358">
        <f>80+30000</f>
        <v>30080</v>
      </c>
      <c r="Y265" s="473">
        <v>45546</v>
      </c>
      <c r="Z265" s="358"/>
      <c r="AB265" s="358"/>
      <c r="AH265" s="358">
        <f t="shared" si="34"/>
        <v>33080</v>
      </c>
      <c r="AK265" s="359">
        <f t="shared" si="33"/>
        <v>0</v>
      </c>
      <c r="AL265" s="415"/>
      <c r="AM265" s="415"/>
      <c r="AQ265" s="396">
        <v>0.02</v>
      </c>
      <c r="AR265" s="397">
        <f t="shared" si="35"/>
        <v>33080</v>
      </c>
      <c r="AS265" s="358"/>
      <c r="AT265" s="358"/>
      <c r="AU265" s="358"/>
      <c r="AV265" s="358"/>
      <c r="AW265" s="358"/>
      <c r="AX265" s="358"/>
      <c r="AY265" s="215"/>
      <c r="AZ265" s="132"/>
      <c r="BA265" s="358"/>
      <c r="BB265" s="358"/>
      <c r="BC265" s="358"/>
      <c r="BD265" s="358"/>
      <c r="BE265" s="358"/>
      <c r="BN265" s="172">
        <v>33080</v>
      </c>
      <c r="CG265" s="137"/>
    </row>
    <row r="266" s="172" customFormat="1" customHeight="1" spans="6:85">
      <c r="F266" s="415"/>
      <c r="G266" s="172" t="s">
        <v>2735</v>
      </c>
      <c r="I266" s="418" t="s">
        <v>2736</v>
      </c>
      <c r="J266" s="172">
        <v>14.47</v>
      </c>
      <c r="L266" s="172">
        <v>2291.64</v>
      </c>
      <c r="M266" s="357">
        <v>33160</v>
      </c>
      <c r="N266" s="358"/>
      <c r="O266" s="359"/>
      <c r="P266" s="444"/>
      <c r="Q266" s="452"/>
      <c r="R266" s="358"/>
      <c r="S266" s="377"/>
      <c r="T266" s="377"/>
      <c r="U266" s="377"/>
      <c r="V266" s="358">
        <v>2000</v>
      </c>
      <c r="W266" s="377">
        <v>45541</v>
      </c>
      <c r="X266" s="358">
        <v>31160</v>
      </c>
      <c r="Y266" s="473">
        <v>45546</v>
      </c>
      <c r="Z266" s="358"/>
      <c r="AB266" s="358"/>
      <c r="AH266" s="358">
        <f t="shared" si="34"/>
        <v>33160</v>
      </c>
      <c r="AK266" s="359">
        <f t="shared" si="33"/>
        <v>0</v>
      </c>
      <c r="AL266" s="415"/>
      <c r="AM266" s="415"/>
      <c r="AQ266" s="396">
        <v>0.02</v>
      </c>
      <c r="AR266" s="397">
        <f t="shared" si="35"/>
        <v>33160</v>
      </c>
      <c r="AS266" s="358"/>
      <c r="AT266" s="358"/>
      <c r="AU266" s="358"/>
      <c r="AV266" s="358"/>
      <c r="AW266" s="358"/>
      <c r="AX266" s="358"/>
      <c r="AY266" s="215"/>
      <c r="AZ266" s="132"/>
      <c r="BA266" s="358"/>
      <c r="BB266" s="358"/>
      <c r="BC266" s="358"/>
      <c r="BD266" s="358"/>
      <c r="BE266" s="358"/>
      <c r="BN266" s="172">
        <v>33160</v>
      </c>
      <c r="CG266" s="137"/>
    </row>
    <row r="267" s="59" customFormat="1" customHeight="1" spans="1:57">
      <c r="A267" s="436">
        <v>177</v>
      </c>
      <c r="B267" s="172"/>
      <c r="C267" s="172"/>
      <c r="D267" s="172"/>
      <c r="E267" s="172" t="s">
        <v>2737</v>
      </c>
      <c r="F267" s="415"/>
      <c r="G267" s="481"/>
      <c r="H267" s="172"/>
      <c r="I267" s="439" t="s">
        <v>2738</v>
      </c>
      <c r="J267" s="172">
        <v>107.96</v>
      </c>
      <c r="K267" s="172"/>
      <c r="L267" s="172"/>
      <c r="M267" s="357"/>
      <c r="N267" s="172">
        <v>8574.47</v>
      </c>
      <c r="O267" s="419"/>
      <c r="P267" s="444"/>
      <c r="Q267" s="452"/>
      <c r="R267" s="358"/>
      <c r="S267" s="377"/>
      <c r="T267" s="377"/>
      <c r="U267" s="377"/>
      <c r="V267" s="457"/>
      <c r="W267" s="475"/>
      <c r="X267" s="457"/>
      <c r="Y267" s="474"/>
      <c r="Z267" s="457"/>
      <c r="AB267" s="457"/>
      <c r="AH267" s="327">
        <f t="shared" si="34"/>
        <v>0</v>
      </c>
      <c r="AI267" s="172"/>
      <c r="AJ267" s="172"/>
      <c r="AK267" s="359">
        <f t="shared" si="31"/>
        <v>0</v>
      </c>
      <c r="AL267" s="415"/>
      <c r="AM267" s="489"/>
      <c r="AN267" s="172"/>
      <c r="AO267" s="172"/>
      <c r="AP267" s="172"/>
      <c r="AQ267" s="456"/>
      <c r="AR267" s="397">
        <f t="shared" si="35"/>
        <v>0</v>
      </c>
      <c r="AS267" s="457"/>
      <c r="AT267" s="457"/>
      <c r="AU267" s="457"/>
      <c r="AV267" s="457"/>
      <c r="AW267" s="457"/>
      <c r="AX267" s="457"/>
      <c r="AY267" s="480"/>
      <c r="BA267" s="457"/>
      <c r="BB267" s="457"/>
      <c r="BC267" s="457"/>
      <c r="BD267" s="457"/>
      <c r="BE267" s="457"/>
    </row>
    <row r="268" s="323" customFormat="1" customHeight="1" spans="1:57">
      <c r="A268" s="323">
        <v>178</v>
      </c>
      <c r="B268" s="323"/>
      <c r="C268" s="323"/>
      <c r="D268" s="323"/>
      <c r="E268" s="323" t="s">
        <v>2739</v>
      </c>
      <c r="F268" s="338"/>
      <c r="G268" s="323" t="s">
        <v>2740</v>
      </c>
      <c r="H268" s="323"/>
      <c r="I268" s="361" t="s">
        <v>2741</v>
      </c>
      <c r="J268" s="323">
        <v>107.77</v>
      </c>
      <c r="K268" s="323">
        <v>107.77</v>
      </c>
      <c r="L268" s="323"/>
      <c r="M268" s="326">
        <v>923958</v>
      </c>
      <c r="N268" s="323">
        <v>8586.17</v>
      </c>
      <c r="O268" s="368"/>
      <c r="P268" s="363"/>
      <c r="Q268" s="329"/>
      <c r="R268" s="327"/>
      <c r="S268" s="330"/>
      <c r="T268" s="330"/>
      <c r="U268" s="330"/>
      <c r="V268" s="327">
        <v>923958</v>
      </c>
      <c r="W268" s="330" t="s">
        <v>142</v>
      </c>
      <c r="X268" s="327"/>
      <c r="Y268" s="389"/>
      <c r="Z268" s="327"/>
      <c r="AB268" s="327"/>
      <c r="AH268" s="327">
        <f t="shared" si="34"/>
        <v>923958</v>
      </c>
      <c r="AK268" s="328">
        <f t="shared" si="31"/>
        <v>0</v>
      </c>
      <c r="AL268" s="338"/>
      <c r="AM268" s="338"/>
      <c r="AN268" s="323"/>
      <c r="AO268" s="323"/>
      <c r="AP268" s="323"/>
      <c r="AQ268" s="332"/>
      <c r="AR268" s="398">
        <f t="shared" si="35"/>
        <v>0</v>
      </c>
      <c r="AS268" s="327"/>
      <c r="AT268" s="327"/>
      <c r="AU268" s="327"/>
      <c r="AV268" s="327"/>
      <c r="AW268" s="327"/>
      <c r="AX268" s="327"/>
      <c r="AY268" s="184"/>
      <c r="BA268" s="327"/>
      <c r="BB268" s="327"/>
      <c r="BC268" s="327"/>
      <c r="BD268" s="327"/>
      <c r="BE268" s="327"/>
    </row>
    <row r="269" s="59" customFormat="1" customHeight="1" spans="1:57">
      <c r="A269" s="436">
        <v>179</v>
      </c>
      <c r="B269" s="172"/>
      <c r="C269" s="172"/>
      <c r="D269" s="172"/>
      <c r="E269" s="172" t="s">
        <v>2742</v>
      </c>
      <c r="F269" s="415"/>
      <c r="G269" s="172"/>
      <c r="H269" s="172"/>
      <c r="I269" s="439" t="s">
        <v>2743</v>
      </c>
      <c r="J269" s="172">
        <v>108.14</v>
      </c>
      <c r="K269" s="172"/>
      <c r="L269" s="172"/>
      <c r="M269" s="357"/>
      <c r="N269" s="172">
        <v>5911.36</v>
      </c>
      <c r="O269" s="419"/>
      <c r="P269" s="444"/>
      <c r="Q269" s="452"/>
      <c r="R269" s="358"/>
      <c r="S269" s="377"/>
      <c r="T269" s="377"/>
      <c r="U269" s="377"/>
      <c r="V269" s="457"/>
      <c r="W269" s="475"/>
      <c r="X269" s="457"/>
      <c r="Y269" s="474"/>
      <c r="Z269" s="457"/>
      <c r="AB269" s="457"/>
      <c r="AH269" s="327">
        <f t="shared" si="34"/>
        <v>0</v>
      </c>
      <c r="AI269" s="172"/>
      <c r="AJ269" s="172"/>
      <c r="AK269" s="359">
        <f t="shared" si="31"/>
        <v>0</v>
      </c>
      <c r="AL269" s="415"/>
      <c r="AM269" s="489"/>
      <c r="AN269" s="172"/>
      <c r="AO269" s="172"/>
      <c r="AP269" s="172"/>
      <c r="AQ269" s="456"/>
      <c r="AR269" s="397">
        <f t="shared" si="35"/>
        <v>0</v>
      </c>
      <c r="AS269" s="457"/>
      <c r="AT269" s="457"/>
      <c r="AU269" s="457"/>
      <c r="AV269" s="457"/>
      <c r="AW269" s="457"/>
      <c r="AX269" s="457"/>
      <c r="AY269" s="480"/>
      <c r="BA269" s="457"/>
      <c r="BB269" s="457"/>
      <c r="BC269" s="457"/>
      <c r="BD269" s="457"/>
      <c r="BE269" s="457"/>
    </row>
    <row r="270" s="323" customFormat="1" customHeight="1" spans="1:75">
      <c r="A270" s="323">
        <v>180</v>
      </c>
      <c r="B270" s="323"/>
      <c r="C270" s="323" t="s">
        <v>177</v>
      </c>
      <c r="D270" s="323">
        <v>20240007463</v>
      </c>
      <c r="E270" s="323" t="s">
        <v>178</v>
      </c>
      <c r="F270" s="338" t="s">
        <v>179</v>
      </c>
      <c r="G270" s="323" t="s">
        <v>180</v>
      </c>
      <c r="H270" s="323"/>
      <c r="I270" s="361" t="s">
        <v>2744</v>
      </c>
      <c r="J270" s="323">
        <v>107.77</v>
      </c>
      <c r="K270" s="323">
        <v>107.77</v>
      </c>
      <c r="L270" s="323">
        <f>M270/K270</f>
        <v>5400</v>
      </c>
      <c r="M270" s="326">
        <v>581958</v>
      </c>
      <c r="N270" s="323">
        <v>5934.81</v>
      </c>
      <c r="O270" s="368">
        <v>533906.42</v>
      </c>
      <c r="P270" s="363" t="s">
        <v>2745</v>
      </c>
      <c r="Q270" s="329" t="s">
        <v>177</v>
      </c>
      <c r="R270" s="327">
        <v>181958</v>
      </c>
      <c r="S270" s="330" t="s">
        <v>177</v>
      </c>
      <c r="T270" s="330"/>
      <c r="U270" s="330"/>
      <c r="V270" s="327">
        <v>181958</v>
      </c>
      <c r="W270" s="330" t="s">
        <v>177</v>
      </c>
      <c r="X270" s="327"/>
      <c r="Y270" s="389"/>
      <c r="Z270" s="327"/>
      <c r="AB270" s="327"/>
      <c r="AH270" s="327">
        <f t="shared" si="34"/>
        <v>181958</v>
      </c>
      <c r="AK270" s="328">
        <f t="shared" si="31"/>
        <v>400000</v>
      </c>
      <c r="AL270" s="338"/>
      <c r="AM270" s="338"/>
      <c r="AN270" s="323"/>
      <c r="AO270" s="323"/>
      <c r="AP270" s="323"/>
      <c r="AQ270" s="332"/>
      <c r="AR270" s="398">
        <f t="shared" si="35"/>
        <v>0</v>
      </c>
      <c r="AS270" s="327"/>
      <c r="AT270" s="327"/>
      <c r="AU270" s="327"/>
      <c r="AV270" s="327"/>
      <c r="AW270" s="327"/>
      <c r="AX270" s="327"/>
      <c r="AY270" s="184"/>
      <c r="BA270" s="327"/>
      <c r="BB270" s="327"/>
      <c r="BC270" s="327"/>
      <c r="BD270" s="327"/>
      <c r="BE270" s="327"/>
      <c r="BW270" s="323" t="s">
        <v>496</v>
      </c>
    </row>
    <row r="271" s="59" customFormat="1" customHeight="1" spans="1:57">
      <c r="A271" s="436">
        <v>181</v>
      </c>
      <c r="B271" s="172"/>
      <c r="C271" s="172"/>
      <c r="D271" s="172"/>
      <c r="E271" s="172" t="s">
        <v>2746</v>
      </c>
      <c r="F271" s="415"/>
      <c r="G271" s="481"/>
      <c r="H271" s="172"/>
      <c r="I271" s="439" t="s">
        <v>2747</v>
      </c>
      <c r="J271" s="172">
        <v>108.14</v>
      </c>
      <c r="K271" s="172"/>
      <c r="L271" s="172"/>
      <c r="M271" s="357"/>
      <c r="N271" s="172">
        <v>5966.65</v>
      </c>
      <c r="O271" s="419"/>
      <c r="P271" s="444"/>
      <c r="Q271" s="452"/>
      <c r="R271" s="358"/>
      <c r="S271" s="377"/>
      <c r="T271" s="377"/>
      <c r="U271" s="377"/>
      <c r="V271" s="457"/>
      <c r="W271" s="475"/>
      <c r="X271" s="457"/>
      <c r="Y271" s="474"/>
      <c r="Z271" s="457"/>
      <c r="AB271" s="457"/>
      <c r="AH271" s="327">
        <f t="shared" si="34"/>
        <v>0</v>
      </c>
      <c r="AI271" s="172"/>
      <c r="AJ271" s="172"/>
      <c r="AK271" s="359">
        <f t="shared" si="31"/>
        <v>0</v>
      </c>
      <c r="AL271" s="415"/>
      <c r="AM271" s="489"/>
      <c r="AN271" s="172"/>
      <c r="AO271" s="172"/>
      <c r="AP271" s="172"/>
      <c r="AQ271" s="456"/>
      <c r="AR271" s="397">
        <f t="shared" si="35"/>
        <v>0</v>
      </c>
      <c r="AS271" s="457"/>
      <c r="AT271" s="457">
        <v>100</v>
      </c>
      <c r="AU271" s="457"/>
      <c r="AV271" s="457"/>
      <c r="AW271" s="457"/>
      <c r="AX271" s="457"/>
      <c r="AY271" s="480"/>
      <c r="BA271" s="457"/>
      <c r="BB271" s="457"/>
      <c r="BC271" s="457"/>
      <c r="BD271" s="457"/>
      <c r="BE271" s="457"/>
    </row>
    <row r="272" s="323" customFormat="1" customHeight="1" spans="1:76">
      <c r="A272" s="323">
        <v>182</v>
      </c>
      <c r="C272" s="323" t="s">
        <v>1276</v>
      </c>
      <c r="D272" s="323">
        <v>20230001167</v>
      </c>
      <c r="F272" s="338" t="s">
        <v>2748</v>
      </c>
      <c r="G272" s="337" t="s">
        <v>2749</v>
      </c>
      <c r="H272" s="839" t="s">
        <v>2750</v>
      </c>
      <c r="I272" s="361" t="s">
        <v>2751</v>
      </c>
      <c r="J272" s="323">
        <v>107.77</v>
      </c>
      <c r="K272" s="323">
        <v>107.77</v>
      </c>
      <c r="L272" s="323">
        <v>5133.88</v>
      </c>
      <c r="M272" s="326">
        <v>553278</v>
      </c>
      <c r="N272" s="327"/>
      <c r="O272" s="328">
        <v>507594.5</v>
      </c>
      <c r="P272" s="363" t="s">
        <v>2752</v>
      </c>
      <c r="Q272" s="445">
        <v>45564</v>
      </c>
      <c r="R272" s="327"/>
      <c r="S272" s="330"/>
      <c r="T272" s="381" t="s">
        <v>2753</v>
      </c>
      <c r="U272" s="378" t="s">
        <v>2754</v>
      </c>
      <c r="V272" s="327">
        <f>2000</f>
        <v>2000</v>
      </c>
      <c r="W272" s="379" t="s">
        <v>2755</v>
      </c>
      <c r="X272" s="327">
        <v>18000</v>
      </c>
      <c r="Y272" s="389" t="s">
        <v>1297</v>
      </c>
      <c r="Z272" s="327">
        <v>182457</v>
      </c>
      <c r="AA272" s="323" t="s">
        <v>1276</v>
      </c>
      <c r="AB272" s="327">
        <v>100000</v>
      </c>
      <c r="AC272" s="323" t="s">
        <v>2235</v>
      </c>
      <c r="AD272" s="323">
        <f>350000-100000</f>
        <v>250000</v>
      </c>
      <c r="AE272" s="323" t="s">
        <v>1368</v>
      </c>
      <c r="AH272" s="327">
        <f t="shared" si="34"/>
        <v>552457</v>
      </c>
      <c r="AK272" s="328">
        <f t="shared" si="31"/>
        <v>821</v>
      </c>
      <c r="AL272" s="338" t="s">
        <v>2756</v>
      </c>
      <c r="AM272" s="338"/>
      <c r="AN272" s="323"/>
      <c r="AQ272" s="332">
        <f>0.6%+0.1%</f>
        <v>0.007</v>
      </c>
      <c r="AR272" s="398">
        <f t="shared" si="35"/>
        <v>552457</v>
      </c>
      <c r="AS272" s="327"/>
      <c r="AT272" s="327">
        <v>100</v>
      </c>
      <c r="AU272" s="327"/>
      <c r="AV272" s="327">
        <v>202457</v>
      </c>
      <c r="AW272" s="327"/>
      <c r="AX272" s="327"/>
      <c r="AY272" s="184">
        <v>350000</v>
      </c>
      <c r="BA272" s="327"/>
      <c r="BB272" s="327"/>
      <c r="BC272" s="327"/>
      <c r="BD272" s="327"/>
      <c r="BE272" s="327"/>
      <c r="BW272" s="323" t="s">
        <v>496</v>
      </c>
      <c r="BX272" s="323" t="s">
        <v>506</v>
      </c>
    </row>
    <row r="273" s="59" customFormat="1" customHeight="1" spans="1:57">
      <c r="A273" s="436">
        <v>183</v>
      </c>
      <c r="B273" s="172"/>
      <c r="C273" s="172"/>
      <c r="D273" s="172"/>
      <c r="E273" s="172" t="s">
        <v>2757</v>
      </c>
      <c r="F273" s="415"/>
      <c r="G273" s="172"/>
      <c r="H273" s="172"/>
      <c r="I273" s="439" t="s">
        <v>2758</v>
      </c>
      <c r="J273" s="172">
        <v>108.14</v>
      </c>
      <c r="K273" s="172"/>
      <c r="L273" s="172"/>
      <c r="M273" s="357"/>
      <c r="N273" s="358">
        <v>5589.66</v>
      </c>
      <c r="O273" s="419"/>
      <c r="P273" s="444"/>
      <c r="Q273" s="452"/>
      <c r="R273" s="358"/>
      <c r="S273" s="377"/>
      <c r="T273" s="377"/>
      <c r="U273" s="377"/>
      <c r="V273" s="457"/>
      <c r="W273" s="475"/>
      <c r="X273" s="457"/>
      <c r="Y273" s="474"/>
      <c r="Z273" s="457"/>
      <c r="AB273" s="457"/>
      <c r="AH273" s="327">
        <f t="shared" si="34"/>
        <v>0</v>
      </c>
      <c r="AI273" s="172"/>
      <c r="AJ273" s="172"/>
      <c r="AK273" s="359">
        <f t="shared" si="31"/>
        <v>0</v>
      </c>
      <c r="AL273" s="415"/>
      <c r="AM273" s="489"/>
      <c r="AN273" s="172"/>
      <c r="AO273" s="172"/>
      <c r="AP273" s="172"/>
      <c r="AQ273" s="456"/>
      <c r="AR273" s="397">
        <f t="shared" si="35"/>
        <v>0</v>
      </c>
      <c r="AS273" s="457"/>
      <c r="AT273" s="457"/>
      <c r="AU273" s="457"/>
      <c r="AV273" s="457"/>
      <c r="AW273" s="457"/>
      <c r="AX273" s="457"/>
      <c r="AY273" s="480"/>
      <c r="BA273" s="457"/>
      <c r="BB273" s="457"/>
      <c r="BC273" s="457"/>
      <c r="BD273" s="457"/>
      <c r="BE273" s="457"/>
    </row>
    <row r="274" s="323" customFormat="1" customHeight="1" spans="1:76">
      <c r="A274" s="323">
        <v>184</v>
      </c>
      <c r="C274" s="380">
        <v>45278</v>
      </c>
      <c r="D274" s="323">
        <v>20230010456</v>
      </c>
      <c r="F274" s="338" t="s">
        <v>2759</v>
      </c>
      <c r="G274" s="323" t="s">
        <v>2760</v>
      </c>
      <c r="I274" s="361" t="s">
        <v>2761</v>
      </c>
      <c r="J274" s="323">
        <v>107.77</v>
      </c>
      <c r="K274" s="323">
        <v>107.77</v>
      </c>
      <c r="L274" s="323">
        <v>5603.568</v>
      </c>
      <c r="M274" s="326">
        <v>603897</v>
      </c>
      <c r="N274" s="327">
        <v>5611.7</v>
      </c>
      <c r="O274" s="328">
        <v>554033.94</v>
      </c>
      <c r="P274" s="363" t="s">
        <v>2762</v>
      </c>
      <c r="Q274" s="445">
        <v>45564</v>
      </c>
      <c r="R274" s="327"/>
      <c r="S274" s="330"/>
      <c r="U274" s="330" t="s">
        <v>842</v>
      </c>
      <c r="V274" s="327">
        <v>20000</v>
      </c>
      <c r="W274" s="330" t="s">
        <v>2763</v>
      </c>
      <c r="X274" s="327">
        <v>183000</v>
      </c>
      <c r="Y274" s="389" t="s">
        <v>2764</v>
      </c>
      <c r="Z274" s="327">
        <v>400000</v>
      </c>
      <c r="AA274" s="330" t="s">
        <v>2765</v>
      </c>
      <c r="AB274" s="327"/>
      <c r="AH274" s="327">
        <f t="shared" si="34"/>
        <v>603000</v>
      </c>
      <c r="AK274" s="328">
        <f t="shared" si="31"/>
        <v>897</v>
      </c>
      <c r="AL274" s="338" t="s">
        <v>2766</v>
      </c>
      <c r="AM274" s="338"/>
      <c r="AQ274" s="332">
        <f>0.4%+0.03%+0.08%</f>
        <v>0.0051</v>
      </c>
      <c r="AR274" s="398">
        <f t="shared" si="35"/>
        <v>603000</v>
      </c>
      <c r="AS274" s="327"/>
      <c r="AT274" s="327"/>
      <c r="AU274" s="327"/>
      <c r="AV274" s="327"/>
      <c r="AW274" s="327"/>
      <c r="AX274" s="327"/>
      <c r="AY274" s="184"/>
      <c r="BA274" s="327"/>
      <c r="BB274" s="327"/>
      <c r="BC274" s="327"/>
      <c r="BD274" s="327"/>
      <c r="BE274" s="327"/>
      <c r="BF274" s="323">
        <v>203000</v>
      </c>
      <c r="BH274" s="323">
        <v>400000</v>
      </c>
      <c r="BW274" s="323" t="s">
        <v>496</v>
      </c>
      <c r="BX274" s="323" t="s">
        <v>506</v>
      </c>
    </row>
    <row r="275" s="323" customFormat="1" customHeight="1" spans="1:76">
      <c r="A275" s="323">
        <v>185</v>
      </c>
      <c r="C275" s="323" t="s">
        <v>1316</v>
      </c>
      <c r="D275" s="323">
        <v>20230000833</v>
      </c>
      <c r="F275" s="338" t="s">
        <v>2767</v>
      </c>
      <c r="G275" s="323" t="s">
        <v>2711</v>
      </c>
      <c r="H275" s="833" t="s">
        <v>2768</v>
      </c>
      <c r="I275" s="364" t="s">
        <v>2769</v>
      </c>
      <c r="J275" s="323">
        <v>108.14</v>
      </c>
      <c r="K275" s="323">
        <v>108.14</v>
      </c>
      <c r="L275" s="323">
        <v>5202.38</v>
      </c>
      <c r="M275" s="326">
        <v>562585</v>
      </c>
      <c r="N275" s="327"/>
      <c r="O275" s="328">
        <v>516133.03</v>
      </c>
      <c r="P275" s="363" t="s">
        <v>2770</v>
      </c>
      <c r="Q275" s="445">
        <v>45564</v>
      </c>
      <c r="R275" s="327"/>
      <c r="S275" s="330"/>
      <c r="T275" s="381" t="s">
        <v>2771</v>
      </c>
      <c r="U275" s="378" t="s">
        <v>2772</v>
      </c>
      <c r="V275" s="327">
        <f>1000-1000</f>
        <v>0</v>
      </c>
      <c r="W275" s="379"/>
      <c r="X275" s="327">
        <v>242753</v>
      </c>
      <c r="Y275" s="323" t="s">
        <v>1316</v>
      </c>
      <c r="Z275" s="327">
        <v>20000</v>
      </c>
      <c r="AA275" s="323" t="s">
        <v>2235</v>
      </c>
      <c r="AB275" s="327">
        <v>299000</v>
      </c>
      <c r="AC275" s="330" t="s">
        <v>866</v>
      </c>
      <c r="AH275" s="327">
        <f t="shared" si="34"/>
        <v>561753</v>
      </c>
      <c r="AK275" s="328">
        <f t="shared" si="31"/>
        <v>832</v>
      </c>
      <c r="AL275" s="338" t="s">
        <v>2773</v>
      </c>
      <c r="AM275" s="338"/>
      <c r="AN275" s="323"/>
      <c r="AQ275" s="332">
        <f>0.6%+0.04%+0.1%</f>
        <v>0.0074</v>
      </c>
      <c r="AR275" s="398">
        <f t="shared" si="35"/>
        <v>561753</v>
      </c>
      <c r="AS275" s="327"/>
      <c r="AT275" s="327">
        <v>100</v>
      </c>
      <c r="AU275" s="327"/>
      <c r="AV275" s="327"/>
      <c r="AW275" s="327"/>
      <c r="AX275" s="327">
        <v>262753</v>
      </c>
      <c r="AY275" s="184"/>
      <c r="BA275" s="327">
        <v>299000</v>
      </c>
      <c r="BB275" s="327"/>
      <c r="BC275" s="327"/>
      <c r="BD275" s="327"/>
      <c r="BE275" s="327"/>
      <c r="BW275" s="323" t="s">
        <v>496</v>
      </c>
      <c r="BX275" s="323" t="s">
        <v>506</v>
      </c>
    </row>
    <row r="276" s="323" customFormat="1" customHeight="1" spans="1:76">
      <c r="A276" s="323">
        <v>186</v>
      </c>
      <c r="C276" s="323" t="s">
        <v>2089</v>
      </c>
      <c r="D276" s="323">
        <v>20230003652</v>
      </c>
      <c r="F276" s="338" t="s">
        <v>2774</v>
      </c>
      <c r="G276" s="337" t="s">
        <v>2775</v>
      </c>
      <c r="H276" s="833" t="s">
        <v>2776</v>
      </c>
      <c r="I276" s="361" t="s">
        <v>2777</v>
      </c>
      <c r="J276" s="323">
        <v>107.77</v>
      </c>
      <c r="K276" s="323">
        <v>107.77</v>
      </c>
      <c r="L276" s="323">
        <v>5440</v>
      </c>
      <c r="M276" s="326">
        <v>586269</v>
      </c>
      <c r="N276" s="327">
        <v>5363.37</v>
      </c>
      <c r="O276" s="328">
        <v>537861.47</v>
      </c>
      <c r="P276" s="363" t="s">
        <v>2778</v>
      </c>
      <c r="Q276" s="445">
        <v>45564</v>
      </c>
      <c r="R276" s="327"/>
      <c r="S276" s="330"/>
      <c r="T276" s="323" t="s">
        <v>2775</v>
      </c>
      <c r="U276" s="330" t="s">
        <v>2370</v>
      </c>
      <c r="V276" s="327">
        <f>20000-20000</f>
        <v>0</v>
      </c>
      <c r="W276" s="380" t="s">
        <v>1308</v>
      </c>
      <c r="X276" s="327">
        <v>10000</v>
      </c>
      <c r="Y276" s="380" t="s">
        <v>1476</v>
      </c>
      <c r="Z276" s="327">
        <v>175398</v>
      </c>
      <c r="AA276" s="323" t="s">
        <v>2089</v>
      </c>
      <c r="AB276" s="327">
        <v>400000</v>
      </c>
      <c r="AC276" s="323" t="s">
        <v>1299</v>
      </c>
      <c r="AH276" s="327">
        <f t="shared" si="34"/>
        <v>585398</v>
      </c>
      <c r="AK276" s="328">
        <f t="shared" si="31"/>
        <v>871</v>
      </c>
      <c r="AL276" s="338" t="s">
        <v>2779</v>
      </c>
      <c r="AM276" s="338"/>
      <c r="AQ276" s="332">
        <f>0.6%+0.06%+0.14%</f>
        <v>0.008</v>
      </c>
      <c r="AR276" s="398">
        <f t="shared" si="35"/>
        <v>585398</v>
      </c>
      <c r="AS276" s="327"/>
      <c r="AT276" s="327"/>
      <c r="AU276" s="327"/>
      <c r="AV276" s="327"/>
      <c r="AW276" s="327"/>
      <c r="AX276" s="327">
        <v>185398</v>
      </c>
      <c r="AY276" s="184">
        <v>400000</v>
      </c>
      <c r="BA276" s="327"/>
      <c r="BB276" s="327"/>
      <c r="BC276" s="327"/>
      <c r="BD276" s="327"/>
      <c r="BE276" s="327"/>
      <c r="BW276" s="323" t="s">
        <v>496</v>
      </c>
      <c r="BX276" s="323" t="s">
        <v>506</v>
      </c>
    </row>
    <row r="277" s="323" customFormat="1" customHeight="1" spans="1:76">
      <c r="A277" s="323">
        <v>187</v>
      </c>
      <c r="C277" s="323" t="s">
        <v>1382</v>
      </c>
      <c r="D277" s="323">
        <v>20230001094</v>
      </c>
      <c r="F277" s="338" t="s">
        <v>2780</v>
      </c>
      <c r="G277" s="323" t="s">
        <v>2781</v>
      </c>
      <c r="H277" s="833" t="s">
        <v>2782</v>
      </c>
      <c r="I277" s="364" t="s">
        <v>2783</v>
      </c>
      <c r="J277" s="323">
        <v>108.14</v>
      </c>
      <c r="K277" s="323">
        <v>108.14</v>
      </c>
      <c r="L277" s="323">
        <v>5388</v>
      </c>
      <c r="M277" s="326">
        <v>582658</v>
      </c>
      <c r="N277" s="327"/>
      <c r="O277" s="328">
        <v>534548.62</v>
      </c>
      <c r="P277" s="363" t="s">
        <v>2784</v>
      </c>
      <c r="Q277" s="445">
        <v>45564</v>
      </c>
      <c r="R277" s="327"/>
      <c r="S277" s="330"/>
      <c r="T277" s="323" t="s">
        <v>2781</v>
      </c>
      <c r="U277" s="323" t="s">
        <v>2781</v>
      </c>
      <c r="V277" s="327">
        <v>71796</v>
      </c>
      <c r="W277" s="380" t="s">
        <v>1382</v>
      </c>
      <c r="X277" s="327">
        <v>50000</v>
      </c>
      <c r="Y277" s="389" t="s">
        <v>2785</v>
      </c>
      <c r="Z277" s="327">
        <v>460000</v>
      </c>
      <c r="AA277" s="323" t="s">
        <v>2027</v>
      </c>
      <c r="AB277" s="327"/>
      <c r="AH277" s="327">
        <f t="shared" si="34"/>
        <v>581796</v>
      </c>
      <c r="AK277" s="328">
        <f t="shared" si="31"/>
        <v>862</v>
      </c>
      <c r="AL277" s="338" t="s">
        <v>2786</v>
      </c>
      <c r="AM277" s="338"/>
      <c r="AQ277" s="332">
        <f>0.5%+0.05%+0.14%</f>
        <v>0.0069</v>
      </c>
      <c r="AR277" s="398">
        <f t="shared" si="35"/>
        <v>581796</v>
      </c>
      <c r="AS277" s="327"/>
      <c r="AT277" s="327"/>
      <c r="AU277" s="327"/>
      <c r="AV277" s="327"/>
      <c r="AW277" s="327"/>
      <c r="AX277" s="327">
        <v>121796</v>
      </c>
      <c r="AY277" s="184">
        <v>460000</v>
      </c>
      <c r="BA277" s="327"/>
      <c r="BB277" s="327"/>
      <c r="BC277" s="327"/>
      <c r="BD277" s="327"/>
      <c r="BE277" s="327"/>
      <c r="BW277" s="323" t="s">
        <v>496</v>
      </c>
      <c r="BX277" s="323" t="s">
        <v>506</v>
      </c>
    </row>
    <row r="278" s="323" customFormat="1" customHeight="1" spans="1:76">
      <c r="A278" s="323">
        <v>188</v>
      </c>
      <c r="C278" s="323" t="s">
        <v>1245</v>
      </c>
      <c r="D278" s="323">
        <v>20230001270</v>
      </c>
      <c r="F278" s="338" t="s">
        <v>2787</v>
      </c>
      <c r="G278" s="323" t="s">
        <v>2788</v>
      </c>
      <c r="H278" s="833" t="s">
        <v>2789</v>
      </c>
      <c r="I278" s="361" t="s">
        <v>2790</v>
      </c>
      <c r="J278" s="323">
        <v>107.77</v>
      </c>
      <c r="K278" s="323">
        <v>107.77</v>
      </c>
      <c r="L278" s="323">
        <v>5258.88</v>
      </c>
      <c r="M278" s="326">
        <v>566749</v>
      </c>
      <c r="N278" s="327"/>
      <c r="O278" s="328">
        <v>519953.21</v>
      </c>
      <c r="P278" s="363" t="s">
        <v>2791</v>
      </c>
      <c r="Q278" s="445">
        <v>45564</v>
      </c>
      <c r="R278" s="327"/>
      <c r="S278" s="330"/>
      <c r="T278" s="331" t="s">
        <v>2792</v>
      </c>
      <c r="U278" s="330" t="s">
        <v>2793</v>
      </c>
      <c r="V278" s="327">
        <v>20000</v>
      </c>
      <c r="W278" s="380" t="s">
        <v>1493</v>
      </c>
      <c r="X278" s="327">
        <v>246908</v>
      </c>
      <c r="Y278" s="389" t="s">
        <v>2794</v>
      </c>
      <c r="Z278" s="327">
        <v>299000</v>
      </c>
      <c r="AA278" s="330" t="s">
        <v>638</v>
      </c>
      <c r="AB278" s="327"/>
      <c r="AH278" s="327">
        <f t="shared" si="34"/>
        <v>565908</v>
      </c>
      <c r="AK278" s="328">
        <f t="shared" si="31"/>
        <v>841</v>
      </c>
      <c r="AL278" s="338" t="s">
        <v>2795</v>
      </c>
      <c r="AM278" s="338"/>
      <c r="AN278" s="323"/>
      <c r="AQ278" s="332">
        <f>0.4%+0.04%+0.1%+0.04%</f>
        <v>0.0058</v>
      </c>
      <c r="AR278" s="398">
        <f t="shared" si="35"/>
        <v>565908</v>
      </c>
      <c r="AS278" s="327"/>
      <c r="AT278" s="327"/>
      <c r="AU278" s="327"/>
      <c r="AV278" s="327">
        <v>266908</v>
      </c>
      <c r="AW278" s="327"/>
      <c r="AX278" s="327"/>
      <c r="AY278" s="184"/>
      <c r="BA278" s="327"/>
      <c r="BB278" s="327">
        <v>299000</v>
      </c>
      <c r="BC278" s="327"/>
      <c r="BD278" s="327"/>
      <c r="BE278" s="327"/>
      <c r="BW278" s="323" t="s">
        <v>496</v>
      </c>
      <c r="BX278" s="323" t="s">
        <v>506</v>
      </c>
    </row>
    <row r="279" s="323" customFormat="1" customHeight="1" spans="1:76">
      <c r="A279" s="323">
        <v>189</v>
      </c>
      <c r="C279" s="323" t="s">
        <v>2796</v>
      </c>
      <c r="D279" s="323">
        <v>20230000205</v>
      </c>
      <c r="F279" s="338" t="s">
        <v>2797</v>
      </c>
      <c r="G279" s="323" t="s">
        <v>2709</v>
      </c>
      <c r="I279" s="361" t="s">
        <v>2798</v>
      </c>
      <c r="J279" s="323">
        <v>108.14</v>
      </c>
      <c r="K279" s="323">
        <v>108.14</v>
      </c>
      <c r="L279" s="323">
        <v>5292.38</v>
      </c>
      <c r="M279" s="326">
        <v>572318</v>
      </c>
      <c r="N279" s="327"/>
      <c r="O279" s="328">
        <v>525062.39</v>
      </c>
      <c r="P279" s="363" t="s">
        <v>2799</v>
      </c>
      <c r="Q279" s="445">
        <v>45564</v>
      </c>
      <c r="R279" s="327"/>
      <c r="S279" s="330"/>
      <c r="T279" s="331" t="s">
        <v>2800</v>
      </c>
      <c r="U279" s="330" t="s">
        <v>2801</v>
      </c>
      <c r="V279" s="327">
        <v>2000</v>
      </c>
      <c r="W279" s="380">
        <v>44760</v>
      </c>
      <c r="X279" s="327">
        <v>18000</v>
      </c>
      <c r="Y279" s="389" t="s">
        <v>1297</v>
      </c>
      <c r="Z279" s="327">
        <v>151471</v>
      </c>
      <c r="AA279" s="323" t="s">
        <v>2796</v>
      </c>
      <c r="AB279" s="327">
        <v>400000</v>
      </c>
      <c r="AC279" s="323" t="s">
        <v>1333</v>
      </c>
      <c r="AH279" s="327">
        <f t="shared" si="34"/>
        <v>571471</v>
      </c>
      <c r="AK279" s="328">
        <f t="shared" si="31"/>
        <v>847</v>
      </c>
      <c r="AL279" s="338" t="s">
        <v>2802</v>
      </c>
      <c r="AM279" s="338"/>
      <c r="AN279" s="323"/>
      <c r="AQ279" s="332">
        <f>0.4%+0.04%+0.1%</f>
        <v>0.0054</v>
      </c>
      <c r="AR279" s="398">
        <f t="shared" si="35"/>
        <v>571471</v>
      </c>
      <c r="AS279" s="327"/>
      <c r="AT279" s="327"/>
      <c r="AU279" s="327">
        <v>171471</v>
      </c>
      <c r="AV279" s="327"/>
      <c r="AW279" s="327">
        <v>400000</v>
      </c>
      <c r="AX279" s="327"/>
      <c r="AY279" s="184"/>
      <c r="BA279" s="327"/>
      <c r="BB279" s="327"/>
      <c r="BC279" s="327"/>
      <c r="BD279" s="327"/>
      <c r="BE279" s="327"/>
      <c r="BW279" s="323" t="s">
        <v>496</v>
      </c>
      <c r="BX279" s="323" t="s">
        <v>506</v>
      </c>
    </row>
    <row r="280" s="323" customFormat="1" customHeight="1" spans="1:76">
      <c r="A280" s="323">
        <v>190</v>
      </c>
      <c r="C280" s="323" t="s">
        <v>1368</v>
      </c>
      <c r="D280" s="323">
        <v>20230004214</v>
      </c>
      <c r="F280" s="338" t="s">
        <v>2803</v>
      </c>
      <c r="G280" s="323" t="s">
        <v>2804</v>
      </c>
      <c r="H280" s="833" t="s">
        <v>2805</v>
      </c>
      <c r="I280" s="361" t="s">
        <v>2806</v>
      </c>
      <c r="J280" s="323">
        <v>107.77</v>
      </c>
      <c r="K280" s="323">
        <v>107.77</v>
      </c>
      <c r="L280" s="323">
        <v>5600</v>
      </c>
      <c r="M280" s="326">
        <v>603512</v>
      </c>
      <c r="N280" s="327">
        <v>5537.2</v>
      </c>
      <c r="O280" s="328">
        <v>553680.73</v>
      </c>
      <c r="P280" s="363" t="s">
        <v>2807</v>
      </c>
      <c r="Q280" s="445">
        <v>45564</v>
      </c>
      <c r="R280" s="327"/>
      <c r="S280" s="330"/>
      <c r="T280" s="330" t="s">
        <v>2804</v>
      </c>
      <c r="U280" s="330" t="s">
        <v>2808</v>
      </c>
      <c r="V280" s="327">
        <v>20000</v>
      </c>
      <c r="W280" s="380" t="s">
        <v>2809</v>
      </c>
      <c r="X280" s="327">
        <v>162616</v>
      </c>
      <c r="Y280" s="389" t="s">
        <v>1368</v>
      </c>
      <c r="Z280" s="327">
        <v>420000</v>
      </c>
      <c r="AA280" s="323" t="s">
        <v>1692</v>
      </c>
      <c r="AB280" s="327"/>
      <c r="AH280" s="327">
        <f t="shared" si="34"/>
        <v>602616</v>
      </c>
      <c r="AK280" s="328">
        <f t="shared" si="31"/>
        <v>896</v>
      </c>
      <c r="AL280" s="338" t="s">
        <v>2810</v>
      </c>
      <c r="AM280" s="338"/>
      <c r="AQ280" s="332">
        <f t="shared" ref="AQ280:AQ282" si="36">0.6%+0.06%+0.14%</f>
        <v>0.008</v>
      </c>
      <c r="AR280" s="398">
        <f t="shared" si="35"/>
        <v>602616</v>
      </c>
      <c r="AS280" s="327">
        <f>100</f>
        <v>100</v>
      </c>
      <c r="AT280" s="327"/>
      <c r="AU280" s="327"/>
      <c r="AV280" s="327"/>
      <c r="AW280" s="327"/>
      <c r="AX280" s="327"/>
      <c r="AY280" s="184">
        <v>182616</v>
      </c>
      <c r="AZ280" s="135">
        <v>420000</v>
      </c>
      <c r="BA280" s="327"/>
      <c r="BB280" s="327"/>
      <c r="BC280" s="327"/>
      <c r="BD280" s="327"/>
      <c r="BE280" s="327"/>
      <c r="BW280" s="323" t="s">
        <v>496</v>
      </c>
      <c r="BX280" s="323" t="s">
        <v>506</v>
      </c>
    </row>
    <row r="281" s="323" customFormat="1" customHeight="1" spans="1:76">
      <c r="A281" s="323">
        <v>191</v>
      </c>
      <c r="C281" s="323" t="s">
        <v>2003</v>
      </c>
      <c r="D281" s="323">
        <v>20230003251</v>
      </c>
      <c r="F281" s="338" t="s">
        <v>2811</v>
      </c>
      <c r="G281" s="323" t="s">
        <v>2812</v>
      </c>
      <c r="H281" s="833" t="s">
        <v>2813</v>
      </c>
      <c r="I281" s="364" t="s">
        <v>2814</v>
      </c>
      <c r="J281" s="323">
        <v>108.14</v>
      </c>
      <c r="K281" s="323">
        <v>108.14</v>
      </c>
      <c r="L281" s="323">
        <v>5600</v>
      </c>
      <c r="M281" s="326">
        <v>605584</v>
      </c>
      <c r="N281" s="327">
        <v>5551.1</v>
      </c>
      <c r="O281" s="328">
        <v>555581.65</v>
      </c>
      <c r="P281" s="363" t="s">
        <v>2815</v>
      </c>
      <c r="Q281" s="445">
        <v>45564</v>
      </c>
      <c r="R281" s="327"/>
      <c r="S281" s="330"/>
      <c r="T281" s="323" t="s">
        <v>2812</v>
      </c>
      <c r="U281" s="330" t="s">
        <v>502</v>
      </c>
      <c r="V281" s="327">
        <v>20000</v>
      </c>
      <c r="W281" s="380" t="s">
        <v>1476</v>
      </c>
      <c r="X281" s="327">
        <v>101688</v>
      </c>
      <c r="Y281" s="389" t="s">
        <v>2003</v>
      </c>
      <c r="Z281" s="327">
        <v>483000</v>
      </c>
      <c r="AA281" s="323" t="s">
        <v>1428</v>
      </c>
      <c r="AB281" s="327"/>
      <c r="AH281" s="327">
        <f t="shared" si="34"/>
        <v>604688</v>
      </c>
      <c r="AK281" s="328">
        <f t="shared" ref="AK281:AK332" si="37">M281-AH281</f>
        <v>896</v>
      </c>
      <c r="AL281" s="338" t="s">
        <v>2816</v>
      </c>
      <c r="AM281" s="338"/>
      <c r="AQ281" s="332">
        <f>0.6%+0.14%</f>
        <v>0.0074</v>
      </c>
      <c r="AR281" s="398">
        <f t="shared" si="35"/>
        <v>604688</v>
      </c>
      <c r="AS281" s="327"/>
      <c r="AT281" s="327"/>
      <c r="AU281" s="327"/>
      <c r="AV281" s="327"/>
      <c r="AW281" s="327"/>
      <c r="AX281" s="327">
        <v>604688</v>
      </c>
      <c r="AY281" s="184"/>
      <c r="BA281" s="327"/>
      <c r="BB281" s="327"/>
      <c r="BC281" s="327"/>
      <c r="BD281" s="327"/>
      <c r="BE281" s="327"/>
      <c r="BW281" s="323" t="s">
        <v>496</v>
      </c>
      <c r="BX281" s="323" t="s">
        <v>506</v>
      </c>
    </row>
    <row r="282" s="323" customFormat="1" customHeight="1" spans="1:76">
      <c r="A282" s="323">
        <v>192</v>
      </c>
      <c r="C282" s="323" t="s">
        <v>1033</v>
      </c>
      <c r="D282" s="323">
        <v>20230006106</v>
      </c>
      <c r="F282" s="836" t="s">
        <v>2817</v>
      </c>
      <c r="G282" s="323" t="s">
        <v>2818</v>
      </c>
      <c r="I282" s="361" t="s">
        <v>2819</v>
      </c>
      <c r="J282" s="323">
        <v>107.77</v>
      </c>
      <c r="K282" s="323">
        <v>107.77</v>
      </c>
      <c r="L282" s="323">
        <v>5643.04</v>
      </c>
      <c r="M282" s="326">
        <v>608150</v>
      </c>
      <c r="N282" s="327">
        <v>5563.04</v>
      </c>
      <c r="O282" s="328"/>
      <c r="P282" s="363"/>
      <c r="Q282" s="445">
        <v>45564</v>
      </c>
      <c r="R282" s="327"/>
      <c r="S282" s="330"/>
      <c r="T282" s="330"/>
      <c r="U282" s="330"/>
      <c r="V282" s="327">
        <v>10000</v>
      </c>
      <c r="W282" s="380" t="s">
        <v>2820</v>
      </c>
      <c r="X282" s="327">
        <f>248+112000</f>
        <v>112248</v>
      </c>
      <c r="Y282" s="330" t="s">
        <v>1033</v>
      </c>
      <c r="Z282" s="327">
        <v>485000</v>
      </c>
      <c r="AA282" s="330" t="s">
        <v>2821</v>
      </c>
      <c r="AB282" s="327"/>
      <c r="AH282" s="327">
        <f t="shared" si="34"/>
        <v>607248</v>
      </c>
      <c r="AK282" s="328">
        <f t="shared" si="37"/>
        <v>902</v>
      </c>
      <c r="AL282" s="338"/>
      <c r="AM282" s="338"/>
      <c r="AQ282" s="332">
        <f t="shared" si="36"/>
        <v>0.008</v>
      </c>
      <c r="AR282" s="398">
        <f t="shared" si="35"/>
        <v>607248</v>
      </c>
      <c r="AS282" s="327"/>
      <c r="AT282" s="327"/>
      <c r="AU282" s="327"/>
      <c r="AV282" s="327"/>
      <c r="AW282" s="327"/>
      <c r="AX282" s="327"/>
      <c r="AY282" s="184"/>
      <c r="BA282" s="327">
        <v>122248</v>
      </c>
      <c r="BB282" s="327"/>
      <c r="BC282" s="327"/>
      <c r="BD282" s="327"/>
      <c r="BE282" s="327"/>
      <c r="BG282" s="323">
        <v>485000</v>
      </c>
      <c r="BW282" s="323" t="s">
        <v>496</v>
      </c>
      <c r="BX282" s="323" t="s">
        <v>506</v>
      </c>
    </row>
    <row r="283" s="323" customFormat="1" customHeight="1" spans="1:76">
      <c r="A283" s="323">
        <v>193</v>
      </c>
      <c r="C283" s="323" t="s">
        <v>2822</v>
      </c>
      <c r="D283" s="323">
        <v>20230005577</v>
      </c>
      <c r="F283" s="338" t="s">
        <v>2823</v>
      </c>
      <c r="G283" s="323" t="s">
        <v>2824</v>
      </c>
      <c r="H283" s="833" t="s">
        <v>2825</v>
      </c>
      <c r="I283" s="364" t="s">
        <v>2826</v>
      </c>
      <c r="J283" s="323">
        <v>108.14</v>
      </c>
      <c r="K283" s="323">
        <v>108.14</v>
      </c>
      <c r="L283" s="323">
        <v>5907.45</v>
      </c>
      <c r="M283" s="326">
        <v>638832</v>
      </c>
      <c r="N283" s="327">
        <v>5897.6</v>
      </c>
      <c r="O283" s="328">
        <v>586084.4</v>
      </c>
      <c r="P283" s="363" t="s">
        <v>2827</v>
      </c>
      <c r="Q283" s="445">
        <v>45564</v>
      </c>
      <c r="R283" s="327"/>
      <c r="S283" s="330"/>
      <c r="T283" s="330"/>
      <c r="U283" s="330"/>
      <c r="V283" s="327">
        <v>40000</v>
      </c>
      <c r="W283" s="330" t="s">
        <v>1122</v>
      </c>
      <c r="X283" s="327">
        <f>157887+440000</f>
        <v>597887</v>
      </c>
      <c r="Y283" s="330" t="s">
        <v>2822</v>
      </c>
      <c r="Z283" s="327"/>
      <c r="AB283" s="327"/>
      <c r="AH283" s="327">
        <f t="shared" si="34"/>
        <v>637887</v>
      </c>
      <c r="AK283" s="328">
        <f t="shared" si="37"/>
        <v>945</v>
      </c>
      <c r="AL283" s="338" t="s">
        <v>2828</v>
      </c>
      <c r="AM283" s="338"/>
      <c r="AQ283" s="332">
        <f>0.4%+0.02%+0.08%</f>
        <v>0.005</v>
      </c>
      <c r="AR283" s="398">
        <f t="shared" si="35"/>
        <v>637887</v>
      </c>
      <c r="AS283" s="327"/>
      <c r="AT283" s="327"/>
      <c r="AU283" s="327"/>
      <c r="AV283" s="327"/>
      <c r="AW283" s="327"/>
      <c r="AX283" s="327"/>
      <c r="AY283" s="184"/>
      <c r="AZ283" s="135"/>
      <c r="BA283" s="327">
        <v>637887</v>
      </c>
      <c r="BB283" s="327"/>
      <c r="BC283" s="327"/>
      <c r="BD283" s="327"/>
      <c r="BE283" s="327"/>
      <c r="BW283" s="323" t="s">
        <v>496</v>
      </c>
      <c r="BX283" s="323" t="s">
        <v>506</v>
      </c>
    </row>
    <row r="284" s="323" customFormat="1" customHeight="1" spans="1:76">
      <c r="A284" s="323">
        <v>194</v>
      </c>
      <c r="C284" s="323" t="s">
        <v>1663</v>
      </c>
      <c r="D284" s="323">
        <v>20230004483</v>
      </c>
      <c r="F284" s="338" t="s">
        <v>2829</v>
      </c>
      <c r="G284" s="323" t="s">
        <v>2701</v>
      </c>
      <c r="H284" s="833" t="s">
        <v>2830</v>
      </c>
      <c r="I284" s="361" t="s">
        <v>2831</v>
      </c>
      <c r="J284" s="323">
        <v>107.77</v>
      </c>
      <c r="K284" s="323">
        <v>107.77</v>
      </c>
      <c r="L284" s="323">
        <v>5659.54</v>
      </c>
      <c r="M284" s="326">
        <v>609929</v>
      </c>
      <c r="N284" s="327">
        <v>5609.54</v>
      </c>
      <c r="O284" s="328">
        <v>559567.89</v>
      </c>
      <c r="P284" s="363" t="s">
        <v>2832</v>
      </c>
      <c r="Q284" s="445">
        <v>45564</v>
      </c>
      <c r="R284" s="327"/>
      <c r="S284" s="330"/>
      <c r="T284" s="330"/>
      <c r="U284" s="330" t="s">
        <v>709</v>
      </c>
      <c r="V284" s="327">
        <v>20000</v>
      </c>
      <c r="W284" s="330" t="s">
        <v>2833</v>
      </c>
      <c r="X284" s="327">
        <v>102023</v>
      </c>
      <c r="Y284" s="389" t="s">
        <v>1579</v>
      </c>
      <c r="Z284" s="327">
        <v>487000</v>
      </c>
      <c r="AA284" s="330" t="s">
        <v>982</v>
      </c>
      <c r="AB284" s="327"/>
      <c r="AH284" s="327">
        <f t="shared" si="34"/>
        <v>609023</v>
      </c>
      <c r="AK284" s="328">
        <f t="shared" si="37"/>
        <v>906</v>
      </c>
      <c r="AL284" s="338" t="s">
        <v>2834</v>
      </c>
      <c r="AM284" s="338"/>
      <c r="AQ284" s="332">
        <f>0.6%+0.14%</f>
        <v>0.0074</v>
      </c>
      <c r="AR284" s="398">
        <f t="shared" si="35"/>
        <v>609023</v>
      </c>
      <c r="AS284" s="327"/>
      <c r="AT284" s="327"/>
      <c r="AU284" s="327"/>
      <c r="AV284" s="327"/>
      <c r="AW284" s="327"/>
      <c r="AX284" s="327"/>
      <c r="AY284" s="184">
        <v>122023</v>
      </c>
      <c r="BA284" s="327">
        <v>487000</v>
      </c>
      <c r="BB284" s="327"/>
      <c r="BC284" s="327"/>
      <c r="BD284" s="327"/>
      <c r="BE284" s="327"/>
      <c r="BW284" s="323" t="s">
        <v>496</v>
      </c>
      <c r="BX284" s="323" t="s">
        <v>506</v>
      </c>
    </row>
    <row r="285" s="323" customFormat="1" ht="66" customHeight="1" spans="1:76">
      <c r="A285" s="323">
        <v>195</v>
      </c>
      <c r="C285" s="323" t="s">
        <v>686</v>
      </c>
      <c r="D285" s="323">
        <v>20230008382</v>
      </c>
      <c r="F285" s="417" t="s">
        <v>2835</v>
      </c>
      <c r="G285" s="337" t="s">
        <v>2836</v>
      </c>
      <c r="H285" s="839" t="s">
        <v>2837</v>
      </c>
      <c r="I285" s="364" t="s">
        <v>2838</v>
      </c>
      <c r="J285" s="323">
        <v>108.14</v>
      </c>
      <c r="K285" s="323">
        <v>108.14</v>
      </c>
      <c r="L285" s="323">
        <v>5918.27</v>
      </c>
      <c r="M285" s="326">
        <v>640003</v>
      </c>
      <c r="N285" s="327">
        <v>5918.27</v>
      </c>
      <c r="O285" s="328">
        <v>587158.72</v>
      </c>
      <c r="P285" s="363" t="s">
        <v>2839</v>
      </c>
      <c r="Q285" s="445">
        <v>45564</v>
      </c>
      <c r="R285" s="327">
        <v>947</v>
      </c>
      <c r="S285" s="330" t="s">
        <v>2840</v>
      </c>
      <c r="T285" s="330"/>
      <c r="U285" s="378" t="s">
        <v>590</v>
      </c>
      <c r="V285" s="327">
        <v>20000</v>
      </c>
      <c r="W285" s="389" t="s">
        <v>646</v>
      </c>
      <c r="X285" s="327">
        <v>29056</v>
      </c>
      <c r="Y285" s="323" t="s">
        <v>686</v>
      </c>
      <c r="Z285" s="327">
        <v>210000</v>
      </c>
      <c r="AA285" s="330" t="s">
        <v>541</v>
      </c>
      <c r="AB285" s="327">
        <v>380000</v>
      </c>
      <c r="AC285" s="323" t="s">
        <v>1524</v>
      </c>
      <c r="AD285" s="327">
        <v>947</v>
      </c>
      <c r="AE285" s="330" t="s">
        <v>2840</v>
      </c>
      <c r="AH285" s="327">
        <f t="shared" si="34"/>
        <v>640003</v>
      </c>
      <c r="AK285" s="328">
        <f t="shared" si="37"/>
        <v>0</v>
      </c>
      <c r="AL285" s="417" t="s">
        <v>2841</v>
      </c>
      <c r="AM285" s="338"/>
      <c r="AQ285" s="332">
        <f>0.7%+0.05%+0.12%</f>
        <v>0.0087</v>
      </c>
      <c r="AR285" s="398">
        <f t="shared" si="35"/>
        <v>639056</v>
      </c>
      <c r="AS285" s="327"/>
      <c r="AT285" s="327"/>
      <c r="AU285" s="327"/>
      <c r="AV285" s="327"/>
      <c r="AW285" s="327"/>
      <c r="AX285" s="327"/>
      <c r="AY285" s="184"/>
      <c r="BA285" s="327"/>
      <c r="BB285" s="327"/>
      <c r="BC285" s="327"/>
      <c r="BD285" s="327"/>
      <c r="BE285" s="327">
        <v>639056</v>
      </c>
      <c r="BW285" s="323" t="s">
        <v>496</v>
      </c>
      <c r="BX285" s="323" t="s">
        <v>506</v>
      </c>
    </row>
    <row r="286" s="323" customFormat="1" customHeight="1" spans="1:76">
      <c r="A286" s="323">
        <v>196</v>
      </c>
      <c r="C286" s="323" t="s">
        <v>690</v>
      </c>
      <c r="D286" s="323">
        <v>20230008584</v>
      </c>
      <c r="F286" s="338" t="s">
        <v>2842</v>
      </c>
      <c r="G286" s="323" t="s">
        <v>2843</v>
      </c>
      <c r="H286" s="833" t="s">
        <v>2844</v>
      </c>
      <c r="I286" s="361" t="s">
        <v>2845</v>
      </c>
      <c r="J286" s="323">
        <v>107.77</v>
      </c>
      <c r="K286" s="323">
        <v>107.77</v>
      </c>
      <c r="L286" s="323">
        <v>5993.8</v>
      </c>
      <c r="M286" s="326">
        <v>645959</v>
      </c>
      <c r="N286" s="327">
        <v>5930.21</v>
      </c>
      <c r="O286" s="328">
        <v>592622.94</v>
      </c>
      <c r="P286" s="363" t="s">
        <v>2846</v>
      </c>
      <c r="Q286" s="445">
        <v>45564</v>
      </c>
      <c r="R286" s="327"/>
      <c r="S286" s="330"/>
      <c r="T286" s="330"/>
      <c r="U286" s="330" t="s">
        <v>721</v>
      </c>
      <c r="V286" s="327">
        <v>20000</v>
      </c>
      <c r="W286" s="330" t="s">
        <v>2250</v>
      </c>
      <c r="X286" s="327">
        <f>59000+50000</f>
        <v>109000</v>
      </c>
      <c r="Y286" s="330" t="s">
        <v>690</v>
      </c>
      <c r="Z286" s="327">
        <v>516000</v>
      </c>
      <c r="AA286" s="330" t="s">
        <v>1580</v>
      </c>
      <c r="AB286" s="327"/>
      <c r="AH286" s="327">
        <f t="shared" si="34"/>
        <v>645000</v>
      </c>
      <c r="AK286" s="328">
        <f t="shared" si="37"/>
        <v>959</v>
      </c>
      <c r="AL286" s="338" t="s">
        <v>2847</v>
      </c>
      <c r="AM286" s="338"/>
      <c r="AQ286" s="332">
        <f>0.7%+0.04%+0.12%</f>
        <v>0.0086</v>
      </c>
      <c r="AR286" s="398">
        <f t="shared" si="35"/>
        <v>645000</v>
      </c>
      <c r="AS286" s="327"/>
      <c r="AT286" s="327"/>
      <c r="AU286" s="327"/>
      <c r="AV286" s="327"/>
      <c r="AW286" s="327"/>
      <c r="AX286" s="327"/>
      <c r="AY286" s="184"/>
      <c r="BA286" s="327"/>
      <c r="BB286" s="327"/>
      <c r="BC286" s="327"/>
      <c r="BD286" s="327">
        <v>129000</v>
      </c>
      <c r="BE286" s="327">
        <v>516000</v>
      </c>
      <c r="BW286" s="323" t="s">
        <v>496</v>
      </c>
      <c r="BX286" s="323" t="s">
        <v>506</v>
      </c>
    </row>
    <row r="287" s="323" customFormat="1" ht="50" customHeight="1" spans="1:76">
      <c r="A287" s="323">
        <v>197</v>
      </c>
      <c r="C287" s="380">
        <v>45317</v>
      </c>
      <c r="D287" s="482" t="s">
        <v>2848</v>
      </c>
      <c r="F287" s="338" t="s">
        <v>2849</v>
      </c>
      <c r="G287" s="340" t="s">
        <v>2850</v>
      </c>
      <c r="H287" s="838" t="s">
        <v>2851</v>
      </c>
      <c r="I287" s="364" t="s">
        <v>2852</v>
      </c>
      <c r="J287" s="323">
        <v>108.14</v>
      </c>
      <c r="K287" s="323">
        <v>108.14</v>
      </c>
      <c r="L287" s="323">
        <v>7000</v>
      </c>
      <c r="M287" s="326">
        <v>756980</v>
      </c>
      <c r="N287" s="367">
        <v>6942</v>
      </c>
      <c r="O287" s="368">
        <v>694477.06</v>
      </c>
      <c r="P287" s="369" t="s">
        <v>2853</v>
      </c>
      <c r="Q287" s="445">
        <v>45564</v>
      </c>
      <c r="R287" s="327"/>
      <c r="S287" s="330"/>
      <c r="T287" s="330"/>
      <c r="U287" s="330" t="s">
        <v>524</v>
      </c>
      <c r="V287" s="327">
        <v>20000</v>
      </c>
      <c r="W287" s="330" t="s">
        <v>559</v>
      </c>
      <c r="X287" s="327">
        <f>66860+10000</f>
        <v>76860</v>
      </c>
      <c r="Y287" s="323" t="s">
        <v>752</v>
      </c>
      <c r="Z287" s="327">
        <v>59000</v>
      </c>
      <c r="AA287" s="330" t="s">
        <v>2854</v>
      </c>
      <c r="AB287" s="327">
        <v>400000</v>
      </c>
      <c r="AC287" s="330" t="s">
        <v>763</v>
      </c>
      <c r="AD287" s="327">
        <v>200000</v>
      </c>
      <c r="AE287" s="330" t="s">
        <v>2855</v>
      </c>
      <c r="AF287" s="327"/>
      <c r="AG287" s="330"/>
      <c r="AH287" s="327">
        <f t="shared" si="34"/>
        <v>755860</v>
      </c>
      <c r="AK287" s="328">
        <f t="shared" si="37"/>
        <v>1120</v>
      </c>
      <c r="AL287" s="338" t="s">
        <v>2856</v>
      </c>
      <c r="AM287" s="338"/>
      <c r="AN287" s="393"/>
      <c r="AO287" s="393"/>
      <c r="AP287" s="393"/>
      <c r="AQ287" s="166">
        <f>0.7%+0.12%</f>
        <v>0.0082</v>
      </c>
      <c r="AR287" s="398">
        <f t="shared" si="35"/>
        <v>755860</v>
      </c>
      <c r="AS287" s="327"/>
      <c r="AT287" s="327"/>
      <c r="AU287" s="327"/>
      <c r="AV287" s="327"/>
      <c r="AW287" s="327"/>
      <c r="AX287" s="327"/>
      <c r="AY287" s="184"/>
      <c r="BA287" s="327"/>
      <c r="BB287" s="327"/>
      <c r="BC287" s="327"/>
      <c r="BD287" s="327"/>
      <c r="BE287" s="327"/>
      <c r="BI287" s="323">
        <v>155860</v>
      </c>
      <c r="BL287" s="323">
        <v>600000</v>
      </c>
      <c r="BW287" s="323" t="s">
        <v>496</v>
      </c>
      <c r="BX287" s="323" t="s">
        <v>506</v>
      </c>
    </row>
    <row r="288" s="323" customFormat="1" customHeight="1" spans="1:57">
      <c r="A288" s="323">
        <v>198</v>
      </c>
      <c r="D288" s="343"/>
      <c r="E288" s="323" t="s">
        <v>2857</v>
      </c>
      <c r="F288" s="338"/>
      <c r="G288" s="342" t="s">
        <v>2858</v>
      </c>
      <c r="H288" s="342"/>
      <c r="I288" s="361" t="s">
        <v>2859</v>
      </c>
      <c r="J288" s="172">
        <v>107.77</v>
      </c>
      <c r="K288" s="172">
        <v>107.77</v>
      </c>
      <c r="L288" s="323">
        <v>6900</v>
      </c>
      <c r="M288" s="326">
        <f>L288*K288</f>
        <v>743613</v>
      </c>
      <c r="N288" s="323" t="s">
        <v>2860</v>
      </c>
      <c r="O288" s="368"/>
      <c r="P288" s="369"/>
      <c r="Q288" s="369"/>
      <c r="R288" s="327"/>
      <c r="S288" s="330"/>
      <c r="T288" s="330"/>
      <c r="U288" s="330"/>
      <c r="V288" s="327">
        <v>742509</v>
      </c>
      <c r="W288" s="330" t="s">
        <v>821</v>
      </c>
      <c r="X288" s="327"/>
      <c r="Y288" s="384"/>
      <c r="Z288" s="327"/>
      <c r="AB288" s="327"/>
      <c r="AH288" s="327">
        <f t="shared" si="34"/>
        <v>742509</v>
      </c>
      <c r="AK288" s="328">
        <f t="shared" si="37"/>
        <v>1104</v>
      </c>
      <c r="AL288" s="338"/>
      <c r="AM288" s="338"/>
      <c r="AN288" s="393"/>
      <c r="AO288" s="393"/>
      <c r="AP288" s="393"/>
      <c r="AQ288" s="332"/>
      <c r="AR288" s="398">
        <f t="shared" si="35"/>
        <v>0</v>
      </c>
      <c r="AS288" s="327"/>
      <c r="AT288" s="327"/>
      <c r="AU288" s="327"/>
      <c r="AV288" s="327"/>
      <c r="AW288" s="327"/>
      <c r="AX288" s="327"/>
      <c r="AY288" s="184"/>
      <c r="BA288" s="327"/>
      <c r="BB288" s="327"/>
      <c r="BC288" s="327"/>
      <c r="BD288" s="327"/>
      <c r="BE288" s="327"/>
    </row>
    <row r="289" s="323" customFormat="1" customHeight="1" spans="1:76">
      <c r="A289" s="323">
        <v>199</v>
      </c>
      <c r="B289" s="323"/>
      <c r="C289" s="380">
        <v>45455</v>
      </c>
      <c r="D289" s="482" t="s">
        <v>2861</v>
      </c>
      <c r="F289" s="338" t="s">
        <v>2862</v>
      </c>
      <c r="G289" s="342" t="s">
        <v>2863</v>
      </c>
      <c r="H289" s="838" t="s">
        <v>2864</v>
      </c>
      <c r="I289" s="364" t="s">
        <v>2865</v>
      </c>
      <c r="J289" s="323">
        <v>107.77</v>
      </c>
      <c r="K289" s="323">
        <v>107.77</v>
      </c>
      <c r="L289" s="323">
        <f>M289/K289</f>
        <v>8107.07061334323</v>
      </c>
      <c r="M289" s="326">
        <v>873699</v>
      </c>
      <c r="N289" s="323">
        <v>8107.07</v>
      </c>
      <c r="O289" s="368">
        <v>801558.72</v>
      </c>
      <c r="P289" s="369" t="s">
        <v>2866</v>
      </c>
      <c r="Q289" s="445">
        <v>45564</v>
      </c>
      <c r="R289" s="327"/>
      <c r="S289" s="330"/>
      <c r="T289" s="330" t="s">
        <v>2867</v>
      </c>
      <c r="U289" s="378" t="s">
        <v>2868</v>
      </c>
      <c r="V289" s="327">
        <v>10000</v>
      </c>
      <c r="W289" s="330" t="s">
        <v>2052</v>
      </c>
      <c r="X289" s="327">
        <v>10000</v>
      </c>
      <c r="Y289" s="330" t="s">
        <v>2434</v>
      </c>
      <c r="Z289" s="327">
        <v>93402</v>
      </c>
      <c r="AA289" s="323" t="s">
        <v>1000</v>
      </c>
      <c r="AB289" s="323">
        <v>30000</v>
      </c>
      <c r="AC289" s="323" t="s">
        <v>2869</v>
      </c>
      <c r="AD289" s="327">
        <f>230000+169000+30000</f>
        <v>429000</v>
      </c>
      <c r="AE289" s="378" t="s">
        <v>2870</v>
      </c>
      <c r="AF289" s="327">
        <v>300000</v>
      </c>
      <c r="AG289" s="378" t="s">
        <v>797</v>
      </c>
      <c r="AH289" s="327">
        <f t="shared" si="34"/>
        <v>872402</v>
      </c>
      <c r="AK289" s="328">
        <f t="shared" si="37"/>
        <v>1297</v>
      </c>
      <c r="AL289" s="338" t="s">
        <v>2871</v>
      </c>
      <c r="AM289" s="338"/>
      <c r="AN289" s="393"/>
      <c r="AO289" s="393"/>
      <c r="AP289" s="393"/>
      <c r="AQ289" s="332">
        <f>0.7%+0.05%+0.14%</f>
        <v>0.0089</v>
      </c>
      <c r="AR289" s="398">
        <f t="shared" si="35"/>
        <v>872402</v>
      </c>
      <c r="AS289" s="327"/>
      <c r="AT289" s="327"/>
      <c r="AU289" s="327"/>
      <c r="AV289" s="327"/>
      <c r="AW289" s="327"/>
      <c r="AX289" s="327"/>
      <c r="AY289" s="184"/>
      <c r="BA289" s="327"/>
      <c r="BB289" s="327"/>
      <c r="BC289" s="327"/>
      <c r="BD289" s="327"/>
      <c r="BE289" s="327"/>
      <c r="BL289" s="323">
        <v>572402</v>
      </c>
      <c r="BM289" s="323">
        <v>300000</v>
      </c>
      <c r="BW289" s="323" t="s">
        <v>496</v>
      </c>
      <c r="BX289" s="323" t="s">
        <v>506</v>
      </c>
    </row>
    <row r="290" s="323" customFormat="1" customHeight="1" spans="1:57">
      <c r="A290" s="323">
        <v>200</v>
      </c>
      <c r="B290" s="323"/>
      <c r="C290" s="323"/>
      <c r="D290" s="323"/>
      <c r="E290" s="323" t="s">
        <v>2872</v>
      </c>
      <c r="F290" s="338"/>
      <c r="G290" s="342" t="s">
        <v>2873</v>
      </c>
      <c r="H290" s="342"/>
      <c r="I290" s="361" t="s">
        <v>2874</v>
      </c>
      <c r="J290" s="323">
        <v>107.58</v>
      </c>
      <c r="K290" s="323">
        <v>107.58</v>
      </c>
      <c r="L290" s="323">
        <v>8606.6</v>
      </c>
      <c r="M290" s="326">
        <v>925898</v>
      </c>
      <c r="N290" s="323"/>
      <c r="O290" s="368"/>
      <c r="P290" s="363"/>
      <c r="Q290" s="329"/>
      <c r="R290" s="327">
        <v>925898</v>
      </c>
      <c r="S290" s="330" t="s">
        <v>2875</v>
      </c>
      <c r="T290" s="330"/>
      <c r="U290" s="330"/>
      <c r="V290" s="327">
        <v>925898</v>
      </c>
      <c r="W290" s="330" t="s">
        <v>2875</v>
      </c>
      <c r="X290" s="327"/>
      <c r="Y290" s="384"/>
      <c r="Z290" s="327"/>
      <c r="AA290" s="380"/>
      <c r="AB290" s="327"/>
      <c r="AC290" s="323"/>
      <c r="AD290" s="323"/>
      <c r="AE290" s="323"/>
      <c r="AF290" s="323"/>
      <c r="AG290" s="323"/>
      <c r="AH290" s="327">
        <f t="shared" si="34"/>
        <v>925898</v>
      </c>
      <c r="AK290" s="328">
        <f t="shared" si="37"/>
        <v>0</v>
      </c>
      <c r="AL290" s="417"/>
      <c r="AM290" s="417"/>
      <c r="AN290" s="392"/>
      <c r="AO290" s="392"/>
      <c r="AP290" s="392"/>
      <c r="AQ290" s="332"/>
      <c r="AR290" s="398">
        <f t="shared" si="35"/>
        <v>0</v>
      </c>
      <c r="AS290" s="327"/>
      <c r="AT290" s="327"/>
      <c r="AU290" s="327"/>
      <c r="AV290" s="327"/>
      <c r="AW290" s="327"/>
      <c r="AX290" s="327"/>
      <c r="AY290" s="184"/>
      <c r="BA290" s="327"/>
      <c r="BB290" s="327"/>
      <c r="BC290" s="327"/>
      <c r="BD290" s="327"/>
      <c r="BE290" s="327"/>
    </row>
    <row r="291" s="59" customFormat="1" customHeight="1" spans="1:57">
      <c r="A291" s="436">
        <v>201</v>
      </c>
      <c r="B291" s="172"/>
      <c r="C291" s="172"/>
      <c r="D291" s="172"/>
      <c r="E291" s="172" t="s">
        <v>2876</v>
      </c>
      <c r="F291" s="415"/>
      <c r="G291" s="483"/>
      <c r="H291" s="416"/>
      <c r="I291" s="439" t="s">
        <v>2877</v>
      </c>
      <c r="J291" s="323">
        <v>107.77</v>
      </c>
      <c r="K291" s="323"/>
      <c r="L291" s="172"/>
      <c r="M291" s="326"/>
      <c r="N291" s="172">
        <v>5947.67</v>
      </c>
      <c r="O291" s="419"/>
      <c r="P291" s="452"/>
      <c r="Q291" s="452"/>
      <c r="R291" s="446"/>
      <c r="S291" s="470"/>
      <c r="T291" s="377"/>
      <c r="U291" s="377" t="s">
        <v>2878</v>
      </c>
      <c r="V291" s="358">
        <f>2000-2000</f>
        <v>0</v>
      </c>
      <c r="W291" s="423"/>
      <c r="X291" s="358"/>
      <c r="Y291" s="387"/>
      <c r="Z291" s="358"/>
      <c r="AA291" s="172"/>
      <c r="AB291" s="358"/>
      <c r="AC291" s="172"/>
      <c r="AD291" s="172"/>
      <c r="AE291" s="172"/>
      <c r="AF291" s="172"/>
      <c r="AG291" s="172"/>
      <c r="AH291" s="327">
        <f t="shared" si="34"/>
        <v>0</v>
      </c>
      <c r="AI291" s="172"/>
      <c r="AJ291" s="172"/>
      <c r="AK291" s="359">
        <f t="shared" si="37"/>
        <v>0</v>
      </c>
      <c r="AL291" s="415"/>
      <c r="AM291" s="415"/>
      <c r="AN291" s="455"/>
      <c r="AO291" s="455"/>
      <c r="AP291" s="455"/>
      <c r="AQ291" s="456"/>
      <c r="AR291" s="397">
        <f t="shared" si="35"/>
        <v>0</v>
      </c>
      <c r="AS291" s="457"/>
      <c r="AT291" s="457"/>
      <c r="AU291" s="457"/>
      <c r="AV291" s="457"/>
      <c r="AW291" s="457"/>
      <c r="AX291" s="457"/>
      <c r="AY291" s="480"/>
      <c r="BA291" s="457"/>
      <c r="BB291" s="457"/>
      <c r="BC291" s="457"/>
      <c r="BD291" s="457"/>
      <c r="BE291" s="457"/>
    </row>
    <row r="292" s="59" customFormat="1" customHeight="1" spans="1:57">
      <c r="A292" s="436">
        <v>202</v>
      </c>
      <c r="B292" s="172"/>
      <c r="C292" s="172"/>
      <c r="D292" s="172"/>
      <c r="E292" s="172" t="s">
        <v>2879</v>
      </c>
      <c r="F292" s="415"/>
      <c r="G292" s="484"/>
      <c r="H292" s="416"/>
      <c r="I292" s="463" t="s">
        <v>2880</v>
      </c>
      <c r="J292" s="172">
        <v>107.77</v>
      </c>
      <c r="K292" s="172"/>
      <c r="L292" s="172"/>
      <c r="M292" s="326"/>
      <c r="N292" s="172">
        <v>8617.55</v>
      </c>
      <c r="O292" s="419"/>
      <c r="P292" s="486"/>
      <c r="Q292" s="486"/>
      <c r="R292" s="446"/>
      <c r="S292" s="470"/>
      <c r="T292" s="377"/>
      <c r="U292" s="377"/>
      <c r="V292" s="358"/>
      <c r="W292" s="423"/>
      <c r="X292" s="358"/>
      <c r="Y292" s="423"/>
      <c r="Z292" s="358"/>
      <c r="AA292" s="423"/>
      <c r="AB292" s="358"/>
      <c r="AC292" s="172"/>
      <c r="AD292" s="172"/>
      <c r="AE292" s="172"/>
      <c r="AF292" s="172"/>
      <c r="AG292" s="172"/>
      <c r="AH292" s="327">
        <f t="shared" si="34"/>
        <v>0</v>
      </c>
      <c r="AI292" s="172"/>
      <c r="AJ292" s="172"/>
      <c r="AK292" s="359">
        <f t="shared" si="37"/>
        <v>0</v>
      </c>
      <c r="AL292" s="415"/>
      <c r="AM292" s="415"/>
      <c r="AN292" s="455"/>
      <c r="AO292" s="455"/>
      <c r="AP292" s="455"/>
      <c r="AQ292" s="456"/>
      <c r="AR292" s="397">
        <f t="shared" si="35"/>
        <v>0</v>
      </c>
      <c r="AS292" s="457"/>
      <c r="AT292" s="457"/>
      <c r="AU292" s="457"/>
      <c r="AV292" s="457"/>
      <c r="AW292" s="457"/>
      <c r="AX292" s="457"/>
      <c r="AY292" s="480"/>
      <c r="BA292" s="457"/>
      <c r="BB292" s="457"/>
      <c r="BC292" s="457"/>
      <c r="BD292" s="457"/>
      <c r="BE292" s="457"/>
    </row>
    <row r="293" s="323" customFormat="1" ht="38" customHeight="1" spans="1:76">
      <c r="A293" s="323">
        <v>203</v>
      </c>
      <c r="C293" s="323" t="s">
        <v>1260</v>
      </c>
      <c r="D293" s="323">
        <v>20230001739</v>
      </c>
      <c r="F293" s="833" t="s">
        <v>2881</v>
      </c>
      <c r="G293" s="337" t="s">
        <v>2722</v>
      </c>
      <c r="H293" s="337"/>
      <c r="I293" s="364" t="s">
        <v>2882</v>
      </c>
      <c r="J293" s="323">
        <v>107.77</v>
      </c>
      <c r="K293" s="323">
        <v>107.77</v>
      </c>
      <c r="L293" s="323">
        <v>5261.13</v>
      </c>
      <c r="M293" s="326">
        <v>566992</v>
      </c>
      <c r="N293" s="323">
        <v>8618.09</v>
      </c>
      <c r="O293" s="328">
        <v>520176.15</v>
      </c>
      <c r="P293" s="841" t="s">
        <v>2883</v>
      </c>
      <c r="Q293" s="445">
        <v>45564</v>
      </c>
      <c r="R293" s="327"/>
      <c r="S293" s="378"/>
      <c r="T293" s="378" t="s">
        <v>2722</v>
      </c>
      <c r="U293" s="378" t="s">
        <v>2722</v>
      </c>
      <c r="V293" s="327">
        <f>2000-2000</f>
        <v>0</v>
      </c>
      <c r="W293" s="379">
        <v>44776</v>
      </c>
      <c r="X293" s="327">
        <v>566150</v>
      </c>
      <c r="Y293" s="380" t="s">
        <v>1260</v>
      </c>
      <c r="Z293" s="327"/>
      <c r="AB293" s="327"/>
      <c r="AH293" s="327">
        <f t="shared" si="34"/>
        <v>566150</v>
      </c>
      <c r="AK293" s="328">
        <f t="shared" si="37"/>
        <v>842</v>
      </c>
      <c r="AL293" s="338" t="s">
        <v>2884</v>
      </c>
      <c r="AM293" s="338"/>
      <c r="AN293" s="392"/>
      <c r="AO293" s="392"/>
      <c r="AP293" s="392"/>
      <c r="AQ293" s="332">
        <f>0.5%+0.06%+0.14%</f>
        <v>0.007</v>
      </c>
      <c r="AR293" s="398">
        <f t="shared" si="35"/>
        <v>566150</v>
      </c>
      <c r="AS293" s="327"/>
      <c r="AT293" s="327">
        <f>100+100</f>
        <v>200</v>
      </c>
      <c r="AU293" s="327"/>
      <c r="AV293" s="327">
        <v>566150</v>
      </c>
      <c r="AW293" s="327"/>
      <c r="AX293" s="327"/>
      <c r="AY293" s="184"/>
      <c r="BA293" s="327"/>
      <c r="BB293" s="327"/>
      <c r="BC293" s="327"/>
      <c r="BD293" s="327"/>
      <c r="BE293" s="327"/>
      <c r="BW293" s="323" t="s">
        <v>496</v>
      </c>
      <c r="BX293" s="323" t="s">
        <v>506</v>
      </c>
    </row>
    <row r="294" s="323" customFormat="1" customHeight="1" spans="1:76">
      <c r="A294" s="323">
        <v>204</v>
      </c>
      <c r="C294" s="323" t="s">
        <v>2809</v>
      </c>
      <c r="D294" s="343" t="s">
        <v>2885</v>
      </c>
      <c r="F294" s="338" t="s">
        <v>2886</v>
      </c>
      <c r="G294" s="340" t="s">
        <v>2887</v>
      </c>
      <c r="H294" s="837" t="s">
        <v>2888</v>
      </c>
      <c r="I294" s="361" t="s">
        <v>2889</v>
      </c>
      <c r="J294" s="323">
        <v>107.77</v>
      </c>
      <c r="K294" s="323">
        <v>107.77</v>
      </c>
      <c r="L294" s="323">
        <v>5296.9</v>
      </c>
      <c r="M294" s="326">
        <v>570848</v>
      </c>
      <c r="N294" s="323">
        <v>5954.61</v>
      </c>
      <c r="O294" s="368">
        <v>523713.76</v>
      </c>
      <c r="P294" s="369" t="s">
        <v>2890</v>
      </c>
      <c r="Q294" s="445">
        <v>45564</v>
      </c>
      <c r="R294" s="327"/>
      <c r="S294" s="330"/>
      <c r="T294" s="378" t="s">
        <v>2891</v>
      </c>
      <c r="U294" s="378" t="s">
        <v>2892</v>
      </c>
      <c r="V294" s="327">
        <f>20000</f>
        <v>20000</v>
      </c>
      <c r="W294" s="379" t="s">
        <v>1769</v>
      </c>
      <c r="X294" s="327">
        <f>40000+310000</f>
        <v>350000</v>
      </c>
      <c r="Y294" s="380" t="s">
        <v>2809</v>
      </c>
      <c r="Z294" s="327">
        <v>200000</v>
      </c>
      <c r="AA294" s="380" t="s">
        <v>1553</v>
      </c>
      <c r="AB294" s="327"/>
      <c r="AC294" s="454"/>
      <c r="AD294" s="454"/>
      <c r="AE294" s="454"/>
      <c r="AF294" s="454"/>
      <c r="AG294" s="454"/>
      <c r="AH294" s="327">
        <f t="shared" si="34"/>
        <v>570000</v>
      </c>
      <c r="AK294" s="328">
        <f t="shared" si="37"/>
        <v>848</v>
      </c>
      <c r="AL294" s="338" t="s">
        <v>2893</v>
      </c>
      <c r="AM294" s="338"/>
      <c r="AN294" s="393"/>
      <c r="AO294" s="393"/>
      <c r="AP294" s="393"/>
      <c r="AQ294" s="332">
        <f>0.4%+0.06%+0.14%</f>
        <v>0.006</v>
      </c>
      <c r="AR294" s="398">
        <f t="shared" si="35"/>
        <v>570000</v>
      </c>
      <c r="AS294" s="327">
        <f t="shared" ref="AS294:AS300" si="38">100</f>
        <v>100</v>
      </c>
      <c r="AT294" s="327"/>
      <c r="AU294" s="327"/>
      <c r="AV294" s="327"/>
      <c r="AW294" s="327">
        <v>570000</v>
      </c>
      <c r="AX294" s="327"/>
      <c r="AY294" s="184"/>
      <c r="BA294" s="327"/>
      <c r="BB294" s="327"/>
      <c r="BC294" s="327"/>
      <c r="BD294" s="327"/>
      <c r="BE294" s="327"/>
      <c r="BW294" s="323" t="s">
        <v>496</v>
      </c>
      <c r="BX294" s="323" t="s">
        <v>506</v>
      </c>
    </row>
    <row r="295" s="323" customFormat="1" customHeight="1" spans="1:76">
      <c r="A295" s="323">
        <v>205</v>
      </c>
      <c r="C295" s="323" t="s">
        <v>1590</v>
      </c>
      <c r="D295" s="343" t="s">
        <v>2894</v>
      </c>
      <c r="F295" s="338" t="s">
        <v>2895</v>
      </c>
      <c r="G295" s="342" t="s">
        <v>2896</v>
      </c>
      <c r="H295" s="838" t="s">
        <v>2897</v>
      </c>
      <c r="I295" s="361" t="s">
        <v>2898</v>
      </c>
      <c r="J295" s="323">
        <v>107.77</v>
      </c>
      <c r="K295" s="323">
        <v>107.77</v>
      </c>
      <c r="L295" s="323">
        <v>5350</v>
      </c>
      <c r="M295" s="326">
        <v>576569</v>
      </c>
      <c r="N295" s="323">
        <v>5952.89</v>
      </c>
      <c r="O295" s="368">
        <v>528962.39</v>
      </c>
      <c r="P295" s="369" t="s">
        <v>2899</v>
      </c>
      <c r="Q295" s="445">
        <v>45564</v>
      </c>
      <c r="R295" s="327"/>
      <c r="S295" s="330"/>
      <c r="T295" s="342" t="s">
        <v>2900</v>
      </c>
      <c r="U295" s="342" t="s">
        <v>2901</v>
      </c>
      <c r="V295" s="327">
        <v>20000</v>
      </c>
      <c r="W295" s="380" t="s">
        <v>872</v>
      </c>
      <c r="X295" s="327">
        <v>5713</v>
      </c>
      <c r="Y295" s="384" t="s">
        <v>1590</v>
      </c>
      <c r="Z295" s="327">
        <v>260000</v>
      </c>
      <c r="AA295" s="323" t="s">
        <v>1806</v>
      </c>
      <c r="AB295" s="327">
        <v>290000</v>
      </c>
      <c r="AC295" s="330" t="s">
        <v>2902</v>
      </c>
      <c r="AH295" s="327">
        <f t="shared" si="34"/>
        <v>575713</v>
      </c>
      <c r="AK295" s="328">
        <f t="shared" si="37"/>
        <v>856</v>
      </c>
      <c r="AL295" s="338" t="s">
        <v>2903</v>
      </c>
      <c r="AM295" s="338"/>
      <c r="AN295" s="393"/>
      <c r="AO295" s="393"/>
      <c r="AP295" s="393"/>
      <c r="AQ295" s="332">
        <f>0.6%+0.14%+0.06%</f>
        <v>0.008</v>
      </c>
      <c r="AR295" s="398">
        <f t="shared" si="35"/>
        <v>575713</v>
      </c>
      <c r="AS295" s="327"/>
      <c r="AT295" s="327"/>
      <c r="AU295" s="327"/>
      <c r="AV295" s="327"/>
      <c r="AW295" s="327">
        <v>285713</v>
      </c>
      <c r="AX295" s="327"/>
      <c r="AY295" s="184"/>
      <c r="BA295" s="327"/>
      <c r="BB295" s="327"/>
      <c r="BC295" s="327">
        <v>290000</v>
      </c>
      <c r="BD295" s="327"/>
      <c r="BE295" s="327"/>
      <c r="BW295" s="323" t="s">
        <v>496</v>
      </c>
      <c r="BX295" s="323" t="s">
        <v>506</v>
      </c>
    </row>
    <row r="296" s="323" customFormat="1" customHeight="1" spans="1:76">
      <c r="A296" s="323">
        <v>206</v>
      </c>
      <c r="C296" s="323" t="s">
        <v>1245</v>
      </c>
      <c r="D296" s="323">
        <v>20230001355</v>
      </c>
      <c r="F296" s="338" t="s">
        <v>2904</v>
      </c>
      <c r="G296" s="342" t="s">
        <v>2905</v>
      </c>
      <c r="H296" s="838" t="s">
        <v>2906</v>
      </c>
      <c r="I296" s="361" t="s">
        <v>2907</v>
      </c>
      <c r="J296" s="323">
        <v>107.77</v>
      </c>
      <c r="K296" s="323">
        <v>107.77</v>
      </c>
      <c r="L296" s="323">
        <v>5175.58</v>
      </c>
      <c r="M296" s="326">
        <v>557772</v>
      </c>
      <c r="N296" s="327"/>
      <c r="O296" s="467">
        <v>511717.43</v>
      </c>
      <c r="P296" s="421" t="s">
        <v>2908</v>
      </c>
      <c r="Q296" s="445">
        <v>45564</v>
      </c>
      <c r="R296" s="327"/>
      <c r="S296" s="330"/>
      <c r="T296" s="331" t="s">
        <v>2909</v>
      </c>
      <c r="U296" s="330" t="s">
        <v>2910</v>
      </c>
      <c r="V296" s="327">
        <v>20000</v>
      </c>
      <c r="W296" s="424" t="s">
        <v>1297</v>
      </c>
      <c r="X296" s="327">
        <v>147944</v>
      </c>
      <c r="Y296" s="384" t="s">
        <v>2911</v>
      </c>
      <c r="Z296" s="327">
        <v>389000</v>
      </c>
      <c r="AA296" s="380" t="s">
        <v>1790</v>
      </c>
      <c r="AB296" s="327"/>
      <c r="AH296" s="327">
        <f t="shared" si="34"/>
        <v>556944</v>
      </c>
      <c r="AK296" s="328">
        <f t="shared" si="37"/>
        <v>828</v>
      </c>
      <c r="AL296" s="338" t="s">
        <v>2912</v>
      </c>
      <c r="AM296" s="338"/>
      <c r="AN296" s="392"/>
      <c r="AO296" s="392"/>
      <c r="AP296" s="392"/>
      <c r="AQ296" s="332">
        <f>0.4%+0.04%+0.1%</f>
        <v>0.0054</v>
      </c>
      <c r="AR296" s="398">
        <f t="shared" si="35"/>
        <v>556944</v>
      </c>
      <c r="AS296" s="327"/>
      <c r="AT296" s="327"/>
      <c r="AU296" s="327"/>
      <c r="AV296" s="327">
        <v>167944</v>
      </c>
      <c r="AW296" s="327">
        <v>389000</v>
      </c>
      <c r="AX296" s="327"/>
      <c r="AY296" s="184"/>
      <c r="BA296" s="327"/>
      <c r="BB296" s="327"/>
      <c r="BC296" s="327"/>
      <c r="BD296" s="327"/>
      <c r="BE296" s="327"/>
      <c r="BW296" s="323" t="s">
        <v>496</v>
      </c>
      <c r="BX296" s="323" t="s">
        <v>506</v>
      </c>
    </row>
    <row r="297" s="323" customFormat="1" customHeight="1" spans="1:76">
      <c r="A297" s="323">
        <v>207</v>
      </c>
      <c r="C297" s="323" t="s">
        <v>1245</v>
      </c>
      <c r="D297" s="343" t="s">
        <v>2913</v>
      </c>
      <c r="F297" s="338" t="s">
        <v>2914</v>
      </c>
      <c r="G297" s="342" t="s">
        <v>2915</v>
      </c>
      <c r="H297" s="342"/>
      <c r="I297" s="364" t="s">
        <v>2916</v>
      </c>
      <c r="J297" s="323">
        <v>107.77</v>
      </c>
      <c r="K297" s="323">
        <v>107.77</v>
      </c>
      <c r="L297" s="323">
        <v>5350</v>
      </c>
      <c r="M297" s="326">
        <v>576570</v>
      </c>
      <c r="N297" s="367"/>
      <c r="O297" s="368">
        <v>528963.3</v>
      </c>
      <c r="P297" s="369" t="s">
        <v>2917</v>
      </c>
      <c r="Q297" s="445">
        <v>45564</v>
      </c>
      <c r="R297" s="327"/>
      <c r="S297" s="330"/>
      <c r="T297" s="342" t="s">
        <v>2918</v>
      </c>
      <c r="U297" s="342" t="s">
        <v>2918</v>
      </c>
      <c r="V297" s="327">
        <v>35714</v>
      </c>
      <c r="W297" s="380" t="s">
        <v>1245</v>
      </c>
      <c r="X297" s="327">
        <v>15000</v>
      </c>
      <c r="Y297" s="380" t="s">
        <v>1926</v>
      </c>
      <c r="Z297" s="327">
        <v>15000</v>
      </c>
      <c r="AA297" s="380" t="s">
        <v>1915</v>
      </c>
      <c r="AB297" s="327">
        <v>460000</v>
      </c>
      <c r="AC297" s="323" t="s">
        <v>1299</v>
      </c>
      <c r="AD297" s="323">
        <v>30000</v>
      </c>
      <c r="AE297" s="323" t="s">
        <v>1535</v>
      </c>
      <c r="AF297" s="323">
        <v>20000</v>
      </c>
      <c r="AG297" s="323" t="s">
        <v>2290</v>
      </c>
      <c r="AH297" s="327">
        <f t="shared" si="34"/>
        <v>575714</v>
      </c>
      <c r="AK297" s="328">
        <f t="shared" si="37"/>
        <v>856</v>
      </c>
      <c r="AL297" s="338" t="s">
        <v>2919</v>
      </c>
      <c r="AM297" s="338"/>
      <c r="AN297" s="393"/>
      <c r="AO297" s="393"/>
      <c r="AP297" s="393"/>
      <c r="AQ297" s="332">
        <f>0.5%+0.14%</f>
        <v>0.0064</v>
      </c>
      <c r="AR297" s="398">
        <f t="shared" si="35"/>
        <v>575714</v>
      </c>
      <c r="AS297" s="327">
        <f t="shared" si="38"/>
        <v>100</v>
      </c>
      <c r="AT297" s="327"/>
      <c r="AU297" s="327"/>
      <c r="AV297" s="327"/>
      <c r="AW297" s="327"/>
      <c r="AX297" s="327"/>
      <c r="AY297" s="184"/>
      <c r="AZ297" s="135">
        <v>575714</v>
      </c>
      <c r="BA297" s="327"/>
      <c r="BB297" s="327"/>
      <c r="BC297" s="327"/>
      <c r="BD297" s="327"/>
      <c r="BE297" s="327"/>
      <c r="BW297" s="323" t="s">
        <v>496</v>
      </c>
      <c r="BX297" s="323" t="s">
        <v>506</v>
      </c>
    </row>
    <row r="298" s="323" customFormat="1" customHeight="1" spans="1:76">
      <c r="A298" s="323">
        <v>208</v>
      </c>
      <c r="C298" s="323" t="s">
        <v>1824</v>
      </c>
      <c r="D298" s="343" t="s">
        <v>2920</v>
      </c>
      <c r="F298" s="338" t="s">
        <v>2921</v>
      </c>
      <c r="G298" s="340" t="s">
        <v>2922</v>
      </c>
      <c r="H298" s="837" t="s">
        <v>2923</v>
      </c>
      <c r="I298" s="361" t="s">
        <v>2924</v>
      </c>
      <c r="J298" s="323">
        <v>107.77</v>
      </c>
      <c r="K298" s="323">
        <v>107.77</v>
      </c>
      <c r="L298" s="323">
        <v>5225.58</v>
      </c>
      <c r="M298" s="326">
        <v>563161</v>
      </c>
      <c r="N298" s="367"/>
      <c r="O298" s="368">
        <v>516661.47</v>
      </c>
      <c r="P298" s="369" t="s">
        <v>2925</v>
      </c>
      <c r="Q298" s="445">
        <v>45564</v>
      </c>
      <c r="R298" s="327"/>
      <c r="S298" s="330"/>
      <c r="T298" s="381" t="s">
        <v>2926</v>
      </c>
      <c r="U298" s="378" t="s">
        <v>2927</v>
      </c>
      <c r="V298" s="327">
        <f>20000</f>
        <v>20000</v>
      </c>
      <c r="W298" s="379" t="s">
        <v>1325</v>
      </c>
      <c r="X298" s="327">
        <f>50000+52325</f>
        <v>102325</v>
      </c>
      <c r="Y298" s="424" t="s">
        <v>1824</v>
      </c>
      <c r="Z298" s="327">
        <v>47000</v>
      </c>
      <c r="AA298" s="380" t="s">
        <v>1769</v>
      </c>
      <c r="AB298" s="327">
        <v>393000</v>
      </c>
      <c r="AC298" s="380" t="s">
        <v>1514</v>
      </c>
      <c r="AD298" s="380"/>
      <c r="AE298" s="380"/>
      <c r="AF298" s="380"/>
      <c r="AG298" s="380"/>
      <c r="AH298" s="327">
        <f t="shared" si="34"/>
        <v>562325</v>
      </c>
      <c r="AK298" s="328">
        <f t="shared" si="37"/>
        <v>836</v>
      </c>
      <c r="AL298" s="338" t="s">
        <v>2928</v>
      </c>
      <c r="AM298" s="338"/>
      <c r="AN298" s="393"/>
      <c r="AO298" s="393"/>
      <c r="AP298" s="393"/>
      <c r="AQ298" s="332">
        <f>0.6%+0.04%+0.1%</f>
        <v>0.0074</v>
      </c>
      <c r="AR298" s="398">
        <f t="shared" si="35"/>
        <v>562325</v>
      </c>
      <c r="AS298" s="327"/>
      <c r="AT298" s="327">
        <v>100</v>
      </c>
      <c r="AU298" s="327">
        <v>122325</v>
      </c>
      <c r="AV298" s="327"/>
      <c r="AW298" s="327">
        <v>440000</v>
      </c>
      <c r="AX298" s="327"/>
      <c r="AY298" s="184"/>
      <c r="BA298" s="327"/>
      <c r="BB298" s="327"/>
      <c r="BC298" s="327"/>
      <c r="BD298" s="327"/>
      <c r="BE298" s="327"/>
      <c r="BW298" s="323" t="s">
        <v>496</v>
      </c>
      <c r="BX298" s="323" t="s">
        <v>506</v>
      </c>
    </row>
    <row r="299" s="323" customFormat="1" customHeight="1" spans="1:76">
      <c r="A299" s="323">
        <v>209</v>
      </c>
      <c r="C299" s="323" t="s">
        <v>1276</v>
      </c>
      <c r="D299" s="343" t="s">
        <v>2929</v>
      </c>
      <c r="F299" s="417" t="s">
        <v>2930</v>
      </c>
      <c r="G299" s="342" t="s">
        <v>2931</v>
      </c>
      <c r="H299" s="838" t="s">
        <v>2932</v>
      </c>
      <c r="I299" s="364" t="s">
        <v>2933</v>
      </c>
      <c r="J299" s="323">
        <v>107.77</v>
      </c>
      <c r="K299" s="323">
        <v>107.77</v>
      </c>
      <c r="L299" s="323">
        <v>5264.88</v>
      </c>
      <c r="M299" s="326">
        <v>567396</v>
      </c>
      <c r="N299" s="367"/>
      <c r="O299" s="368">
        <v>520546.79</v>
      </c>
      <c r="P299" s="369" t="s">
        <v>2934</v>
      </c>
      <c r="Q299" s="445">
        <v>45564</v>
      </c>
      <c r="R299" s="327"/>
      <c r="S299" s="330"/>
      <c r="T299" s="331" t="s">
        <v>2935</v>
      </c>
      <c r="U299" s="330" t="s">
        <v>2936</v>
      </c>
      <c r="V299" s="327">
        <v>16554</v>
      </c>
      <c r="W299" s="323" t="s">
        <v>1276</v>
      </c>
      <c r="X299" s="327">
        <v>100000</v>
      </c>
      <c r="Y299" s="380" t="s">
        <v>1247</v>
      </c>
      <c r="Z299" s="327">
        <v>450000</v>
      </c>
      <c r="AA299" s="330" t="s">
        <v>1090</v>
      </c>
      <c r="AB299" s="327"/>
      <c r="AC299" s="380"/>
      <c r="AD299" s="380"/>
      <c r="AE299" s="380"/>
      <c r="AF299" s="380"/>
      <c r="AG299" s="380"/>
      <c r="AH299" s="327">
        <f t="shared" si="34"/>
        <v>566554</v>
      </c>
      <c r="AK299" s="328">
        <f t="shared" si="37"/>
        <v>842</v>
      </c>
      <c r="AL299" s="338" t="s">
        <v>2937</v>
      </c>
      <c r="AM299" s="338"/>
      <c r="AN299" s="393"/>
      <c r="AO299" s="393"/>
      <c r="AP299" s="393"/>
      <c r="AQ299" s="332">
        <f>0.6%+0.1%</f>
        <v>0.007</v>
      </c>
      <c r="AR299" s="398">
        <f t="shared" si="35"/>
        <v>566554</v>
      </c>
      <c r="AS299" s="327">
        <f t="shared" si="38"/>
        <v>100</v>
      </c>
      <c r="AT299" s="327"/>
      <c r="AU299" s="327"/>
      <c r="AV299" s="327"/>
      <c r="AW299" s="327">
        <v>116554</v>
      </c>
      <c r="AX299" s="327"/>
      <c r="AY299" s="184"/>
      <c r="BA299" s="327">
        <v>450000</v>
      </c>
      <c r="BB299" s="327"/>
      <c r="BC299" s="327"/>
      <c r="BD299" s="327"/>
      <c r="BE299" s="327"/>
      <c r="BW299" s="323" t="s">
        <v>496</v>
      </c>
      <c r="BX299" s="323" t="s">
        <v>506</v>
      </c>
    </row>
    <row r="300" s="323" customFormat="1" customHeight="1" spans="1:76">
      <c r="A300" s="323">
        <v>210</v>
      </c>
      <c r="C300" s="323" t="s">
        <v>2656</v>
      </c>
      <c r="D300" s="343" t="s">
        <v>2938</v>
      </c>
      <c r="F300" s="338" t="s">
        <v>2939</v>
      </c>
      <c r="G300" s="340" t="s">
        <v>2940</v>
      </c>
      <c r="H300" s="837" t="s">
        <v>2941</v>
      </c>
      <c r="I300" s="361" t="s">
        <v>2942</v>
      </c>
      <c r="J300" s="323">
        <v>107.77</v>
      </c>
      <c r="K300" s="323">
        <v>107.77</v>
      </c>
      <c r="L300" s="323">
        <v>5270.58</v>
      </c>
      <c r="M300" s="326">
        <v>568010</v>
      </c>
      <c r="N300" s="367"/>
      <c r="O300" s="368">
        <v>521110.09</v>
      </c>
      <c r="P300" s="369" t="s">
        <v>2943</v>
      </c>
      <c r="Q300" s="445">
        <v>45564</v>
      </c>
      <c r="R300" s="327"/>
      <c r="S300" s="330"/>
      <c r="T300" s="331" t="s">
        <v>2944</v>
      </c>
      <c r="U300" s="330" t="s">
        <v>2945</v>
      </c>
      <c r="V300" s="327">
        <v>2000</v>
      </c>
      <c r="W300" s="380">
        <v>44759</v>
      </c>
      <c r="X300" s="327">
        <v>18000</v>
      </c>
      <c r="Y300" s="380" t="s">
        <v>1297</v>
      </c>
      <c r="Z300" s="327">
        <v>277167</v>
      </c>
      <c r="AA300" s="380" t="s">
        <v>2656</v>
      </c>
      <c r="AB300" s="327">
        <v>270000</v>
      </c>
      <c r="AC300" s="330" t="s">
        <v>1974</v>
      </c>
      <c r="AH300" s="327">
        <f t="shared" si="34"/>
        <v>567167</v>
      </c>
      <c r="AK300" s="328">
        <f t="shared" si="37"/>
        <v>843</v>
      </c>
      <c r="AL300" s="338" t="s">
        <v>2946</v>
      </c>
      <c r="AM300" s="338"/>
      <c r="AN300" s="393"/>
      <c r="AO300" s="393"/>
      <c r="AP300" s="393"/>
      <c r="AQ300" s="332">
        <f>0.6%+0.1%</f>
        <v>0.007</v>
      </c>
      <c r="AR300" s="398">
        <f t="shared" si="35"/>
        <v>567167</v>
      </c>
      <c r="AS300" s="327">
        <f t="shared" si="38"/>
        <v>100</v>
      </c>
      <c r="AT300" s="327"/>
      <c r="AU300" s="327"/>
      <c r="AV300" s="327"/>
      <c r="AW300" s="327"/>
      <c r="AX300" s="327"/>
      <c r="AY300" s="184"/>
      <c r="AZ300" s="135"/>
      <c r="BA300" s="327">
        <v>567167</v>
      </c>
      <c r="BB300" s="327"/>
      <c r="BC300" s="327"/>
      <c r="BD300" s="327"/>
      <c r="BE300" s="327"/>
      <c r="BW300" s="323" t="s">
        <v>496</v>
      </c>
      <c r="BX300" s="323" t="s">
        <v>506</v>
      </c>
    </row>
    <row r="301" s="323" customFormat="1" customHeight="1" spans="1:76">
      <c r="A301" s="323">
        <v>211</v>
      </c>
      <c r="C301" s="323" t="s">
        <v>2947</v>
      </c>
      <c r="D301" s="323">
        <v>20230002570</v>
      </c>
      <c r="F301" s="341" t="s">
        <v>2948</v>
      </c>
      <c r="G301" s="342" t="s">
        <v>2949</v>
      </c>
      <c r="H301" s="838" t="s">
        <v>2950</v>
      </c>
      <c r="I301" s="364" t="s">
        <v>2951</v>
      </c>
      <c r="J301" s="323">
        <v>107.77</v>
      </c>
      <c r="K301" s="323">
        <v>107.77</v>
      </c>
      <c r="L301" s="323">
        <v>5625</v>
      </c>
      <c r="M301" s="326">
        <v>606206</v>
      </c>
      <c r="N301" s="466">
        <v>5543.4</v>
      </c>
      <c r="O301" s="467">
        <v>556152.29</v>
      </c>
      <c r="P301" s="369" t="s">
        <v>2952</v>
      </c>
      <c r="Q301" s="445">
        <v>45564</v>
      </c>
      <c r="R301" s="327"/>
      <c r="S301" s="330"/>
      <c r="T301" s="330" t="s">
        <v>2949</v>
      </c>
      <c r="U301" s="330" t="s">
        <v>2953</v>
      </c>
      <c r="V301" s="327">
        <v>20000</v>
      </c>
      <c r="W301" s="380" t="s">
        <v>2170</v>
      </c>
      <c r="X301" s="327">
        <f>80000+25306</f>
        <v>105306</v>
      </c>
      <c r="Y301" s="384" t="s">
        <v>2947</v>
      </c>
      <c r="Z301" s="327">
        <v>480000</v>
      </c>
      <c r="AA301" s="330" t="s">
        <v>1847</v>
      </c>
      <c r="AB301" s="327"/>
      <c r="AH301" s="327">
        <f t="shared" si="34"/>
        <v>605306</v>
      </c>
      <c r="AK301" s="328">
        <f t="shared" si="37"/>
        <v>900</v>
      </c>
      <c r="AL301" s="338" t="s">
        <v>2954</v>
      </c>
      <c r="AM301" s="338"/>
      <c r="AN301" s="477"/>
      <c r="AO301" s="477"/>
      <c r="AP301" s="477"/>
      <c r="AQ301" s="332">
        <f>0.6%+0.06%+0.14%+0.06%</f>
        <v>0.0086</v>
      </c>
      <c r="AR301" s="398">
        <f t="shared" si="35"/>
        <v>605306</v>
      </c>
      <c r="AS301" s="327"/>
      <c r="AT301" s="327"/>
      <c r="AU301" s="327"/>
      <c r="AV301" s="327"/>
      <c r="AW301" s="327">
        <v>125306</v>
      </c>
      <c r="AX301" s="327"/>
      <c r="AY301" s="184"/>
      <c r="BA301" s="327"/>
      <c r="BB301" s="327">
        <v>480000</v>
      </c>
      <c r="BC301" s="327"/>
      <c r="BD301" s="327"/>
      <c r="BE301" s="327"/>
      <c r="BW301" s="323" t="s">
        <v>496</v>
      </c>
      <c r="BX301" s="323" t="s">
        <v>506</v>
      </c>
    </row>
    <row r="302" s="323" customFormat="1" customHeight="1" spans="1:76">
      <c r="A302" s="323">
        <v>212</v>
      </c>
      <c r="C302" s="323" t="s">
        <v>1344</v>
      </c>
      <c r="D302" s="323">
        <v>20230000856</v>
      </c>
      <c r="F302" s="417" t="s">
        <v>2955</v>
      </c>
      <c r="G302" s="337" t="s">
        <v>2956</v>
      </c>
      <c r="H302" s="839" t="s">
        <v>2957</v>
      </c>
      <c r="I302" s="361" t="s">
        <v>2958</v>
      </c>
      <c r="J302" s="323">
        <v>107.77</v>
      </c>
      <c r="K302" s="323">
        <v>107.77</v>
      </c>
      <c r="L302" s="323">
        <v>5315.58</v>
      </c>
      <c r="M302" s="326">
        <v>572860</v>
      </c>
      <c r="N302" s="367"/>
      <c r="O302" s="368">
        <v>525559.63</v>
      </c>
      <c r="P302" s="369" t="s">
        <v>2959</v>
      </c>
      <c r="Q302" s="445">
        <v>45564</v>
      </c>
      <c r="R302" s="327"/>
      <c r="S302" s="330"/>
      <c r="T302" s="381" t="s">
        <v>2960</v>
      </c>
      <c r="U302" s="378" t="s">
        <v>2961</v>
      </c>
      <c r="V302" s="327">
        <v>115010</v>
      </c>
      <c r="W302" s="323" t="s">
        <v>1344</v>
      </c>
      <c r="X302" s="323">
        <v>257000</v>
      </c>
      <c r="Y302" s="323" t="s">
        <v>1336</v>
      </c>
      <c r="Z302" s="327">
        <v>200000</v>
      </c>
      <c r="AA302" s="323" t="s">
        <v>1494</v>
      </c>
      <c r="AB302" s="327"/>
      <c r="AH302" s="327">
        <f t="shared" si="34"/>
        <v>572010</v>
      </c>
      <c r="AK302" s="328">
        <f t="shared" si="37"/>
        <v>850</v>
      </c>
      <c r="AL302" s="338" t="s">
        <v>2962</v>
      </c>
      <c r="AM302" s="338"/>
      <c r="AN302" s="393"/>
      <c r="AO302" s="393"/>
      <c r="AP302" s="393"/>
      <c r="AQ302" s="332">
        <f>0.4%+0.04%+0.1%</f>
        <v>0.0054</v>
      </c>
      <c r="AR302" s="398">
        <f t="shared" si="35"/>
        <v>572010</v>
      </c>
      <c r="AS302" s="327">
        <f>100</f>
        <v>100</v>
      </c>
      <c r="AT302" s="327"/>
      <c r="AU302" s="327"/>
      <c r="AV302" s="327">
        <v>115010</v>
      </c>
      <c r="AW302" s="327"/>
      <c r="AX302" s="327">
        <v>457000</v>
      </c>
      <c r="AY302" s="184"/>
      <c r="BA302" s="327"/>
      <c r="BB302" s="327"/>
      <c r="BC302" s="327"/>
      <c r="BD302" s="327"/>
      <c r="BE302" s="327"/>
      <c r="BW302" s="323" t="s">
        <v>496</v>
      </c>
      <c r="BX302" s="323" t="s">
        <v>506</v>
      </c>
    </row>
    <row r="303" s="323" customFormat="1" customHeight="1" spans="1:76">
      <c r="A303" s="323">
        <v>213</v>
      </c>
      <c r="C303" s="323" t="s">
        <v>1245</v>
      </c>
      <c r="D303" s="343" t="s">
        <v>2963</v>
      </c>
      <c r="F303" s="338" t="s">
        <v>2964</v>
      </c>
      <c r="G303" s="342" t="s">
        <v>2965</v>
      </c>
      <c r="H303" s="342"/>
      <c r="I303" s="364" t="s">
        <v>2966</v>
      </c>
      <c r="J303" s="323">
        <v>107.77</v>
      </c>
      <c r="K303" s="323">
        <v>107.77</v>
      </c>
      <c r="L303" s="323">
        <v>5390.51</v>
      </c>
      <c r="M303" s="326">
        <v>580935</v>
      </c>
      <c r="N303" s="367"/>
      <c r="O303" s="368">
        <v>532967.89</v>
      </c>
      <c r="P303" s="369" t="s">
        <v>2967</v>
      </c>
      <c r="Q303" s="445">
        <v>45564</v>
      </c>
      <c r="R303" s="327"/>
      <c r="S303" s="330"/>
      <c r="T303" s="342" t="s">
        <v>2968</v>
      </c>
      <c r="U303" s="342" t="s">
        <v>2968</v>
      </c>
      <c r="V303" s="327">
        <v>300073</v>
      </c>
      <c r="W303" s="380" t="s">
        <v>1245</v>
      </c>
      <c r="X303" s="327">
        <v>280000</v>
      </c>
      <c r="Y303" s="330" t="s">
        <v>911</v>
      </c>
      <c r="Z303" s="327"/>
      <c r="AB303" s="327"/>
      <c r="AH303" s="327">
        <f t="shared" si="34"/>
        <v>580073</v>
      </c>
      <c r="AK303" s="328">
        <f t="shared" si="37"/>
        <v>862</v>
      </c>
      <c r="AL303" s="338" t="s">
        <v>2969</v>
      </c>
      <c r="AM303" s="338"/>
      <c r="AN303" s="393"/>
      <c r="AO303" s="393"/>
      <c r="AP303" s="393"/>
      <c r="AQ303" s="332">
        <f>0.6%+0.06%+0.14%</f>
        <v>0.008</v>
      </c>
      <c r="AR303" s="398">
        <f t="shared" si="35"/>
        <v>580073</v>
      </c>
      <c r="AS303" s="327"/>
      <c r="AT303" s="327">
        <v>100</v>
      </c>
      <c r="AU303" s="327"/>
      <c r="AV303" s="327">
        <v>300073</v>
      </c>
      <c r="AW303" s="327"/>
      <c r="AX303" s="327"/>
      <c r="AY303" s="184"/>
      <c r="BA303" s="327">
        <v>280000</v>
      </c>
      <c r="BB303" s="327"/>
      <c r="BC303" s="327"/>
      <c r="BD303" s="327"/>
      <c r="BE303" s="327"/>
      <c r="BW303" s="323" t="s">
        <v>496</v>
      </c>
      <c r="BX303" s="323" t="s">
        <v>506</v>
      </c>
    </row>
    <row r="304" s="323" customFormat="1" customHeight="1" spans="1:76">
      <c r="A304" s="323">
        <v>214</v>
      </c>
      <c r="C304" s="323" t="s">
        <v>1245</v>
      </c>
      <c r="D304" s="343" t="s">
        <v>2970</v>
      </c>
      <c r="F304" s="833" t="s">
        <v>2971</v>
      </c>
      <c r="G304" s="342" t="s">
        <v>2972</v>
      </c>
      <c r="H304" s="342"/>
      <c r="I304" s="361" t="s">
        <v>2973</v>
      </c>
      <c r="J304" s="323">
        <v>107.77</v>
      </c>
      <c r="K304" s="323">
        <v>107.77</v>
      </c>
      <c r="L304" s="323">
        <v>5421.87</v>
      </c>
      <c r="M304" s="326">
        <v>584315</v>
      </c>
      <c r="N304" s="367"/>
      <c r="O304" s="368">
        <v>536068.81</v>
      </c>
      <c r="P304" s="369" t="s">
        <v>2974</v>
      </c>
      <c r="Q304" s="445">
        <v>45564</v>
      </c>
      <c r="R304" s="327"/>
      <c r="S304" s="425"/>
      <c r="T304" s="342" t="s">
        <v>2975</v>
      </c>
      <c r="U304" s="342" t="s">
        <v>2976</v>
      </c>
      <c r="V304" s="327">
        <v>3447</v>
      </c>
      <c r="W304" s="487" t="s">
        <v>1245</v>
      </c>
      <c r="X304" s="327">
        <v>240000</v>
      </c>
      <c r="Y304" s="487" t="s">
        <v>1368</v>
      </c>
      <c r="Z304" s="327">
        <v>340000</v>
      </c>
      <c r="AA304" s="425" t="s">
        <v>2694</v>
      </c>
      <c r="AB304" s="327"/>
      <c r="AH304" s="327">
        <f t="shared" si="34"/>
        <v>583447</v>
      </c>
      <c r="AK304" s="328">
        <f t="shared" si="37"/>
        <v>868</v>
      </c>
      <c r="AL304" s="338" t="s">
        <v>2977</v>
      </c>
      <c r="AM304" s="338"/>
      <c r="AN304" s="393"/>
      <c r="AO304" s="393"/>
      <c r="AP304" s="393"/>
      <c r="AQ304" s="332">
        <f>0.6%+0.06%+0.14%+0.06%</f>
        <v>0.0086</v>
      </c>
      <c r="AR304" s="398">
        <f t="shared" si="35"/>
        <v>583447</v>
      </c>
      <c r="AS304" s="327"/>
      <c r="AT304" s="327"/>
      <c r="AU304" s="327"/>
      <c r="AV304" s="327"/>
      <c r="AW304" s="327"/>
      <c r="AX304" s="327"/>
      <c r="AY304" s="184">
        <v>243447</v>
      </c>
      <c r="BA304" s="327"/>
      <c r="BB304" s="327">
        <v>340000</v>
      </c>
      <c r="BC304" s="327"/>
      <c r="BD304" s="327"/>
      <c r="BE304" s="327"/>
      <c r="BW304" s="323" t="s">
        <v>496</v>
      </c>
      <c r="BX304" s="323" t="s">
        <v>506</v>
      </c>
    </row>
    <row r="305" s="323" customFormat="1" customHeight="1" spans="1:76">
      <c r="A305" s="323">
        <v>215</v>
      </c>
      <c r="C305" s="323" t="s">
        <v>2978</v>
      </c>
      <c r="D305" s="343" t="s">
        <v>2979</v>
      </c>
      <c r="F305" s="338" t="s">
        <v>2980</v>
      </c>
      <c r="G305" s="342" t="s">
        <v>2720</v>
      </c>
      <c r="H305" s="838" t="s">
        <v>2981</v>
      </c>
      <c r="I305" s="364" t="s">
        <v>2982</v>
      </c>
      <c r="J305" s="323">
        <v>107.77</v>
      </c>
      <c r="K305" s="323">
        <v>107.77</v>
      </c>
      <c r="L305" s="323">
        <v>5688.23</v>
      </c>
      <c r="M305" s="326">
        <v>613020</v>
      </c>
      <c r="N305" s="367">
        <v>5615.74</v>
      </c>
      <c r="O305" s="368">
        <v>562403.67</v>
      </c>
      <c r="P305" s="369" t="s">
        <v>2983</v>
      </c>
      <c r="Q305" s="369" t="s">
        <v>1814</v>
      </c>
      <c r="R305" s="327"/>
      <c r="S305" s="330"/>
      <c r="T305" s="330" t="s">
        <v>2720</v>
      </c>
      <c r="U305" s="330" t="s">
        <v>2984</v>
      </c>
      <c r="V305" s="327">
        <v>20000</v>
      </c>
      <c r="W305" s="380" t="s">
        <v>2833</v>
      </c>
      <c r="X305" s="327">
        <v>103110</v>
      </c>
      <c r="Y305" s="330" t="s">
        <v>2978</v>
      </c>
      <c r="Z305" s="327">
        <v>489000</v>
      </c>
      <c r="AA305" s="330" t="s">
        <v>762</v>
      </c>
      <c r="AB305" s="327"/>
      <c r="AH305" s="327">
        <f t="shared" si="34"/>
        <v>612110</v>
      </c>
      <c r="AK305" s="328">
        <f t="shared" si="37"/>
        <v>910</v>
      </c>
      <c r="AL305" s="338" t="s">
        <v>2985</v>
      </c>
      <c r="AM305" s="338"/>
      <c r="AN305" s="393"/>
      <c r="AO305" s="393"/>
      <c r="AP305" s="393"/>
      <c r="AQ305" s="332">
        <f>0.6%+0.06%+0.14%+0.06%</f>
        <v>0.0086</v>
      </c>
      <c r="AR305" s="398">
        <f t="shared" si="35"/>
        <v>612110</v>
      </c>
      <c r="AS305" s="327"/>
      <c r="AT305" s="327"/>
      <c r="AU305" s="327"/>
      <c r="AV305" s="327"/>
      <c r="AW305" s="327"/>
      <c r="AX305" s="327"/>
      <c r="AY305" s="184"/>
      <c r="BA305" s="327"/>
      <c r="BB305" s="327"/>
      <c r="BC305" s="327"/>
      <c r="BD305" s="327"/>
      <c r="BE305" s="327">
        <v>123110</v>
      </c>
      <c r="BG305" s="323">
        <v>489000</v>
      </c>
      <c r="BW305" s="323" t="s">
        <v>496</v>
      </c>
      <c r="BX305" s="323" t="s">
        <v>506</v>
      </c>
    </row>
    <row r="306" s="323" customFormat="1" customHeight="1" spans="1:76">
      <c r="A306" s="323">
        <v>216</v>
      </c>
      <c r="C306" s="323" t="s">
        <v>2833</v>
      </c>
      <c r="D306" s="323">
        <v>20230002599</v>
      </c>
      <c r="F306" s="435" t="s">
        <v>2986</v>
      </c>
      <c r="G306" s="342" t="s">
        <v>2987</v>
      </c>
      <c r="H306" s="838" t="s">
        <v>2988</v>
      </c>
      <c r="I306" s="361" t="s">
        <v>2989</v>
      </c>
      <c r="J306" s="323">
        <v>107.77</v>
      </c>
      <c r="K306" s="323">
        <v>107.77</v>
      </c>
      <c r="L306" s="323">
        <v>5694.3</v>
      </c>
      <c r="M306" s="326">
        <v>613675</v>
      </c>
      <c r="N306" s="327">
        <v>5621.63</v>
      </c>
      <c r="O306" s="328">
        <v>563004.59</v>
      </c>
      <c r="P306" s="841" t="s">
        <v>2990</v>
      </c>
      <c r="Q306" s="445">
        <v>45564</v>
      </c>
      <c r="R306" s="327">
        <v>912</v>
      </c>
      <c r="S306" s="330" t="s">
        <v>177</v>
      </c>
      <c r="T306" s="330" t="s">
        <v>2991</v>
      </c>
      <c r="U306" s="330" t="s">
        <v>2992</v>
      </c>
      <c r="V306" s="327">
        <v>764</v>
      </c>
      <c r="W306" s="380" t="s">
        <v>2170</v>
      </c>
      <c r="X306" s="327">
        <v>122000</v>
      </c>
      <c r="Y306" s="380" t="s">
        <v>1299</v>
      </c>
      <c r="Z306" s="327">
        <v>490000</v>
      </c>
      <c r="AA306" s="330" t="s">
        <v>2015</v>
      </c>
      <c r="AB306" s="327">
        <v>912</v>
      </c>
      <c r="AC306" s="330" t="s">
        <v>177</v>
      </c>
      <c r="AH306" s="327">
        <f t="shared" si="34"/>
        <v>613676</v>
      </c>
      <c r="AK306" s="328">
        <f t="shared" si="37"/>
        <v>-1</v>
      </c>
      <c r="AL306" s="338" t="s">
        <v>2993</v>
      </c>
      <c r="AM306" s="338"/>
      <c r="AN306" s="392"/>
      <c r="AO306" s="392"/>
      <c r="AP306" s="392"/>
      <c r="AQ306" s="332">
        <f>0.6%+0.06%+0.14%+0.06%</f>
        <v>0.0086</v>
      </c>
      <c r="AR306" s="398">
        <f t="shared" si="35"/>
        <v>612764</v>
      </c>
      <c r="AS306" s="327"/>
      <c r="AT306" s="327"/>
      <c r="AU306" s="327"/>
      <c r="AV306" s="327"/>
      <c r="AW306" s="327"/>
      <c r="AX306" s="327"/>
      <c r="AY306" s="184">
        <v>122764</v>
      </c>
      <c r="BA306" s="327"/>
      <c r="BB306" s="327">
        <v>490000</v>
      </c>
      <c r="BC306" s="327"/>
      <c r="BD306" s="327"/>
      <c r="BE306" s="327"/>
      <c r="BW306" s="323" t="s">
        <v>496</v>
      </c>
      <c r="BX306" s="323" t="s">
        <v>506</v>
      </c>
    </row>
    <row r="307" s="323" customFormat="1" customHeight="1" spans="1:76">
      <c r="A307" s="323">
        <v>217</v>
      </c>
      <c r="C307" s="323" t="s">
        <v>1824</v>
      </c>
      <c r="D307" s="323">
        <v>20230000302</v>
      </c>
      <c r="F307" s="338" t="s">
        <v>2994</v>
      </c>
      <c r="G307" s="342" t="s">
        <v>2995</v>
      </c>
      <c r="H307" s="838" t="s">
        <v>2996</v>
      </c>
      <c r="I307" s="361" t="s">
        <v>2997</v>
      </c>
      <c r="J307" s="323">
        <v>107.77</v>
      </c>
      <c r="K307" s="323">
        <v>107.77</v>
      </c>
      <c r="L307" s="323">
        <v>5399.88</v>
      </c>
      <c r="M307" s="326">
        <v>581945</v>
      </c>
      <c r="N307" s="466"/>
      <c r="O307" s="467">
        <v>533894.5</v>
      </c>
      <c r="P307" s="369" t="s">
        <v>2998</v>
      </c>
      <c r="Q307" s="445">
        <v>45564</v>
      </c>
      <c r="R307" s="327">
        <v>864</v>
      </c>
      <c r="S307" s="330" t="s">
        <v>177</v>
      </c>
      <c r="T307" s="331" t="s">
        <v>2999</v>
      </c>
      <c r="U307" s="330" t="s">
        <v>3000</v>
      </c>
      <c r="V307" s="327">
        <v>1000</v>
      </c>
      <c r="W307" s="380" t="s">
        <v>3001</v>
      </c>
      <c r="X307" s="327">
        <v>19000</v>
      </c>
      <c r="Y307" s="380" t="s">
        <v>1297</v>
      </c>
      <c r="Z307" s="327">
        <v>155081</v>
      </c>
      <c r="AA307" s="380" t="s">
        <v>1824</v>
      </c>
      <c r="AB307" s="327">
        <v>406000</v>
      </c>
      <c r="AC307" s="380" t="s">
        <v>1621</v>
      </c>
      <c r="AD307" s="327">
        <v>864</v>
      </c>
      <c r="AE307" s="330" t="s">
        <v>177</v>
      </c>
      <c r="AF307" s="380"/>
      <c r="AG307" s="380"/>
      <c r="AH307" s="327">
        <f t="shared" si="34"/>
        <v>581945</v>
      </c>
      <c r="AK307" s="328">
        <f t="shared" si="37"/>
        <v>0</v>
      </c>
      <c r="AL307" s="338" t="s">
        <v>3002</v>
      </c>
      <c r="AM307" s="338"/>
      <c r="AN307" s="477"/>
      <c r="AO307" s="477"/>
      <c r="AP307" s="477"/>
      <c r="AQ307" s="332">
        <f>0.4%+0.04%+0.1%</f>
        <v>0.0054</v>
      </c>
      <c r="AR307" s="398">
        <f t="shared" si="35"/>
        <v>581081</v>
      </c>
      <c r="AS307" s="327"/>
      <c r="AT307" s="327"/>
      <c r="AU307" s="327">
        <v>175081</v>
      </c>
      <c r="AV307" s="327"/>
      <c r="AW307" s="327"/>
      <c r="AX307" s="327">
        <v>406000</v>
      </c>
      <c r="AY307" s="184"/>
      <c r="BA307" s="327"/>
      <c r="BB307" s="327"/>
      <c r="BC307" s="327"/>
      <c r="BD307" s="327"/>
      <c r="BE307" s="327"/>
      <c r="BW307" s="323" t="s">
        <v>496</v>
      </c>
      <c r="BX307" s="323" t="s">
        <v>506</v>
      </c>
    </row>
    <row r="308" s="323" customFormat="1" customHeight="1" spans="1:76">
      <c r="A308" s="323">
        <v>218</v>
      </c>
      <c r="C308" s="323" t="s">
        <v>2529</v>
      </c>
      <c r="D308" s="343" t="s">
        <v>3003</v>
      </c>
      <c r="F308" s="338" t="s">
        <v>3004</v>
      </c>
      <c r="G308" s="323" t="s">
        <v>3005</v>
      </c>
      <c r="H308" s="833" t="s">
        <v>3006</v>
      </c>
      <c r="I308" s="361" t="s">
        <v>3007</v>
      </c>
      <c r="J308" s="323">
        <v>107.77</v>
      </c>
      <c r="K308" s="323">
        <v>107.77</v>
      </c>
      <c r="L308" s="323">
        <v>5975.28</v>
      </c>
      <c r="M308" s="326">
        <v>643956</v>
      </c>
      <c r="N308" s="367">
        <v>5942.3</v>
      </c>
      <c r="O308" s="368">
        <v>590785.32</v>
      </c>
      <c r="P308" s="369" t="s">
        <v>3008</v>
      </c>
      <c r="Q308" s="445">
        <v>45564</v>
      </c>
      <c r="R308" s="327"/>
      <c r="S308" s="330"/>
      <c r="U308" s="330" t="s">
        <v>721</v>
      </c>
      <c r="V308" s="327">
        <v>20000</v>
      </c>
      <c r="W308" s="330" t="s">
        <v>1840</v>
      </c>
      <c r="X308" s="327">
        <f>3000+170000</f>
        <v>173000</v>
      </c>
      <c r="Y308" s="389" t="s">
        <v>2529</v>
      </c>
      <c r="Z308" s="327">
        <v>450000</v>
      </c>
      <c r="AA308" s="330" t="s">
        <v>3009</v>
      </c>
      <c r="AB308" s="327"/>
      <c r="AC308" s="380"/>
      <c r="AD308" s="380"/>
      <c r="AE308" s="380"/>
      <c r="AF308" s="380"/>
      <c r="AG308" s="380"/>
      <c r="AH308" s="327">
        <f t="shared" si="34"/>
        <v>643000</v>
      </c>
      <c r="AK308" s="328">
        <f t="shared" si="37"/>
        <v>956</v>
      </c>
      <c r="AL308" s="338" t="s">
        <v>3010</v>
      </c>
      <c r="AM308" s="338"/>
      <c r="AN308" s="393"/>
      <c r="AO308" s="393"/>
      <c r="AP308" s="393"/>
      <c r="AQ308" s="478">
        <f>0.7%+0.05%+0.12%</f>
        <v>0.0087</v>
      </c>
      <c r="AR308" s="398">
        <f t="shared" si="35"/>
        <v>643000</v>
      </c>
      <c r="AS308" s="327"/>
      <c r="AT308" s="327"/>
      <c r="AU308" s="327"/>
      <c r="AV308" s="327"/>
      <c r="AW308" s="327"/>
      <c r="AX308" s="327"/>
      <c r="AY308" s="184"/>
      <c r="BA308" s="327"/>
      <c r="BB308" s="327">
        <v>193000</v>
      </c>
      <c r="BC308" s="327"/>
      <c r="BD308" s="327">
        <v>450000</v>
      </c>
      <c r="BE308" s="327"/>
      <c r="BW308" s="323" t="s">
        <v>496</v>
      </c>
      <c r="BX308" s="323" t="s">
        <v>506</v>
      </c>
    </row>
    <row r="309" s="323" customFormat="1" customHeight="1" spans="1:76">
      <c r="A309" s="323">
        <v>219</v>
      </c>
      <c r="C309" s="380">
        <v>45397</v>
      </c>
      <c r="D309" s="343" t="s">
        <v>3011</v>
      </c>
      <c r="F309" s="338" t="s">
        <v>3012</v>
      </c>
      <c r="G309" s="342" t="s">
        <v>3013</v>
      </c>
      <c r="H309" s="838" t="s">
        <v>3014</v>
      </c>
      <c r="I309" s="361" t="s">
        <v>3015</v>
      </c>
      <c r="J309" s="323">
        <v>107.77</v>
      </c>
      <c r="K309" s="323">
        <v>107.77</v>
      </c>
      <c r="L309" s="323">
        <v>7025</v>
      </c>
      <c r="M309" s="366">
        <v>757124</v>
      </c>
      <c r="N309" s="367">
        <v>6968.5</v>
      </c>
      <c r="O309" s="368">
        <v>694609.17</v>
      </c>
      <c r="P309" s="369" t="s">
        <v>3016</v>
      </c>
      <c r="Q309" s="445">
        <v>45564</v>
      </c>
      <c r="R309" s="327"/>
      <c r="S309" s="330"/>
      <c r="T309" s="330"/>
      <c r="U309" s="330" t="s">
        <v>709</v>
      </c>
      <c r="V309" s="327">
        <v>20000</v>
      </c>
      <c r="W309" s="330" t="s">
        <v>3017</v>
      </c>
      <c r="X309" s="327">
        <v>76000</v>
      </c>
      <c r="Y309" s="384" t="s">
        <v>631</v>
      </c>
      <c r="Z309" s="327">
        <v>60000</v>
      </c>
      <c r="AA309" s="330" t="s">
        <v>1006</v>
      </c>
      <c r="AB309" s="327">
        <v>600000</v>
      </c>
      <c r="AC309" s="323" t="s">
        <v>3018</v>
      </c>
      <c r="AH309" s="327">
        <f t="shared" si="34"/>
        <v>756000</v>
      </c>
      <c r="AK309" s="328">
        <f t="shared" si="37"/>
        <v>1124</v>
      </c>
      <c r="AL309" s="338" t="s">
        <v>3019</v>
      </c>
      <c r="AM309" s="338"/>
      <c r="AN309" s="393"/>
      <c r="AO309" s="393"/>
      <c r="AP309" s="393"/>
      <c r="AQ309" s="166">
        <f>0.7%+0.12%</f>
        <v>0.0082</v>
      </c>
      <c r="AR309" s="398">
        <f t="shared" si="35"/>
        <v>756000</v>
      </c>
      <c r="AS309" s="327"/>
      <c r="AT309" s="327">
        <v>100</v>
      </c>
      <c r="AU309" s="327"/>
      <c r="AV309" s="327"/>
      <c r="AW309" s="327"/>
      <c r="AX309" s="327"/>
      <c r="AY309" s="184"/>
      <c r="BA309" s="327"/>
      <c r="BB309" s="327"/>
      <c r="BC309" s="327"/>
      <c r="BD309" s="327"/>
      <c r="BE309" s="327"/>
      <c r="BK309" s="323">
        <v>756000</v>
      </c>
      <c r="BW309" s="323" t="s">
        <v>496</v>
      </c>
      <c r="BX309" s="323" t="s">
        <v>506</v>
      </c>
    </row>
    <row r="310" s="323" customFormat="1" customHeight="1" spans="1:71">
      <c r="A310" s="323">
        <v>220</v>
      </c>
      <c r="D310" s="343"/>
      <c r="E310" s="323" t="s">
        <v>3020</v>
      </c>
      <c r="F310" s="338"/>
      <c r="G310" s="342" t="s">
        <v>3021</v>
      </c>
      <c r="H310" s="342"/>
      <c r="I310" s="361" t="s">
        <v>3022</v>
      </c>
      <c r="J310" s="172">
        <v>107.77</v>
      </c>
      <c r="K310" s="172">
        <v>107.77</v>
      </c>
      <c r="L310" s="323">
        <f>M310/K310</f>
        <v>7410.47601373295</v>
      </c>
      <c r="M310" s="366">
        <v>798627</v>
      </c>
      <c r="N310" s="367">
        <v>6976.2</v>
      </c>
      <c r="O310" s="368"/>
      <c r="P310" s="369"/>
      <c r="Q310" s="369"/>
      <c r="R310" s="327"/>
      <c r="S310" s="330"/>
      <c r="T310" s="330"/>
      <c r="U310" s="330"/>
      <c r="V310" s="327">
        <v>798627</v>
      </c>
      <c r="W310" s="330" t="s">
        <v>3023</v>
      </c>
      <c r="X310" s="327"/>
      <c r="Y310" s="384"/>
      <c r="Z310" s="327"/>
      <c r="AB310" s="327"/>
      <c r="AH310" s="327">
        <f t="shared" si="34"/>
        <v>798627</v>
      </c>
      <c r="AK310" s="328">
        <f t="shared" si="37"/>
        <v>0</v>
      </c>
      <c r="AL310" s="338"/>
      <c r="AM310" s="338"/>
      <c r="AN310" s="393"/>
      <c r="AO310" s="393"/>
      <c r="AP310" s="393"/>
      <c r="AQ310" s="332"/>
      <c r="AR310" s="398">
        <f t="shared" si="35"/>
        <v>0</v>
      </c>
      <c r="AS310" s="327">
        <f>100</f>
        <v>100</v>
      </c>
      <c r="AT310" s="327"/>
      <c r="AU310" s="327"/>
      <c r="AV310" s="327"/>
      <c r="AW310" s="327"/>
      <c r="AX310" s="327"/>
      <c r="AY310" s="184"/>
      <c r="BA310" s="327"/>
      <c r="BB310" s="327"/>
      <c r="BC310" s="327"/>
      <c r="BD310" s="327"/>
      <c r="BE310" s="327"/>
      <c r="BS310" s="59"/>
    </row>
    <row r="311" s="323" customFormat="1" customHeight="1" spans="1:75">
      <c r="A311" s="323">
        <v>221</v>
      </c>
      <c r="C311" s="323" t="s">
        <v>181</v>
      </c>
      <c r="D311" s="341" t="s">
        <v>182</v>
      </c>
      <c r="E311" s="323" t="s">
        <v>183</v>
      </c>
      <c r="F311" s="341" t="s">
        <v>184</v>
      </c>
      <c r="G311" s="342" t="s">
        <v>185</v>
      </c>
      <c r="H311" s="342"/>
      <c r="I311" s="364" t="s">
        <v>3024</v>
      </c>
      <c r="J311" s="323">
        <v>107.58</v>
      </c>
      <c r="K311" s="323">
        <v>107.58</v>
      </c>
      <c r="L311" s="323">
        <v>8617.56</v>
      </c>
      <c r="M311" s="465">
        <v>927077</v>
      </c>
      <c r="N311" s="323">
        <v>8617.55</v>
      </c>
      <c r="O311" s="467">
        <v>850529.36</v>
      </c>
      <c r="P311" s="421" t="s">
        <v>3025</v>
      </c>
      <c r="Q311" s="421" t="s">
        <v>3026</v>
      </c>
      <c r="R311" s="327"/>
      <c r="S311" s="330"/>
      <c r="T311" s="330"/>
      <c r="U311" s="330"/>
      <c r="V311" s="327">
        <f>698+260000</f>
        <v>260698</v>
      </c>
      <c r="W311" s="330">
        <v>45536</v>
      </c>
      <c r="X311" s="327">
        <v>95000</v>
      </c>
      <c r="Y311" s="380">
        <v>45547</v>
      </c>
      <c r="Z311" s="327">
        <v>570000</v>
      </c>
      <c r="AA311" s="380">
        <v>45562</v>
      </c>
      <c r="AB311" s="327">
        <v>1379</v>
      </c>
      <c r="AC311" s="330" t="s">
        <v>3027</v>
      </c>
      <c r="AH311" s="327">
        <f t="shared" si="34"/>
        <v>927077</v>
      </c>
      <c r="AK311" s="328">
        <f t="shared" si="37"/>
        <v>0</v>
      </c>
      <c r="AN311" s="477"/>
      <c r="AO311" s="477"/>
      <c r="AP311" s="477"/>
      <c r="AQ311" s="332"/>
      <c r="AR311" s="398">
        <f t="shared" si="35"/>
        <v>0</v>
      </c>
      <c r="AS311" s="327">
        <v>100</v>
      </c>
      <c r="AT311" s="327"/>
      <c r="AU311" s="327"/>
      <c r="AV311" s="327"/>
      <c r="AW311" s="327"/>
      <c r="AX311" s="327"/>
      <c r="AY311" s="184"/>
      <c r="BA311" s="327"/>
      <c r="BB311" s="327"/>
      <c r="BC311" s="327"/>
      <c r="BD311" s="327"/>
      <c r="BE311" s="327"/>
      <c r="BW311" s="323" t="s">
        <v>496</v>
      </c>
    </row>
    <row r="312" s="59" customFormat="1" customHeight="1" spans="1:57">
      <c r="A312" s="436">
        <v>222</v>
      </c>
      <c r="B312" s="172"/>
      <c r="C312" s="172"/>
      <c r="D312" s="172"/>
      <c r="E312" s="172" t="s">
        <v>3028</v>
      </c>
      <c r="F312" s="415"/>
      <c r="G312" s="485"/>
      <c r="H312" s="438"/>
      <c r="I312" s="463" t="s">
        <v>3029</v>
      </c>
      <c r="J312" s="172">
        <v>108.14</v>
      </c>
      <c r="K312" s="172"/>
      <c r="L312" s="172"/>
      <c r="M312" s="357"/>
      <c r="N312" s="172">
        <v>8618.09</v>
      </c>
      <c r="O312" s="419"/>
      <c r="P312" s="452"/>
      <c r="Q312" s="452"/>
      <c r="R312" s="358"/>
      <c r="S312" s="448"/>
      <c r="T312" s="448" t="s">
        <v>876</v>
      </c>
      <c r="U312" s="448" t="s">
        <v>876</v>
      </c>
      <c r="V312" s="358"/>
      <c r="W312" s="469"/>
      <c r="X312" s="358"/>
      <c r="Y312" s="387"/>
      <c r="Z312" s="358"/>
      <c r="AA312" s="423"/>
      <c r="AB312" s="358"/>
      <c r="AC312" s="423"/>
      <c r="AD312" s="423"/>
      <c r="AE312" s="423"/>
      <c r="AF312" s="423"/>
      <c r="AG312" s="423"/>
      <c r="AH312" s="358">
        <f t="shared" ref="AH312:AH332" si="39">V312+X312+Z312+AB312+AD312+AF312</f>
        <v>0</v>
      </c>
      <c r="AI312" s="172"/>
      <c r="AJ312" s="172"/>
      <c r="AK312" s="359">
        <f t="shared" si="37"/>
        <v>0</v>
      </c>
      <c r="AL312" s="415"/>
      <c r="AM312" s="415"/>
      <c r="AN312" s="455"/>
      <c r="AO312" s="455"/>
      <c r="AP312" s="455"/>
      <c r="AQ312" s="456"/>
      <c r="AR312" s="397">
        <f t="shared" si="35"/>
        <v>0</v>
      </c>
      <c r="AS312" s="457">
        <f>100</f>
        <v>100</v>
      </c>
      <c r="AT312" s="457">
        <v>100</v>
      </c>
      <c r="AU312" s="457"/>
      <c r="AV312" s="457"/>
      <c r="AW312" s="457"/>
      <c r="AX312" s="457"/>
      <c r="AY312" s="480"/>
      <c r="BA312" s="457"/>
      <c r="BB312" s="457"/>
      <c r="BC312" s="457"/>
      <c r="BD312" s="457"/>
      <c r="BE312" s="457"/>
    </row>
    <row r="313" s="59" customFormat="1" customHeight="1" spans="1:57">
      <c r="A313" s="436">
        <v>223</v>
      </c>
      <c r="B313" s="172"/>
      <c r="C313" s="172"/>
      <c r="D313" s="172"/>
      <c r="E313" s="172" t="s">
        <v>3030</v>
      </c>
      <c r="F313" s="415"/>
      <c r="G313" s="416"/>
      <c r="H313" s="416"/>
      <c r="I313" s="439" t="s">
        <v>3031</v>
      </c>
      <c r="J313" s="172">
        <v>107.77</v>
      </c>
      <c r="K313" s="172"/>
      <c r="L313" s="172"/>
      <c r="M313" s="357"/>
      <c r="N313" s="172">
        <v>5954.61</v>
      </c>
      <c r="O313" s="419"/>
      <c r="P313" s="452"/>
      <c r="Q313" s="452"/>
      <c r="R313" s="358"/>
      <c r="S313" s="377"/>
      <c r="T313" s="377"/>
      <c r="U313" s="377"/>
      <c r="V313" s="358"/>
      <c r="W313" s="423"/>
      <c r="X313" s="358"/>
      <c r="Y313" s="423"/>
      <c r="Z313" s="358"/>
      <c r="AA313" s="172"/>
      <c r="AB313" s="358"/>
      <c r="AC313" s="172"/>
      <c r="AD313" s="172"/>
      <c r="AE313" s="172"/>
      <c r="AF313" s="172"/>
      <c r="AG313" s="172"/>
      <c r="AH313" s="358">
        <f t="shared" si="39"/>
        <v>0</v>
      </c>
      <c r="AI313" s="172"/>
      <c r="AJ313" s="172"/>
      <c r="AK313" s="359">
        <f t="shared" si="37"/>
        <v>0</v>
      </c>
      <c r="AL313" s="415"/>
      <c r="AM313" s="415"/>
      <c r="AN313" s="455"/>
      <c r="AO313" s="455"/>
      <c r="AP313" s="455"/>
      <c r="AQ313" s="456"/>
      <c r="AR313" s="397">
        <f t="shared" si="35"/>
        <v>0</v>
      </c>
      <c r="AS313" s="457"/>
      <c r="AT313" s="457"/>
      <c r="AU313" s="457"/>
      <c r="AV313" s="457"/>
      <c r="AW313" s="457"/>
      <c r="AX313" s="457"/>
      <c r="AY313" s="480"/>
      <c r="BA313" s="457"/>
      <c r="BB313" s="457"/>
      <c r="BC313" s="457"/>
      <c r="BD313" s="457"/>
      <c r="BE313" s="457"/>
    </row>
    <row r="314" s="172" customFormat="1" customHeight="1" spans="1:71">
      <c r="A314" s="172">
        <v>224</v>
      </c>
      <c r="D314" s="414"/>
      <c r="E314" s="172" t="s">
        <v>3032</v>
      </c>
      <c r="F314" s="415"/>
      <c r="G314" s="416"/>
      <c r="H314" s="416"/>
      <c r="I314" s="418" t="s">
        <v>3033</v>
      </c>
      <c r="J314" s="172">
        <v>108.14</v>
      </c>
      <c r="M314" s="440"/>
      <c r="N314" s="172">
        <v>5952.89</v>
      </c>
      <c r="O314" s="419"/>
      <c r="P314" s="420"/>
      <c r="Q314" s="420"/>
      <c r="R314" s="358"/>
      <c r="S314" s="377"/>
      <c r="T314" s="377"/>
      <c r="U314" s="377"/>
      <c r="V314" s="358"/>
      <c r="W314" s="423"/>
      <c r="X314" s="358"/>
      <c r="Y314" s="387"/>
      <c r="Z314" s="358"/>
      <c r="AB314" s="358"/>
      <c r="AH314" s="358">
        <f t="shared" si="39"/>
        <v>0</v>
      </c>
      <c r="AK314" s="359">
        <f t="shared" si="37"/>
        <v>0</v>
      </c>
      <c r="AL314" s="415"/>
      <c r="AM314" s="415"/>
      <c r="AN314" s="429"/>
      <c r="AO314" s="429"/>
      <c r="AP314" s="429"/>
      <c r="AQ314" s="430"/>
      <c r="AR314" s="397">
        <f t="shared" si="35"/>
        <v>0</v>
      </c>
      <c r="AS314" s="358"/>
      <c r="AT314" s="358"/>
      <c r="AU314" s="358"/>
      <c r="AV314" s="358"/>
      <c r="AW314" s="358"/>
      <c r="AX314" s="358"/>
      <c r="AY314" s="215"/>
      <c r="BA314" s="358"/>
      <c r="BB314" s="358"/>
      <c r="BC314" s="358"/>
      <c r="BD314" s="358"/>
      <c r="BE314" s="358"/>
      <c r="BS314" s="59"/>
    </row>
    <row r="315" s="323" customFormat="1" customHeight="1" spans="1:76">
      <c r="A315" s="323">
        <v>225</v>
      </c>
      <c r="C315" s="323" t="s">
        <v>3034</v>
      </c>
      <c r="D315" s="343" t="s">
        <v>3035</v>
      </c>
      <c r="F315" s="338" t="s">
        <v>3036</v>
      </c>
      <c r="G315" s="323" t="s">
        <v>3037</v>
      </c>
      <c r="H315" s="833" t="s">
        <v>3038</v>
      </c>
      <c r="I315" s="364" t="s">
        <v>3039</v>
      </c>
      <c r="J315" s="323">
        <v>107.77</v>
      </c>
      <c r="K315" s="323">
        <v>107.77</v>
      </c>
      <c r="L315" s="323">
        <v>5349.29</v>
      </c>
      <c r="M315" s="366">
        <v>576493</v>
      </c>
      <c r="N315" s="367">
        <v>5299.29</v>
      </c>
      <c r="O315" s="368">
        <v>528892.66</v>
      </c>
      <c r="P315" s="369" t="s">
        <v>3040</v>
      </c>
      <c r="Q315" s="369" t="s">
        <v>3041</v>
      </c>
      <c r="R315" s="327"/>
      <c r="S315" s="330"/>
      <c r="T315" s="330" t="s">
        <v>3042</v>
      </c>
      <c r="U315" s="330" t="s">
        <v>3043</v>
      </c>
      <c r="V315" s="327">
        <v>20000</v>
      </c>
      <c r="W315" s="380" t="s">
        <v>2170</v>
      </c>
      <c r="X315" s="327">
        <v>255638</v>
      </c>
      <c r="Y315" s="389" t="s">
        <v>3034</v>
      </c>
      <c r="Z315" s="327">
        <v>300000</v>
      </c>
      <c r="AA315" s="323" t="s">
        <v>2527</v>
      </c>
      <c r="AB315" s="327"/>
      <c r="AH315" s="327">
        <f t="shared" si="39"/>
        <v>575638</v>
      </c>
      <c r="AK315" s="328">
        <f t="shared" si="37"/>
        <v>855</v>
      </c>
      <c r="AL315" s="338" t="s">
        <v>3044</v>
      </c>
      <c r="AM315" s="338"/>
      <c r="AN315" s="391"/>
      <c r="AO315" s="391"/>
      <c r="AP315" s="391"/>
      <c r="AQ315" s="332">
        <f>0.6%+0.05%+0.14%</f>
        <v>0.0079</v>
      </c>
      <c r="AR315" s="398">
        <f t="shared" si="35"/>
        <v>575638</v>
      </c>
      <c r="AS315" s="327"/>
      <c r="AT315" s="327"/>
      <c r="AU315" s="327"/>
      <c r="AV315" s="327"/>
      <c r="AW315" s="327"/>
      <c r="AX315" s="327"/>
      <c r="AY315" s="184">
        <v>575638</v>
      </c>
      <c r="BA315" s="327"/>
      <c r="BB315" s="327"/>
      <c r="BC315" s="327"/>
      <c r="BD315" s="327"/>
      <c r="BE315" s="327"/>
      <c r="BW315" s="323" t="s">
        <v>496</v>
      </c>
      <c r="BX315" s="323" t="s">
        <v>506</v>
      </c>
    </row>
    <row r="316" s="323" customFormat="1" ht="39" customHeight="1" spans="1:76">
      <c r="A316" s="323">
        <v>224</v>
      </c>
      <c r="C316" s="323" t="s">
        <v>2027</v>
      </c>
      <c r="D316" s="343" t="s">
        <v>3045</v>
      </c>
      <c r="F316" s="338" t="s">
        <v>3046</v>
      </c>
      <c r="G316" s="342" t="s">
        <v>3047</v>
      </c>
      <c r="H316" s="838" t="s">
        <v>3048</v>
      </c>
      <c r="I316" s="361" t="s">
        <v>3049</v>
      </c>
      <c r="J316" s="323">
        <v>108.14</v>
      </c>
      <c r="K316" s="323">
        <v>108.14</v>
      </c>
      <c r="L316" s="323">
        <v>5300</v>
      </c>
      <c r="M316" s="366">
        <v>573142</v>
      </c>
      <c r="N316" s="367">
        <v>5297.69</v>
      </c>
      <c r="O316" s="368">
        <v>525818.35</v>
      </c>
      <c r="P316" s="369" t="s">
        <v>3050</v>
      </c>
      <c r="Q316" s="369" t="s">
        <v>3041</v>
      </c>
      <c r="R316" s="327"/>
      <c r="S316" s="330"/>
      <c r="T316" s="330" t="s">
        <v>3047</v>
      </c>
      <c r="U316" s="330" t="s">
        <v>1427</v>
      </c>
      <c r="V316" s="327">
        <v>20000</v>
      </c>
      <c r="W316" s="380" t="s">
        <v>1790</v>
      </c>
      <c r="X316" s="327">
        <v>552294</v>
      </c>
      <c r="Y316" s="384" t="s">
        <v>2027</v>
      </c>
      <c r="AB316" s="327"/>
      <c r="AH316" s="327">
        <f t="shared" si="39"/>
        <v>572294</v>
      </c>
      <c r="AK316" s="328">
        <f t="shared" si="37"/>
        <v>848</v>
      </c>
      <c r="AL316" s="338" t="s">
        <v>3051</v>
      </c>
      <c r="AM316" s="338"/>
      <c r="AN316" s="393"/>
      <c r="AO316" s="393"/>
      <c r="AP316" s="393"/>
      <c r="AQ316" s="332">
        <f>0.6%+0.06%+0.14%</f>
        <v>0.008</v>
      </c>
      <c r="AR316" s="398">
        <f t="shared" si="35"/>
        <v>572294</v>
      </c>
      <c r="AS316" s="327"/>
      <c r="AT316" s="327"/>
      <c r="AU316" s="327"/>
      <c r="AV316" s="327"/>
      <c r="AW316" s="327"/>
      <c r="AX316" s="327"/>
      <c r="AY316" s="184">
        <v>572294</v>
      </c>
      <c r="BA316" s="327"/>
      <c r="BB316" s="327"/>
      <c r="BC316" s="327"/>
      <c r="BD316" s="327"/>
      <c r="BE316" s="327"/>
      <c r="BW316" s="323" t="s">
        <v>496</v>
      </c>
      <c r="BX316" s="323" t="s">
        <v>506</v>
      </c>
    </row>
    <row r="317" s="323" customFormat="1" customHeight="1" spans="1:76">
      <c r="A317" s="323">
        <v>227</v>
      </c>
      <c r="C317" s="323" t="s">
        <v>1815</v>
      </c>
      <c r="D317" s="343" t="s">
        <v>3052</v>
      </c>
      <c r="F317" s="338" t="s">
        <v>3053</v>
      </c>
      <c r="G317" s="323" t="s">
        <v>3054</v>
      </c>
      <c r="H317" s="833" t="s">
        <v>3055</v>
      </c>
      <c r="I317" s="364" t="s">
        <v>3056</v>
      </c>
      <c r="J317" s="323">
        <v>107.77</v>
      </c>
      <c r="K317" s="323">
        <v>107.77</v>
      </c>
      <c r="L317" s="323">
        <v>5380.3</v>
      </c>
      <c r="M317" s="366">
        <v>579835</v>
      </c>
      <c r="N317" s="367">
        <v>5330.3</v>
      </c>
      <c r="O317" s="368">
        <v>531958.72</v>
      </c>
      <c r="P317" s="369" t="s">
        <v>3057</v>
      </c>
      <c r="Q317" s="369" t="s">
        <v>3041</v>
      </c>
      <c r="R317" s="327"/>
      <c r="S317" s="330"/>
      <c r="T317" s="323" t="s">
        <v>3054</v>
      </c>
      <c r="U317" s="323" t="s">
        <v>3058</v>
      </c>
      <c r="V317" s="327">
        <v>3974</v>
      </c>
      <c r="W317" s="380" t="s">
        <v>1815</v>
      </c>
      <c r="X317" s="488">
        <v>215000</v>
      </c>
      <c r="Y317" s="327" t="s">
        <v>2090</v>
      </c>
      <c r="Z317" s="327">
        <v>360000</v>
      </c>
      <c r="AA317" s="330" t="s">
        <v>802</v>
      </c>
      <c r="AB317" s="327"/>
      <c r="AH317" s="327">
        <f t="shared" si="39"/>
        <v>578974</v>
      </c>
      <c r="AK317" s="328">
        <f t="shared" si="37"/>
        <v>861</v>
      </c>
      <c r="AL317" s="338" t="s">
        <v>3059</v>
      </c>
      <c r="AM317" s="338"/>
      <c r="AN317" s="391"/>
      <c r="AO317" s="391"/>
      <c r="AP317" s="391"/>
      <c r="AQ317" s="332">
        <f>0.4%+0.05%+0.14%+0.06%</f>
        <v>0.0065</v>
      </c>
      <c r="AR317" s="398">
        <f t="shared" si="35"/>
        <v>578974</v>
      </c>
      <c r="AS317" s="327"/>
      <c r="AT317" s="327">
        <v>100</v>
      </c>
      <c r="AU317" s="327"/>
      <c r="AV317" s="327"/>
      <c r="AW317" s="327"/>
      <c r="AX317" s="327"/>
      <c r="AY317" s="184"/>
      <c r="BA317" s="327"/>
      <c r="BB317" s="327">
        <v>218974</v>
      </c>
      <c r="BC317" s="327"/>
      <c r="BD317" s="327">
        <v>360000</v>
      </c>
      <c r="BE317" s="327"/>
      <c r="BW317" s="323" t="s">
        <v>496</v>
      </c>
      <c r="BX317" s="323" t="s">
        <v>506</v>
      </c>
    </row>
    <row r="318" s="323" customFormat="1" customHeight="1" spans="1:76">
      <c r="A318" s="323">
        <v>228</v>
      </c>
      <c r="C318" s="323" t="s">
        <v>1428</v>
      </c>
      <c r="D318" s="343" t="s">
        <v>3060</v>
      </c>
      <c r="F318" s="338" t="s">
        <v>3061</v>
      </c>
      <c r="G318" s="323" t="s">
        <v>3062</v>
      </c>
      <c r="H318" s="833" t="s">
        <v>3063</v>
      </c>
      <c r="I318" s="361" t="s">
        <v>3064</v>
      </c>
      <c r="J318" s="323">
        <v>108.14</v>
      </c>
      <c r="K318" s="323">
        <v>108.14</v>
      </c>
      <c r="L318" s="323">
        <v>5350</v>
      </c>
      <c r="M318" s="366">
        <v>578549</v>
      </c>
      <c r="N318" s="367">
        <v>5328.69</v>
      </c>
      <c r="O318" s="368">
        <v>530778.9</v>
      </c>
      <c r="P318" s="369" t="s">
        <v>3065</v>
      </c>
      <c r="Q318" s="369" t="s">
        <v>3041</v>
      </c>
      <c r="R318" s="327"/>
      <c r="S318" s="330"/>
      <c r="T318" s="330"/>
      <c r="U318" s="330" t="s">
        <v>502</v>
      </c>
      <c r="V318" s="327">
        <v>20000</v>
      </c>
      <c r="W318" s="330" t="s">
        <v>1984</v>
      </c>
      <c r="X318" s="327">
        <v>36693</v>
      </c>
      <c r="Y318" s="389" t="s">
        <v>1428</v>
      </c>
      <c r="Z318" s="327">
        <v>59000</v>
      </c>
      <c r="AA318" s="323" t="s">
        <v>2426</v>
      </c>
      <c r="AB318" s="327">
        <v>462000</v>
      </c>
      <c r="AC318" s="330" t="s">
        <v>685</v>
      </c>
      <c r="AH318" s="327">
        <f t="shared" si="39"/>
        <v>577693</v>
      </c>
      <c r="AK318" s="328">
        <f t="shared" si="37"/>
        <v>856</v>
      </c>
      <c r="AL318" s="338" t="s">
        <v>3066</v>
      </c>
      <c r="AM318" s="338"/>
      <c r="AN318" s="391"/>
      <c r="AO318" s="391"/>
      <c r="AP318" s="391"/>
      <c r="AQ318" s="332">
        <f>0.6%+0.1%</f>
        <v>0.007</v>
      </c>
      <c r="AR318" s="398">
        <f t="shared" si="35"/>
        <v>577693</v>
      </c>
      <c r="AS318" s="327"/>
      <c r="AT318" s="327"/>
      <c r="AU318" s="327"/>
      <c r="AV318" s="327"/>
      <c r="AW318" s="327"/>
      <c r="AX318" s="327"/>
      <c r="AY318" s="184">
        <v>115693</v>
      </c>
      <c r="BA318" s="327">
        <v>462000</v>
      </c>
      <c r="BB318" s="327"/>
      <c r="BC318" s="327"/>
      <c r="BD318" s="327"/>
      <c r="BE318" s="327"/>
      <c r="BW318" s="323" t="s">
        <v>496</v>
      </c>
      <c r="BX318" s="323" t="s">
        <v>506</v>
      </c>
    </row>
    <row r="319" s="323" customFormat="1" customHeight="1" spans="1:76">
      <c r="A319" s="323">
        <v>229</v>
      </c>
      <c r="C319" s="323" t="s">
        <v>1344</v>
      </c>
      <c r="D319" s="343" t="s">
        <v>3067</v>
      </c>
      <c r="F319" s="338" t="s">
        <v>3068</v>
      </c>
      <c r="G319" s="337" t="s">
        <v>3069</v>
      </c>
      <c r="H319" s="839" t="s">
        <v>3070</v>
      </c>
      <c r="I319" s="364" t="s">
        <v>3071</v>
      </c>
      <c r="J319" s="323">
        <v>107.77</v>
      </c>
      <c r="K319" s="323">
        <v>107.77</v>
      </c>
      <c r="L319" s="323">
        <v>5231.88</v>
      </c>
      <c r="M319" s="366">
        <v>563840</v>
      </c>
      <c r="N319" s="367"/>
      <c r="O319" s="368">
        <v>517284.4</v>
      </c>
      <c r="P319" s="369" t="s">
        <v>3072</v>
      </c>
      <c r="Q319" s="369" t="s">
        <v>3041</v>
      </c>
      <c r="R319" s="327">
        <v>838</v>
      </c>
      <c r="S319" s="378" t="s">
        <v>404</v>
      </c>
      <c r="T319" s="381" t="s">
        <v>3073</v>
      </c>
      <c r="U319" s="378" t="s">
        <v>3074</v>
      </c>
      <c r="V319" s="327">
        <v>173003</v>
      </c>
      <c r="W319" s="323" t="s">
        <v>1344</v>
      </c>
      <c r="X319" s="327">
        <v>390000</v>
      </c>
      <c r="Y319" s="389" t="s">
        <v>2436</v>
      </c>
      <c r="Z319" s="327">
        <v>838</v>
      </c>
      <c r="AA319" s="378" t="s">
        <v>404</v>
      </c>
      <c r="AB319" s="327"/>
      <c r="AH319" s="327">
        <f t="shared" si="39"/>
        <v>563841</v>
      </c>
      <c r="AK319" s="328">
        <f t="shared" si="37"/>
        <v>-1</v>
      </c>
      <c r="AL319" s="338" t="s">
        <v>3075</v>
      </c>
      <c r="AM319" s="338"/>
      <c r="AN319" s="391"/>
      <c r="AO319" s="391"/>
      <c r="AP319" s="391"/>
      <c r="AQ319" s="332">
        <f>0.4%+0.04%+0.1%</f>
        <v>0.0054</v>
      </c>
      <c r="AR319" s="398">
        <f t="shared" si="35"/>
        <v>563003</v>
      </c>
      <c r="AS319" s="327">
        <f>100+100</f>
        <v>200</v>
      </c>
      <c r="AT319" s="327"/>
      <c r="AU319" s="327"/>
      <c r="AV319" s="327">
        <v>173003</v>
      </c>
      <c r="AW319" s="327"/>
      <c r="AX319" s="327"/>
      <c r="AY319" s="184">
        <v>390000</v>
      </c>
      <c r="BA319" s="327"/>
      <c r="BB319" s="327"/>
      <c r="BC319" s="327"/>
      <c r="BD319" s="327"/>
      <c r="BE319" s="327"/>
      <c r="BW319" s="323" t="s">
        <v>496</v>
      </c>
      <c r="BX319" s="323" t="s">
        <v>506</v>
      </c>
    </row>
    <row r="320" s="323" customFormat="1" customHeight="1" spans="1:76">
      <c r="A320" s="323">
        <v>230</v>
      </c>
      <c r="C320" s="323" t="s">
        <v>3076</v>
      </c>
      <c r="D320" s="343" t="s">
        <v>3077</v>
      </c>
      <c r="F320" s="338" t="s">
        <v>3078</v>
      </c>
      <c r="G320" s="337" t="s">
        <v>3079</v>
      </c>
      <c r="H320" s="839" t="s">
        <v>3080</v>
      </c>
      <c r="I320" s="361" t="s">
        <v>3081</v>
      </c>
      <c r="J320" s="323">
        <v>108.14</v>
      </c>
      <c r="K320" s="323">
        <v>108.14</v>
      </c>
      <c r="L320" s="323">
        <v>5230.38</v>
      </c>
      <c r="M320" s="366">
        <v>565614</v>
      </c>
      <c r="N320" s="367"/>
      <c r="O320" s="368">
        <v>518911.93</v>
      </c>
      <c r="P320" s="369" t="s">
        <v>3082</v>
      </c>
      <c r="Q320" s="369" t="s">
        <v>3041</v>
      </c>
      <c r="R320" s="327"/>
      <c r="S320" s="330"/>
      <c r="T320" s="331" t="s">
        <v>3083</v>
      </c>
      <c r="U320" s="378" t="s">
        <v>3084</v>
      </c>
      <c r="V320" s="327">
        <v>2000</v>
      </c>
      <c r="W320" s="380">
        <v>44757</v>
      </c>
      <c r="X320" s="327">
        <v>18000</v>
      </c>
      <c r="Y320" s="389" t="s">
        <v>1297</v>
      </c>
      <c r="Z320" s="327">
        <f>44777+500000</f>
        <v>544777</v>
      </c>
      <c r="AA320" s="323" t="s">
        <v>3076</v>
      </c>
      <c r="AB320" s="327"/>
      <c r="AH320" s="327">
        <f t="shared" si="39"/>
        <v>564777</v>
      </c>
      <c r="AK320" s="328">
        <f t="shared" si="37"/>
        <v>837</v>
      </c>
      <c r="AL320" s="338" t="s">
        <v>3085</v>
      </c>
      <c r="AM320" s="338"/>
      <c r="AN320" s="391"/>
      <c r="AO320" s="391"/>
      <c r="AP320" s="391"/>
      <c r="AQ320" s="332">
        <f>0.4%+0.1%</f>
        <v>0.005</v>
      </c>
      <c r="AR320" s="398">
        <f t="shared" si="35"/>
        <v>564777</v>
      </c>
      <c r="AS320" s="327">
        <f>100</f>
        <v>100</v>
      </c>
      <c r="AT320" s="327"/>
      <c r="AU320" s="327">
        <v>564777</v>
      </c>
      <c r="AV320" s="327"/>
      <c r="AW320" s="327"/>
      <c r="AX320" s="327"/>
      <c r="AY320" s="184"/>
      <c r="BA320" s="327"/>
      <c r="BB320" s="327"/>
      <c r="BC320" s="327"/>
      <c r="BD320" s="327"/>
      <c r="BE320" s="327"/>
      <c r="BW320" s="323" t="s">
        <v>496</v>
      </c>
      <c r="BX320" s="323" t="s">
        <v>506</v>
      </c>
    </row>
    <row r="321" s="323" customFormat="1" customHeight="1" spans="1:76">
      <c r="A321" s="323">
        <v>231</v>
      </c>
      <c r="C321" s="323" t="s">
        <v>872</v>
      </c>
      <c r="D321" s="343" t="s">
        <v>3086</v>
      </c>
      <c r="F321" s="338" t="s">
        <v>3087</v>
      </c>
      <c r="G321" s="323" t="s">
        <v>3088</v>
      </c>
      <c r="H321" s="833" t="s">
        <v>3089</v>
      </c>
      <c r="I321" s="361" t="s">
        <v>3090</v>
      </c>
      <c r="J321" s="323">
        <v>107.77</v>
      </c>
      <c r="K321" s="323">
        <v>107.77</v>
      </c>
      <c r="L321" s="323">
        <v>5276.88</v>
      </c>
      <c r="M321" s="366">
        <v>568689</v>
      </c>
      <c r="N321" s="367"/>
      <c r="O321" s="368">
        <v>521733.03</v>
      </c>
      <c r="P321" s="369" t="s">
        <v>3091</v>
      </c>
      <c r="Q321" s="369" t="s">
        <v>3041</v>
      </c>
      <c r="R321" s="327"/>
      <c r="S321" s="330"/>
      <c r="T321" s="381" t="s">
        <v>3092</v>
      </c>
      <c r="U321" s="378" t="s">
        <v>3093</v>
      </c>
      <c r="V321" s="327">
        <f>2000</f>
        <v>2000</v>
      </c>
      <c r="W321" s="379">
        <v>44768</v>
      </c>
      <c r="X321" s="327">
        <v>18000</v>
      </c>
      <c r="Y321" s="389" t="s">
        <v>1297</v>
      </c>
      <c r="Z321" s="327">
        <v>77845</v>
      </c>
      <c r="AA321" s="323">
        <v>2023.3</v>
      </c>
      <c r="AB321" s="327">
        <v>80000</v>
      </c>
      <c r="AC321" s="323" t="s">
        <v>2052</v>
      </c>
      <c r="AD321" s="327">
        <v>390000</v>
      </c>
      <c r="AE321" s="330" t="s">
        <v>2015</v>
      </c>
      <c r="AH321" s="327">
        <f t="shared" si="39"/>
        <v>567845</v>
      </c>
      <c r="AK321" s="328">
        <f t="shared" si="37"/>
        <v>844</v>
      </c>
      <c r="AL321" s="338" t="s">
        <v>3094</v>
      </c>
      <c r="AM321" s="338"/>
      <c r="AN321" s="391"/>
      <c r="AO321" s="391"/>
      <c r="AP321" s="391"/>
      <c r="AQ321" s="332">
        <f>0.4%+0.04%+0.1%+0.04%</f>
        <v>0.0058</v>
      </c>
      <c r="AR321" s="398">
        <f t="shared" si="35"/>
        <v>567845</v>
      </c>
      <c r="AS321" s="327"/>
      <c r="AT321" s="327">
        <v>100</v>
      </c>
      <c r="AU321" s="327"/>
      <c r="AV321" s="327"/>
      <c r="AW321" s="327">
        <v>177845</v>
      </c>
      <c r="AX321" s="327"/>
      <c r="AY321" s="184"/>
      <c r="BA321" s="327"/>
      <c r="BB321" s="327">
        <v>390000</v>
      </c>
      <c r="BC321" s="327"/>
      <c r="BD321" s="327"/>
      <c r="BE321" s="327"/>
      <c r="BW321" s="323" t="s">
        <v>496</v>
      </c>
      <c r="BX321" s="323" t="s">
        <v>506</v>
      </c>
    </row>
    <row r="322" s="323" customFormat="1" customHeight="1" spans="1:76">
      <c r="A322" s="323">
        <v>232</v>
      </c>
      <c r="C322" s="323" t="s">
        <v>1276</v>
      </c>
      <c r="D322" s="343" t="s">
        <v>3095</v>
      </c>
      <c r="F322" s="338" t="s">
        <v>3096</v>
      </c>
      <c r="G322" s="323" t="s">
        <v>3097</v>
      </c>
      <c r="H322" s="839" t="s">
        <v>761</v>
      </c>
      <c r="I322" s="361" t="s">
        <v>3098</v>
      </c>
      <c r="J322" s="323">
        <v>108.14</v>
      </c>
      <c r="K322" s="323">
        <v>108.14</v>
      </c>
      <c r="L322" s="323">
        <v>5275.38</v>
      </c>
      <c r="M322" s="366">
        <v>570480</v>
      </c>
      <c r="N322" s="367"/>
      <c r="O322" s="368">
        <v>523376.15</v>
      </c>
      <c r="P322" s="369" t="s">
        <v>3099</v>
      </c>
      <c r="Q322" s="369" t="s">
        <v>3041</v>
      </c>
      <c r="R322" s="327"/>
      <c r="S322" s="330"/>
      <c r="T322" s="331" t="s">
        <v>3100</v>
      </c>
      <c r="U322" s="330" t="s">
        <v>3101</v>
      </c>
      <c r="V322" s="327">
        <v>289636</v>
      </c>
      <c r="W322" s="323" t="s">
        <v>1276</v>
      </c>
      <c r="X322" s="327">
        <v>280000</v>
      </c>
      <c r="Y322" s="323" t="s">
        <v>1283</v>
      </c>
      <c r="Z322" s="327"/>
      <c r="AB322" s="327"/>
      <c r="AH322" s="327">
        <f t="shared" si="39"/>
        <v>569636</v>
      </c>
      <c r="AK322" s="328">
        <f t="shared" si="37"/>
        <v>844</v>
      </c>
      <c r="AL322" s="338" t="s">
        <v>3102</v>
      </c>
      <c r="AM322" s="338"/>
      <c r="AN322" s="391"/>
      <c r="AO322" s="391"/>
      <c r="AP322" s="391"/>
      <c r="AQ322" s="332">
        <f>0.4%+0.1%</f>
        <v>0.005</v>
      </c>
      <c r="AR322" s="398">
        <f t="shared" si="35"/>
        <v>569636</v>
      </c>
      <c r="AS322" s="327">
        <v>100</v>
      </c>
      <c r="AT322" s="327"/>
      <c r="AU322" s="327"/>
      <c r="AV322" s="327">
        <v>569636</v>
      </c>
      <c r="AW322" s="327"/>
      <c r="AX322" s="327"/>
      <c r="AY322" s="184"/>
      <c r="BA322" s="327"/>
      <c r="BB322" s="327"/>
      <c r="BC322" s="327"/>
      <c r="BD322" s="327"/>
      <c r="BE322" s="327"/>
      <c r="BW322" s="323" t="s">
        <v>496</v>
      </c>
      <c r="BX322" s="323" t="s">
        <v>506</v>
      </c>
    </row>
    <row r="323" s="323" customFormat="1" customHeight="1" spans="1:76">
      <c r="A323" s="323">
        <v>233</v>
      </c>
      <c r="C323" s="323" t="s">
        <v>1382</v>
      </c>
      <c r="D323" s="343" t="s">
        <v>3103</v>
      </c>
      <c r="F323" s="338" t="s">
        <v>3104</v>
      </c>
      <c r="G323" s="323" t="s">
        <v>3105</v>
      </c>
      <c r="H323" s="833" t="s">
        <v>3106</v>
      </c>
      <c r="I323" s="361" t="s">
        <v>3107</v>
      </c>
      <c r="J323" s="323">
        <v>107.77</v>
      </c>
      <c r="K323" s="323">
        <v>107.77</v>
      </c>
      <c r="L323" s="323">
        <v>5321.88</v>
      </c>
      <c r="M323" s="366">
        <v>573539</v>
      </c>
      <c r="N323" s="367"/>
      <c r="O323" s="368">
        <v>526182.57</v>
      </c>
      <c r="P323" s="369" t="s">
        <v>3108</v>
      </c>
      <c r="Q323" s="369" t="s">
        <v>3041</v>
      </c>
      <c r="R323" s="327"/>
      <c r="S323" s="330"/>
      <c r="T323" s="331" t="s">
        <v>3109</v>
      </c>
      <c r="U323" s="330" t="s">
        <v>3110</v>
      </c>
      <c r="V323" s="327">
        <v>2000</v>
      </c>
      <c r="W323" s="380">
        <v>44752</v>
      </c>
      <c r="X323" s="327">
        <v>18000</v>
      </c>
      <c r="Y323" s="389" t="s">
        <v>1297</v>
      </c>
      <c r="Z323" s="327">
        <f>40000+173688</f>
        <v>213688</v>
      </c>
      <c r="AA323" s="323" t="s">
        <v>1382</v>
      </c>
      <c r="AB323" s="327">
        <v>40000</v>
      </c>
      <c r="AC323" s="323" t="s">
        <v>1039</v>
      </c>
      <c r="AD323" s="323">
        <v>299000</v>
      </c>
      <c r="AE323" s="323" t="s">
        <v>2301</v>
      </c>
      <c r="AH323" s="327">
        <f t="shared" si="39"/>
        <v>572688</v>
      </c>
      <c r="AK323" s="328">
        <f t="shared" si="37"/>
        <v>851</v>
      </c>
      <c r="AL323" s="338" t="s">
        <v>3111</v>
      </c>
      <c r="AM323" s="338"/>
      <c r="AN323" s="391"/>
      <c r="AO323" s="391"/>
      <c r="AP323" s="391"/>
      <c r="AQ323" s="332">
        <f>0.6%+0.04%+0.1%</f>
        <v>0.0074</v>
      </c>
      <c r="AR323" s="398">
        <f t="shared" si="35"/>
        <v>572688</v>
      </c>
      <c r="AS323" s="327"/>
      <c r="AT323" s="327"/>
      <c r="AU323" s="327"/>
      <c r="AV323" s="327"/>
      <c r="AW323" s="327">
        <v>273688</v>
      </c>
      <c r="AX323" s="327"/>
      <c r="AY323" s="184">
        <v>299000</v>
      </c>
      <c r="BA323" s="327"/>
      <c r="BB323" s="327"/>
      <c r="BC323" s="327"/>
      <c r="BD323" s="327"/>
      <c r="BE323" s="327"/>
      <c r="BW323" s="323" t="s">
        <v>496</v>
      </c>
      <c r="BX323" s="323" t="s">
        <v>506</v>
      </c>
    </row>
    <row r="324" s="323" customFormat="1" customHeight="1" spans="1:76">
      <c r="A324" s="323">
        <v>234</v>
      </c>
      <c r="C324" s="323" t="s">
        <v>1276</v>
      </c>
      <c r="D324" s="343" t="s">
        <v>3112</v>
      </c>
      <c r="F324" s="338" t="s">
        <v>913</v>
      </c>
      <c r="G324" s="337" t="s">
        <v>3113</v>
      </c>
      <c r="H324" s="839" t="s">
        <v>3114</v>
      </c>
      <c r="I324" s="361" t="s">
        <v>3115</v>
      </c>
      <c r="J324" s="323">
        <v>108.14</v>
      </c>
      <c r="K324" s="323">
        <v>108.14</v>
      </c>
      <c r="L324" s="323">
        <v>5320.38</v>
      </c>
      <c r="M324" s="366">
        <v>575346</v>
      </c>
      <c r="N324" s="367"/>
      <c r="O324" s="368">
        <v>527840.37</v>
      </c>
      <c r="P324" s="369" t="s">
        <v>3116</v>
      </c>
      <c r="Q324" s="369" t="s">
        <v>3041</v>
      </c>
      <c r="R324" s="327"/>
      <c r="S324" s="378"/>
      <c r="T324" s="381" t="s">
        <v>3117</v>
      </c>
      <c r="U324" s="378" t="s">
        <v>3118</v>
      </c>
      <c r="V324" s="327">
        <v>174495</v>
      </c>
      <c r="W324" s="323" t="s">
        <v>1276</v>
      </c>
      <c r="X324" s="327">
        <v>400000</v>
      </c>
      <c r="Y324" s="389" t="s">
        <v>1815</v>
      </c>
      <c r="Z324" s="327"/>
      <c r="AB324" s="327"/>
      <c r="AH324" s="327">
        <f t="shared" si="39"/>
        <v>574495</v>
      </c>
      <c r="AK324" s="328">
        <f t="shared" si="37"/>
        <v>851</v>
      </c>
      <c r="AL324" s="338" t="s">
        <v>3119</v>
      </c>
      <c r="AM324" s="338"/>
      <c r="AN324" s="391"/>
      <c r="AO324" s="391"/>
      <c r="AP324" s="391"/>
      <c r="AQ324" s="332">
        <f>0.4%+0.04%+0.1%</f>
        <v>0.0054</v>
      </c>
      <c r="AR324" s="398">
        <f t="shared" si="35"/>
        <v>574495</v>
      </c>
      <c r="AS324" s="327">
        <f>100</f>
        <v>100</v>
      </c>
      <c r="AT324" s="327">
        <f>100+100</f>
        <v>200</v>
      </c>
      <c r="AU324" s="327"/>
      <c r="AV324" s="327">
        <v>574495</v>
      </c>
      <c r="AW324" s="327"/>
      <c r="AX324" s="327"/>
      <c r="AY324" s="184"/>
      <c r="BA324" s="327"/>
      <c r="BB324" s="327"/>
      <c r="BC324" s="327"/>
      <c r="BD324" s="327"/>
      <c r="BE324" s="327"/>
      <c r="BW324" s="323" t="s">
        <v>496</v>
      </c>
      <c r="BX324" s="323" t="s">
        <v>506</v>
      </c>
    </row>
    <row r="325" s="323" customFormat="1" customHeight="1" spans="1:76">
      <c r="A325" s="323">
        <v>235</v>
      </c>
      <c r="C325" s="323" t="s">
        <v>2301</v>
      </c>
      <c r="D325" s="343" t="s">
        <v>3120</v>
      </c>
      <c r="F325" s="338" t="s">
        <v>3121</v>
      </c>
      <c r="G325" s="323" t="s">
        <v>3122</v>
      </c>
      <c r="H325" s="833" t="s">
        <v>3123</v>
      </c>
      <c r="I325" s="364" t="s">
        <v>3124</v>
      </c>
      <c r="J325" s="323">
        <v>107.77</v>
      </c>
      <c r="K325" s="323">
        <v>107.77</v>
      </c>
      <c r="L325" s="323">
        <v>5631.64</v>
      </c>
      <c r="M325" s="366">
        <v>606922</v>
      </c>
      <c r="N325" s="367">
        <v>5581.64</v>
      </c>
      <c r="O325" s="368">
        <v>556809.17</v>
      </c>
      <c r="P325" s="369" t="s">
        <v>3125</v>
      </c>
      <c r="Q325" s="369" t="s">
        <v>3041</v>
      </c>
      <c r="R325" s="327"/>
      <c r="S325" s="330"/>
      <c r="T325" s="330" t="s">
        <v>3122</v>
      </c>
      <c r="U325" s="330" t="s">
        <v>3126</v>
      </c>
      <c r="V325" s="327">
        <v>20000</v>
      </c>
      <c r="W325" s="380" t="s">
        <v>2170</v>
      </c>
      <c r="X325" s="327">
        <v>166021</v>
      </c>
      <c r="Y325" s="389" t="s">
        <v>989</v>
      </c>
      <c r="Z325" s="327">
        <v>160000</v>
      </c>
      <c r="AA325" s="323" t="s">
        <v>2301</v>
      </c>
      <c r="AB325" s="327">
        <v>260000</v>
      </c>
      <c r="AC325" s="323" t="s">
        <v>1535</v>
      </c>
      <c r="AH325" s="327">
        <f t="shared" si="39"/>
        <v>606021</v>
      </c>
      <c r="AK325" s="328">
        <f t="shared" si="37"/>
        <v>901</v>
      </c>
      <c r="AL325" s="338" t="s">
        <v>3127</v>
      </c>
      <c r="AM325" s="338"/>
      <c r="AN325" s="391"/>
      <c r="AO325" s="391"/>
      <c r="AP325" s="391"/>
      <c r="AQ325" s="332">
        <f>0.6%+0.05%+0.14%</f>
        <v>0.0079</v>
      </c>
      <c r="AR325" s="398">
        <f t="shared" si="35"/>
        <v>606021</v>
      </c>
      <c r="AS325" s="327"/>
      <c r="AT325" s="327"/>
      <c r="AU325" s="327"/>
      <c r="AV325" s="327"/>
      <c r="AW325" s="327"/>
      <c r="AX325" s="327"/>
      <c r="AY325" s="184">
        <v>606021</v>
      </c>
      <c r="BA325" s="327"/>
      <c r="BB325" s="327"/>
      <c r="BC325" s="327"/>
      <c r="BD325" s="327"/>
      <c r="BE325" s="327"/>
      <c r="BW325" s="323" t="s">
        <v>496</v>
      </c>
      <c r="BX325" s="323" t="s">
        <v>506</v>
      </c>
    </row>
    <row r="326" s="323" customFormat="1" customHeight="1" spans="1:76">
      <c r="A326" s="323">
        <v>236</v>
      </c>
      <c r="C326" s="323" t="s">
        <v>1245</v>
      </c>
      <c r="D326" s="343" t="s">
        <v>3128</v>
      </c>
      <c r="F326" s="338" t="s">
        <v>3129</v>
      </c>
      <c r="G326" s="323" t="s">
        <v>3130</v>
      </c>
      <c r="H326" s="833" t="s">
        <v>3131</v>
      </c>
      <c r="I326" s="361" t="s">
        <v>3132</v>
      </c>
      <c r="J326" s="323">
        <v>108.14</v>
      </c>
      <c r="K326" s="323">
        <v>108.14</v>
      </c>
      <c r="L326" s="323">
        <v>5345.38</v>
      </c>
      <c r="M326" s="366">
        <v>578049</v>
      </c>
      <c r="N326" s="367"/>
      <c r="O326" s="368">
        <v>530320.18</v>
      </c>
      <c r="P326" s="369" t="s">
        <v>3133</v>
      </c>
      <c r="Q326" s="369" t="s">
        <v>2567</v>
      </c>
      <c r="R326" s="327"/>
      <c r="S326" s="330"/>
      <c r="T326" s="331" t="s">
        <v>3134</v>
      </c>
      <c r="U326" s="330" t="s">
        <v>3135</v>
      </c>
      <c r="V326" s="327">
        <v>177194</v>
      </c>
      <c r="W326" s="323" t="s">
        <v>1245</v>
      </c>
      <c r="X326" s="327">
        <v>400000</v>
      </c>
      <c r="Y326" s="323" t="s">
        <v>1283</v>
      </c>
      <c r="Z326" s="327"/>
      <c r="AB326" s="327"/>
      <c r="AH326" s="327">
        <f t="shared" si="39"/>
        <v>577194</v>
      </c>
      <c r="AK326" s="328">
        <f t="shared" si="37"/>
        <v>855</v>
      </c>
      <c r="AL326" s="338" t="s">
        <v>3136</v>
      </c>
      <c r="AM326" s="338"/>
      <c r="AN326" s="391"/>
      <c r="AO326" s="391"/>
      <c r="AP326" s="391"/>
      <c r="AQ326" s="332">
        <f>0.6%+0.1%</f>
        <v>0.007</v>
      </c>
      <c r="AR326" s="398">
        <f t="shared" ref="AR326:AR332" si="40">SUM(AU326:BR326)</f>
        <v>577194</v>
      </c>
      <c r="AS326" s="327"/>
      <c r="AT326" s="327"/>
      <c r="AU326" s="327"/>
      <c r="AV326" s="327">
        <v>577194</v>
      </c>
      <c r="AW326" s="327"/>
      <c r="AX326" s="327"/>
      <c r="AY326" s="184"/>
      <c r="BA326" s="327"/>
      <c r="BB326" s="327"/>
      <c r="BC326" s="327"/>
      <c r="BD326" s="327"/>
      <c r="BE326" s="327"/>
      <c r="BW326" s="323" t="s">
        <v>496</v>
      </c>
      <c r="BX326" s="323" t="s">
        <v>506</v>
      </c>
    </row>
    <row r="327" s="323" customFormat="1" customHeight="1" spans="1:76">
      <c r="A327" s="323">
        <v>237</v>
      </c>
      <c r="C327" s="323" t="s">
        <v>1630</v>
      </c>
      <c r="D327" s="343" t="s">
        <v>3137</v>
      </c>
      <c r="F327" s="338" t="s">
        <v>3138</v>
      </c>
      <c r="G327" s="323" t="s">
        <v>2724</v>
      </c>
      <c r="H327" s="833" t="s">
        <v>3139</v>
      </c>
      <c r="I327" s="364" t="s">
        <v>3140</v>
      </c>
      <c r="J327" s="323">
        <v>107.77</v>
      </c>
      <c r="K327" s="323">
        <v>107.77</v>
      </c>
      <c r="L327" s="323">
        <v>5668.618</v>
      </c>
      <c r="M327" s="366">
        <v>610907</v>
      </c>
      <c r="N327" s="367">
        <v>5028.14</v>
      </c>
      <c r="O327" s="368">
        <v>560465.14</v>
      </c>
      <c r="P327" s="369" t="s">
        <v>3141</v>
      </c>
      <c r="Q327" s="369" t="s">
        <v>2567</v>
      </c>
      <c r="R327" s="327"/>
      <c r="S327" s="330"/>
      <c r="T327" s="323" t="s">
        <v>2724</v>
      </c>
      <c r="U327" s="330" t="s">
        <v>524</v>
      </c>
      <c r="V327" s="327">
        <v>20000</v>
      </c>
      <c r="W327" s="380" t="s">
        <v>2947</v>
      </c>
      <c r="X327" s="327">
        <v>102000</v>
      </c>
      <c r="Y327" s="389" t="s">
        <v>1630</v>
      </c>
      <c r="Z327" s="327">
        <v>488000</v>
      </c>
      <c r="AA327" s="330" t="s">
        <v>3142</v>
      </c>
      <c r="AB327" s="327"/>
      <c r="AH327" s="327">
        <f t="shared" si="39"/>
        <v>610000</v>
      </c>
      <c r="AK327" s="328">
        <f t="shared" si="37"/>
        <v>907</v>
      </c>
      <c r="AL327" s="338" t="s">
        <v>3143</v>
      </c>
      <c r="AM327" s="338"/>
      <c r="AN327" s="391"/>
      <c r="AO327" s="391"/>
      <c r="AP327" s="391"/>
      <c r="AQ327" s="332">
        <f>0.6%+0.05%+0.14%+0.06%</f>
        <v>0.0085</v>
      </c>
      <c r="AR327" s="398">
        <f t="shared" si="40"/>
        <v>610000</v>
      </c>
      <c r="AS327" s="327"/>
      <c r="AT327" s="327"/>
      <c r="AU327" s="327"/>
      <c r="AV327" s="327"/>
      <c r="AW327" s="327">
        <v>122000</v>
      </c>
      <c r="AX327" s="327"/>
      <c r="AY327" s="184"/>
      <c r="BA327" s="327"/>
      <c r="BB327" s="327"/>
      <c r="BC327" s="327">
        <v>488000</v>
      </c>
      <c r="BD327" s="327"/>
      <c r="BE327" s="327"/>
      <c r="BW327" s="323" t="s">
        <v>496</v>
      </c>
      <c r="BX327" s="323" t="s">
        <v>506</v>
      </c>
    </row>
    <row r="328" s="323" customFormat="1" customHeight="1" spans="1:76">
      <c r="A328" s="323">
        <v>238</v>
      </c>
      <c r="C328" s="323" t="s">
        <v>2426</v>
      </c>
      <c r="D328" s="343" t="s">
        <v>3144</v>
      </c>
      <c r="F328" s="338" t="s">
        <v>3145</v>
      </c>
      <c r="G328" s="323" t="s">
        <v>3146</v>
      </c>
      <c r="H328" s="833" t="s">
        <v>3147</v>
      </c>
      <c r="I328" s="361" t="s">
        <v>3148</v>
      </c>
      <c r="J328" s="323">
        <v>108.14</v>
      </c>
      <c r="K328" s="323">
        <v>108.14</v>
      </c>
      <c r="L328" s="323">
        <v>5676.54</v>
      </c>
      <c r="M328" s="366">
        <v>613861</v>
      </c>
      <c r="N328" s="367">
        <v>5626.54</v>
      </c>
      <c r="O328" s="368">
        <v>563175.23</v>
      </c>
      <c r="P328" s="369" t="s">
        <v>3149</v>
      </c>
      <c r="Q328" s="369" t="s">
        <v>2567</v>
      </c>
      <c r="R328" s="327"/>
      <c r="S328" s="330"/>
      <c r="T328" s="323" t="s">
        <v>3150</v>
      </c>
      <c r="U328" s="323" t="s">
        <v>3151</v>
      </c>
      <c r="V328" s="327">
        <v>20000</v>
      </c>
      <c r="W328" s="380" t="s">
        <v>1514</v>
      </c>
      <c r="X328" s="327">
        <v>2953</v>
      </c>
      <c r="Y328" s="389" t="s">
        <v>2426</v>
      </c>
      <c r="Z328" s="327">
        <v>100000</v>
      </c>
      <c r="AA328" s="330" t="s">
        <v>2161</v>
      </c>
      <c r="AB328" s="327">
        <v>490000</v>
      </c>
      <c r="AC328" s="330" t="s">
        <v>1048</v>
      </c>
      <c r="AD328" s="327">
        <v>909</v>
      </c>
      <c r="AE328" s="330" t="s">
        <v>2407</v>
      </c>
      <c r="AH328" s="327">
        <f t="shared" si="39"/>
        <v>613862</v>
      </c>
      <c r="AK328" s="328">
        <f t="shared" si="37"/>
        <v>-1</v>
      </c>
      <c r="AL328" s="338" t="s">
        <v>3152</v>
      </c>
      <c r="AM328" s="338"/>
      <c r="AN328" s="391"/>
      <c r="AO328" s="391"/>
      <c r="AP328" s="391"/>
      <c r="AQ328" s="332">
        <f>0.6%+0.06%+0.14%+0.06%</f>
        <v>0.0086</v>
      </c>
      <c r="AR328" s="398">
        <f t="shared" si="40"/>
        <v>612953</v>
      </c>
      <c r="AS328" s="327"/>
      <c r="AT328" s="327"/>
      <c r="AU328" s="327"/>
      <c r="AV328" s="327"/>
      <c r="AW328" s="327"/>
      <c r="AX328" s="327"/>
      <c r="AY328" s="184"/>
      <c r="BA328" s="327">
        <v>122953</v>
      </c>
      <c r="BB328" s="327">
        <v>490000</v>
      </c>
      <c r="BC328" s="327"/>
      <c r="BD328" s="327"/>
      <c r="BE328" s="327"/>
      <c r="BW328" s="323" t="s">
        <v>496</v>
      </c>
      <c r="BX328" s="323" t="s">
        <v>506</v>
      </c>
    </row>
    <row r="329" s="323" customFormat="1" customHeight="1" spans="1:76">
      <c r="A329" s="323">
        <v>239</v>
      </c>
      <c r="C329" s="323" t="s">
        <v>2470</v>
      </c>
      <c r="D329" s="343" t="s">
        <v>3153</v>
      </c>
      <c r="F329" s="836" t="s">
        <v>3154</v>
      </c>
      <c r="G329" s="342" t="s">
        <v>3155</v>
      </c>
      <c r="I329" s="364" t="s">
        <v>3156</v>
      </c>
      <c r="J329" s="323">
        <v>107.77</v>
      </c>
      <c r="K329" s="323">
        <v>107.77</v>
      </c>
      <c r="L329" s="323">
        <v>5960</v>
      </c>
      <c r="M329" s="366">
        <v>642309</v>
      </c>
      <c r="N329" s="367">
        <v>5948.81</v>
      </c>
      <c r="O329" s="368">
        <v>589274.31</v>
      </c>
      <c r="P329" s="369" t="s">
        <v>3157</v>
      </c>
      <c r="Q329" s="369" t="s">
        <v>2567</v>
      </c>
      <c r="R329" s="327"/>
      <c r="S329" s="330"/>
      <c r="T329" s="330"/>
      <c r="U329" s="330" t="s">
        <v>502</v>
      </c>
      <c r="V329" s="327">
        <v>24688</v>
      </c>
      <c r="W329" s="330" t="s">
        <v>1826</v>
      </c>
      <c r="X329" s="327">
        <v>106668</v>
      </c>
      <c r="Y329" s="330" t="s">
        <v>2470</v>
      </c>
      <c r="Z329" s="327">
        <v>510000</v>
      </c>
      <c r="AA329" s="323" t="s">
        <v>3142</v>
      </c>
      <c r="AB329" s="327"/>
      <c r="AH329" s="327">
        <f t="shared" si="39"/>
        <v>641356</v>
      </c>
      <c r="AK329" s="328">
        <f t="shared" si="37"/>
        <v>953</v>
      </c>
      <c r="AL329" s="338"/>
      <c r="AM329" s="338"/>
      <c r="AN329" s="391"/>
      <c r="AO329" s="391"/>
      <c r="AP329" s="391"/>
      <c r="AQ329" s="479">
        <f>0.5%+0.12%</f>
        <v>0.0062</v>
      </c>
      <c r="AR329" s="398">
        <f t="shared" si="40"/>
        <v>641356</v>
      </c>
      <c r="AS329" s="327"/>
      <c r="AT329" s="327"/>
      <c r="AU329" s="327"/>
      <c r="AV329" s="327"/>
      <c r="AW329" s="327"/>
      <c r="AX329" s="327"/>
      <c r="AY329" s="184"/>
      <c r="BA329" s="327"/>
      <c r="BB329" s="327"/>
      <c r="BC329" s="327">
        <v>641356</v>
      </c>
      <c r="BD329" s="327"/>
      <c r="BE329" s="327"/>
      <c r="BW329" s="323" t="s">
        <v>496</v>
      </c>
      <c r="BX329" s="323" t="s">
        <v>506</v>
      </c>
    </row>
    <row r="330" s="323" customFormat="1" customHeight="1" spans="1:76">
      <c r="A330" s="323">
        <v>240</v>
      </c>
      <c r="C330" s="323" t="s">
        <v>2054</v>
      </c>
      <c r="D330" s="343" t="s">
        <v>3158</v>
      </c>
      <c r="F330" s="338" t="s">
        <v>3159</v>
      </c>
      <c r="G330" s="323" t="s">
        <v>3160</v>
      </c>
      <c r="H330" s="833" t="s">
        <v>3161</v>
      </c>
      <c r="I330" s="361" t="s">
        <v>3162</v>
      </c>
      <c r="J330" s="323">
        <v>108.14</v>
      </c>
      <c r="K330" s="323">
        <v>108.14</v>
      </c>
      <c r="L330" s="323">
        <v>5960</v>
      </c>
      <c r="M330" s="366">
        <v>644514</v>
      </c>
      <c r="N330" s="367">
        <v>5947.21</v>
      </c>
      <c r="O330" s="368">
        <v>591297.25</v>
      </c>
      <c r="P330" s="369" t="s">
        <v>3163</v>
      </c>
      <c r="Q330" s="369" t="s">
        <v>2567</v>
      </c>
      <c r="R330" s="327"/>
      <c r="S330" s="330"/>
      <c r="T330" s="330"/>
      <c r="U330" s="330" t="s">
        <v>721</v>
      </c>
      <c r="V330" s="327">
        <v>20000</v>
      </c>
      <c r="W330" s="330" t="s">
        <v>2346</v>
      </c>
      <c r="X330" s="327">
        <v>173561</v>
      </c>
      <c r="Y330" s="330" t="s">
        <v>2054</v>
      </c>
      <c r="Z330" s="327">
        <v>450000</v>
      </c>
      <c r="AA330" s="323" t="s">
        <v>1524</v>
      </c>
      <c r="AB330" s="327"/>
      <c r="AH330" s="327">
        <f t="shared" si="39"/>
        <v>643561</v>
      </c>
      <c r="AK330" s="328">
        <f t="shared" si="37"/>
        <v>953</v>
      </c>
      <c r="AL330" s="338" t="s">
        <v>3164</v>
      </c>
      <c r="AM330" s="338"/>
      <c r="AN330" s="391"/>
      <c r="AO330" s="391"/>
      <c r="AP330" s="391"/>
      <c r="AQ330" s="478">
        <f>0.7%+0.05%+0.12%</f>
        <v>0.0087</v>
      </c>
      <c r="AR330" s="398">
        <f t="shared" si="40"/>
        <v>643561</v>
      </c>
      <c r="AS330" s="327"/>
      <c r="AT330" s="327">
        <v>100</v>
      </c>
      <c r="AU330" s="327"/>
      <c r="AV330" s="327"/>
      <c r="AW330" s="327"/>
      <c r="AX330" s="327"/>
      <c r="AY330" s="184"/>
      <c r="BA330" s="327"/>
      <c r="BB330" s="327"/>
      <c r="BC330" s="327">
        <v>193561</v>
      </c>
      <c r="BD330" s="327"/>
      <c r="BE330" s="327">
        <v>450000</v>
      </c>
      <c r="BW330" s="323" t="s">
        <v>496</v>
      </c>
      <c r="BX330" s="323" t="s">
        <v>506</v>
      </c>
    </row>
    <row r="331" s="323" customFormat="1" customHeight="1" spans="1:75">
      <c r="A331" s="323">
        <v>241</v>
      </c>
      <c r="B331" s="323"/>
      <c r="C331" s="380">
        <v>45534</v>
      </c>
      <c r="D331" s="343" t="s">
        <v>3165</v>
      </c>
      <c r="F331" s="338" t="s">
        <v>3166</v>
      </c>
      <c r="G331" s="323" t="s">
        <v>3167</v>
      </c>
      <c r="H331" s="833" t="s">
        <v>3168</v>
      </c>
      <c r="I331" s="364" t="s">
        <v>3169</v>
      </c>
      <c r="J331" s="323">
        <v>107.77</v>
      </c>
      <c r="K331" s="323">
        <v>107.77</v>
      </c>
      <c r="L331" s="323">
        <f>M331/K331</f>
        <v>7155.46998236986</v>
      </c>
      <c r="M331" s="366">
        <v>771145</v>
      </c>
      <c r="N331" s="367">
        <v>6985.5</v>
      </c>
      <c r="O331" s="368">
        <v>707472.48</v>
      </c>
      <c r="P331" s="369" t="s">
        <v>3170</v>
      </c>
      <c r="Q331" s="369" t="s">
        <v>3041</v>
      </c>
      <c r="R331" s="327"/>
      <c r="S331" s="330"/>
      <c r="T331" s="330"/>
      <c r="U331" s="330" t="s">
        <v>524</v>
      </c>
      <c r="V331" s="327">
        <v>20000</v>
      </c>
      <c r="W331" s="330" t="s">
        <v>682</v>
      </c>
      <c r="X331" s="327">
        <v>300000</v>
      </c>
      <c r="Y331" s="330">
        <v>45536</v>
      </c>
      <c r="Z331" s="327">
        <v>450000</v>
      </c>
      <c r="AA331" s="380">
        <v>45549</v>
      </c>
      <c r="AB331" s="327">
        <v>1145</v>
      </c>
      <c r="AC331" s="380">
        <v>45562</v>
      </c>
      <c r="AH331" s="327">
        <f t="shared" si="39"/>
        <v>771145</v>
      </c>
      <c r="AK331" s="328">
        <f t="shared" si="37"/>
        <v>0</v>
      </c>
      <c r="AL331" s="338" t="s">
        <v>3171</v>
      </c>
      <c r="AM331" s="338"/>
      <c r="AN331" s="391"/>
      <c r="AO331" s="391"/>
      <c r="AP331" s="391"/>
      <c r="AQ331" s="332">
        <f>0.7%+0.08%</f>
        <v>0.0078</v>
      </c>
      <c r="AR331" s="398">
        <f t="shared" si="40"/>
        <v>771145</v>
      </c>
      <c r="AS331" s="327">
        <f>100</f>
        <v>100</v>
      </c>
      <c r="AT331" s="327"/>
      <c r="AU331" s="327"/>
      <c r="AV331" s="327"/>
      <c r="AW331" s="327"/>
      <c r="AX331" s="327"/>
      <c r="AY331" s="184"/>
      <c r="BA331" s="327"/>
      <c r="BB331" s="327"/>
      <c r="BC331" s="327"/>
      <c r="BD331" s="327"/>
      <c r="BE331" s="327"/>
      <c r="BN331" s="323">
        <v>771145</v>
      </c>
      <c r="BO331" s="323"/>
      <c r="BW331" s="323" t="s">
        <v>496</v>
      </c>
    </row>
    <row r="332" s="323" customFormat="1" ht="54" customHeight="1" spans="1:76">
      <c r="A332" s="323">
        <v>242</v>
      </c>
      <c r="C332" s="323" t="s">
        <v>741</v>
      </c>
      <c r="D332" s="343" t="s">
        <v>3172</v>
      </c>
      <c r="F332" s="833" t="s">
        <v>3173</v>
      </c>
      <c r="G332" s="337" t="s">
        <v>3174</v>
      </c>
      <c r="H332" s="839" t="s">
        <v>3175</v>
      </c>
      <c r="I332" s="361" t="s">
        <v>3176</v>
      </c>
      <c r="J332" s="323">
        <v>108.14</v>
      </c>
      <c r="K332" s="323">
        <v>108.14</v>
      </c>
      <c r="L332" s="323">
        <v>6973.51</v>
      </c>
      <c r="M332" s="366">
        <v>754115</v>
      </c>
      <c r="N332" s="367">
        <v>6782</v>
      </c>
      <c r="O332" s="368">
        <v>691848.62</v>
      </c>
      <c r="P332" s="369" t="s">
        <v>3177</v>
      </c>
      <c r="Q332" s="369" t="s">
        <v>2567</v>
      </c>
      <c r="R332" s="327"/>
      <c r="S332" s="378"/>
      <c r="T332" s="378" t="s">
        <v>3178</v>
      </c>
      <c r="U332" s="378" t="s">
        <v>3179</v>
      </c>
      <c r="V332" s="327">
        <f>2000</f>
        <v>2000</v>
      </c>
      <c r="W332" s="379">
        <v>44762</v>
      </c>
      <c r="X332" s="327">
        <v>10000</v>
      </c>
      <c r="Y332" s="378" t="s">
        <v>3180</v>
      </c>
      <c r="Z332" s="327">
        <v>743000</v>
      </c>
      <c r="AA332" s="323" t="s">
        <v>741</v>
      </c>
      <c r="AB332" s="327"/>
      <c r="AH332" s="327">
        <f t="shared" si="39"/>
        <v>755000</v>
      </c>
      <c r="AK332" s="328">
        <f t="shared" si="37"/>
        <v>-885</v>
      </c>
      <c r="AL332" s="338" t="s">
        <v>3181</v>
      </c>
      <c r="AM332" s="338"/>
      <c r="AN332" s="391"/>
      <c r="AO332" s="391"/>
      <c r="AP332" s="391"/>
      <c r="AQ332" s="458">
        <f>0.5%+0.02%+0.08%</f>
        <v>0.006</v>
      </c>
      <c r="AR332" s="398">
        <f t="shared" si="40"/>
        <v>753000</v>
      </c>
      <c r="AS332" s="327">
        <f>100+100</f>
        <v>200</v>
      </c>
      <c r="AT332" s="327"/>
      <c r="AU332" s="327"/>
      <c r="AV332" s="327"/>
      <c r="AW332" s="327"/>
      <c r="AX332" s="327"/>
      <c r="AY332" s="184"/>
      <c r="BA332" s="327"/>
      <c r="BB332" s="327"/>
      <c r="BC332" s="327"/>
      <c r="BD332" s="327"/>
      <c r="BE332" s="327"/>
      <c r="BF332" s="323">
        <v>753000</v>
      </c>
      <c r="BW332" s="323" t="s">
        <v>496</v>
      </c>
      <c r="BX332" s="323" t="s">
        <v>506</v>
      </c>
    </row>
    <row r="333" s="324" customFormat="1" ht="36" customHeight="1" spans="1:74">
      <c r="A333" s="324" t="s">
        <v>59</v>
      </c>
      <c r="B333" s="324">
        <f>SUM(B23:B332)</f>
        <v>0</v>
      </c>
      <c r="E333" s="324">
        <f>SUM(E52:E332)</f>
        <v>0</v>
      </c>
      <c r="F333" s="324">
        <f>SUM(F52:F332)</f>
        <v>0</v>
      </c>
      <c r="I333" s="324">
        <f>SUM(I52:I332)</f>
        <v>0</v>
      </c>
      <c r="J333" s="490">
        <f>SUM(J4:J332)</f>
        <v>31331.37</v>
      </c>
      <c r="K333" s="490">
        <f>SUM(K4:K332)</f>
        <v>27181.73</v>
      </c>
      <c r="L333" s="490"/>
      <c r="M333" s="491">
        <f>SUM(M23:M332)</f>
        <v>159591395</v>
      </c>
      <c r="N333" s="492"/>
      <c r="O333" s="493">
        <f>SUM(O23:O332)</f>
        <v>133531898.19</v>
      </c>
      <c r="P333" s="494"/>
      <c r="Q333" s="494"/>
      <c r="R333" s="492">
        <f>SUM(R4:R332)</f>
        <v>2002987</v>
      </c>
      <c r="S333" s="495"/>
      <c r="T333" s="495"/>
      <c r="U333" s="495"/>
      <c r="V333" s="492">
        <f t="shared" ref="V333:Z333" si="41">SUM(V4:V332)</f>
        <v>23363461</v>
      </c>
      <c r="W333" s="490"/>
      <c r="X333" s="492">
        <f t="shared" si="41"/>
        <v>43166515</v>
      </c>
      <c r="Y333" s="490"/>
      <c r="Z333" s="492">
        <f t="shared" si="41"/>
        <v>50116011</v>
      </c>
      <c r="AA333" s="490"/>
      <c r="AB333" s="492">
        <f t="shared" ref="AB333:AF333" si="42">SUM(AB4:AB332)</f>
        <v>25612135</v>
      </c>
      <c r="AC333" s="490"/>
      <c r="AD333" s="492">
        <f t="shared" si="42"/>
        <v>10932829</v>
      </c>
      <c r="AE333" s="490"/>
      <c r="AF333" s="492">
        <f t="shared" si="42"/>
        <v>2763442</v>
      </c>
      <c r="AG333" s="490"/>
      <c r="AH333" s="492">
        <f t="shared" ref="AH333:AK333" si="43">SUM(AH4:AH332)</f>
        <v>155954393</v>
      </c>
      <c r="AI333" s="492">
        <f t="shared" si="43"/>
        <v>0</v>
      </c>
      <c r="AJ333" s="492">
        <f t="shared" si="43"/>
        <v>0</v>
      </c>
      <c r="AK333" s="493">
        <f t="shared" si="43"/>
        <v>4189442</v>
      </c>
      <c r="AL333" s="490"/>
      <c r="AM333" s="490"/>
      <c r="AN333" s="492">
        <f t="shared" ref="AN333:BQ333" si="44">SUM(AN4:AN332)</f>
        <v>0</v>
      </c>
      <c r="AO333" s="490"/>
      <c r="AP333" s="490"/>
      <c r="AQ333" s="490"/>
      <c r="AR333" s="492">
        <f t="shared" si="44"/>
        <v>149530360</v>
      </c>
      <c r="AS333" s="492">
        <f t="shared" si="44"/>
        <v>9900</v>
      </c>
      <c r="AT333" s="492">
        <f t="shared" si="44"/>
        <v>10800</v>
      </c>
      <c r="AU333" s="492">
        <f t="shared" si="44"/>
        <v>1217345</v>
      </c>
      <c r="AV333" s="492">
        <f t="shared" si="44"/>
        <v>23244883</v>
      </c>
      <c r="AW333" s="492">
        <f t="shared" si="44"/>
        <v>11104011</v>
      </c>
      <c r="AX333" s="492">
        <f t="shared" si="44"/>
        <v>9615172</v>
      </c>
      <c r="AY333" s="492">
        <f t="shared" si="44"/>
        <v>15433544</v>
      </c>
      <c r="AZ333" s="492">
        <f t="shared" si="44"/>
        <v>10096008</v>
      </c>
      <c r="BA333" s="492">
        <f t="shared" si="44"/>
        <v>21808723</v>
      </c>
      <c r="BB333" s="492">
        <f t="shared" si="44"/>
        <v>14547779</v>
      </c>
      <c r="BC333" s="492">
        <f t="shared" si="44"/>
        <v>10937909</v>
      </c>
      <c r="BD333" s="492">
        <f t="shared" si="44"/>
        <v>8786716</v>
      </c>
      <c r="BE333" s="492">
        <f t="shared" si="44"/>
        <v>5341191</v>
      </c>
      <c r="BF333" s="492">
        <f t="shared" si="44"/>
        <v>2736000</v>
      </c>
      <c r="BG333" s="492">
        <f t="shared" si="44"/>
        <v>4296362</v>
      </c>
      <c r="BH333" s="492">
        <f t="shared" si="44"/>
        <v>1299350</v>
      </c>
      <c r="BI333" s="492">
        <f t="shared" si="44"/>
        <v>1550860</v>
      </c>
      <c r="BJ333" s="492">
        <f t="shared" si="44"/>
        <v>667000</v>
      </c>
      <c r="BK333" s="492">
        <f t="shared" si="44"/>
        <v>2131360</v>
      </c>
      <c r="BL333" s="492">
        <f t="shared" si="44"/>
        <v>1572402</v>
      </c>
      <c r="BM333" s="492">
        <f t="shared" si="44"/>
        <v>780000</v>
      </c>
      <c r="BN333" s="492">
        <f t="shared" si="44"/>
        <v>2001345</v>
      </c>
      <c r="BO333" s="492">
        <f t="shared" si="44"/>
        <v>170040</v>
      </c>
      <c r="BP333" s="492">
        <f t="shared" si="44"/>
        <v>125320</v>
      </c>
      <c r="BQ333" s="492">
        <f t="shared" si="44"/>
        <v>67040</v>
      </c>
      <c r="BR333" s="490"/>
      <c r="BS333" s="492">
        <f>SUM(BS23:BS332)</f>
        <v>0</v>
      </c>
      <c r="BT333" s="502"/>
      <c r="BU333" s="502"/>
      <c r="BV333" s="492">
        <f>SUM(BV23:BV332)</f>
        <v>0</v>
      </c>
    </row>
    <row r="334" s="323" customFormat="1" customHeight="1" spans="13:73">
      <c r="M334" s="326"/>
      <c r="N334" s="327"/>
      <c r="O334" s="328"/>
      <c r="P334" s="329"/>
      <c r="Q334" s="329" t="s">
        <v>3182</v>
      </c>
      <c r="R334" s="327">
        <f>1974107+1</f>
        <v>1974108</v>
      </c>
      <c r="S334" s="330"/>
      <c r="T334" s="330"/>
      <c r="U334" s="330"/>
      <c r="V334" s="327"/>
      <c r="X334" s="327"/>
      <c r="Z334" s="327"/>
      <c r="AB334" s="327"/>
      <c r="AH334" s="327">
        <f>AH333/1.09</f>
        <v>143077424.770642</v>
      </c>
      <c r="AK334" s="328"/>
      <c r="AQ334" s="500"/>
      <c r="AR334" s="398"/>
      <c r="AS334" s="327"/>
      <c r="AT334" s="327"/>
      <c r="AU334" s="327"/>
      <c r="AV334" s="327"/>
      <c r="AW334" s="327"/>
      <c r="AX334" s="327"/>
      <c r="AY334" s="184"/>
      <c r="AZ334" s="135"/>
      <c r="BA334" s="327"/>
      <c r="BB334" s="327"/>
      <c r="BC334" s="327"/>
      <c r="BD334" s="327"/>
      <c r="BE334" s="327">
        <f>BE333+'画堂春锦苑1#2#3#5#7#楼住宅销售明细表'!BC440</f>
        <v>23680603</v>
      </c>
      <c r="BF334" s="327">
        <f>BF333+'画堂春锦苑1#2#3#5#7#楼住宅销售明细表'!BD440</f>
        <v>14744088</v>
      </c>
      <c r="BG334" s="327">
        <f>BG333+'画堂春锦苑1#2#3#5#7#楼住宅销售明细表'!BE440</f>
        <v>17542370</v>
      </c>
      <c r="BH334" s="327">
        <f>BH333+'画堂春锦苑1#2#3#5#7#楼住宅销售明细表'!BF440</f>
        <v>8892027</v>
      </c>
      <c r="BI334" s="327">
        <f>BI333+'画堂春锦苑1#2#3#5#7#楼住宅销售明细表'!BG440</f>
        <v>24731367</v>
      </c>
      <c r="BJ334" s="327">
        <f>BJ333+'画堂春锦苑1#2#3#5#7#楼住宅销售明细表'!BH440</f>
        <v>19278850</v>
      </c>
      <c r="BK334" s="327">
        <f>BK333+'画堂春锦苑1#2#3#5#7#楼住宅销售明细表'!BI440+'画堂春锦苑8#楼明细表'!AQ91</f>
        <v>15636944</v>
      </c>
      <c r="BL334" s="327"/>
      <c r="BM334" s="327"/>
      <c r="BN334" s="327">
        <f>BN333+'画堂春锦苑1#2#3#5#7#楼住宅销售明细表'!BM440+'画堂春锦苑8#楼明细表'!AU91</f>
        <v>10268484</v>
      </c>
      <c r="BO334" s="327">
        <f>BO333+'画堂春锦苑1#2#3#5#7#楼住宅销售明细表'!BN440+'画堂春锦苑8#楼明细表'!AV91+'画堂春锦苑住宅4#6#'!AQ168</f>
        <v>13587290</v>
      </c>
      <c r="BP334" s="327"/>
      <c r="BQ334" s="327"/>
      <c r="BS334" s="59"/>
      <c r="BT334" s="59"/>
      <c r="BU334" s="59"/>
    </row>
    <row r="335" s="323" customFormat="1" customHeight="1" spans="13:67">
      <c r="M335" s="326"/>
      <c r="N335" s="327"/>
      <c r="O335" s="328"/>
      <c r="P335" s="329"/>
      <c r="Q335" s="329" t="s">
        <v>98</v>
      </c>
      <c r="R335" s="327"/>
      <c r="S335" s="330" t="s">
        <v>3183</v>
      </c>
      <c r="T335" s="330"/>
      <c r="U335" s="330"/>
      <c r="V335" s="327"/>
      <c r="X335" s="327"/>
      <c r="Z335" s="327"/>
      <c r="AB335" s="327"/>
      <c r="AH335" s="327"/>
      <c r="AK335" s="328"/>
      <c r="AQ335" s="500"/>
      <c r="AR335" s="398"/>
      <c r="AS335" s="327"/>
      <c r="AT335" s="327"/>
      <c r="AU335" s="332"/>
      <c r="AV335" s="332"/>
      <c r="AW335" s="332"/>
      <c r="AX335" s="332"/>
      <c r="AY335" s="198"/>
      <c r="AZ335" s="198"/>
      <c r="BA335" s="332"/>
      <c r="BB335" s="327"/>
      <c r="BC335" s="327"/>
      <c r="BD335" s="327"/>
      <c r="BE335" s="327"/>
      <c r="BO335" s="323">
        <v>170040</v>
      </c>
    </row>
    <row r="336" s="323" customFormat="1" customHeight="1" spans="13:67">
      <c r="M336" s="326"/>
      <c r="N336" s="327"/>
      <c r="O336" s="328"/>
      <c r="P336" s="329"/>
      <c r="Q336" s="452" t="s">
        <v>3184</v>
      </c>
      <c r="R336" s="327"/>
      <c r="S336" s="330"/>
      <c r="T336" s="330"/>
      <c r="U336" s="330"/>
      <c r="V336" s="327"/>
      <c r="X336" s="327"/>
      <c r="Z336" s="327"/>
      <c r="AB336" s="327"/>
      <c r="AH336" s="327"/>
      <c r="AK336" s="328"/>
      <c r="AQ336" s="500"/>
      <c r="AR336" s="398"/>
      <c r="AS336" s="327"/>
      <c r="AT336" s="327"/>
      <c r="AU336" s="332"/>
      <c r="AV336" s="332"/>
      <c r="AW336" s="332"/>
      <c r="AX336" s="332"/>
      <c r="AY336" s="198"/>
      <c r="AZ336" s="198"/>
      <c r="BA336" s="332"/>
      <c r="BB336" s="327"/>
      <c r="BC336" s="327"/>
      <c r="BD336" s="327"/>
      <c r="BE336" s="327"/>
      <c r="BO336" s="323">
        <f>BO334-BO335</f>
        <v>13417250</v>
      </c>
    </row>
    <row r="337" s="323" customFormat="1" customHeight="1" spans="4:57">
      <c r="D337" s="323" t="s">
        <v>3185</v>
      </c>
      <c r="E337" s="323" t="s">
        <v>3186</v>
      </c>
      <c r="M337" s="326"/>
      <c r="N337" s="327"/>
      <c r="O337" s="328"/>
      <c r="P337" s="329" t="s">
        <v>63</v>
      </c>
      <c r="Q337" s="452" t="s">
        <v>9</v>
      </c>
      <c r="R337" s="496">
        <v>28880</v>
      </c>
      <c r="S337" s="330" t="s">
        <v>3187</v>
      </c>
      <c r="T337" s="342"/>
      <c r="U337" s="330"/>
      <c r="V337" s="327"/>
      <c r="X337" s="327"/>
      <c r="Z337" s="327"/>
      <c r="AB337" s="327"/>
      <c r="AH337" s="327" t="s">
        <v>3188</v>
      </c>
      <c r="AK337" s="328"/>
      <c r="AQ337" s="500"/>
      <c r="AR337" s="398"/>
      <c r="AS337" s="327"/>
      <c r="AT337" s="327"/>
      <c r="AU337" s="327"/>
      <c r="AV337" s="327"/>
      <c r="AW337" s="327"/>
      <c r="AX337" s="327"/>
      <c r="AY337" s="327"/>
      <c r="AZ337" s="327"/>
      <c r="BA337" s="327"/>
      <c r="BB337" s="327"/>
      <c r="BC337" s="327"/>
      <c r="BD337" s="327"/>
      <c r="BE337" s="327"/>
    </row>
    <row r="338" s="323" customFormat="1" customHeight="1" spans="3:57">
      <c r="C338" s="337"/>
      <c r="E338" s="337" t="s">
        <v>3189</v>
      </c>
      <c r="F338" s="323" t="s">
        <v>3190</v>
      </c>
      <c r="G338" s="323" t="s">
        <v>3191</v>
      </c>
      <c r="H338" s="323" t="s">
        <v>3192</v>
      </c>
      <c r="M338" s="326"/>
      <c r="N338" s="327"/>
      <c r="O338" s="328"/>
      <c r="P338" s="329"/>
      <c r="Q338" s="497"/>
      <c r="R338" s="134">
        <f>R334+R336+R337</f>
        <v>2002988</v>
      </c>
      <c r="S338" s="330"/>
      <c r="T338" s="330"/>
      <c r="U338" s="330"/>
      <c r="V338" s="327"/>
      <c r="X338" s="327"/>
      <c r="Z338" s="327"/>
      <c r="AB338" s="327"/>
      <c r="AH338" s="327"/>
      <c r="AK338" s="328"/>
      <c r="AQ338" s="500"/>
      <c r="AR338" s="327"/>
      <c r="AS338" s="327"/>
      <c r="AT338" s="327"/>
      <c r="AU338" s="327"/>
      <c r="AV338" s="327"/>
      <c r="AW338" s="327"/>
      <c r="AX338" s="327"/>
      <c r="AY338" s="184"/>
      <c r="AZ338" s="135"/>
      <c r="BA338" s="327"/>
      <c r="BB338" s="327"/>
      <c r="BC338" s="327"/>
      <c r="BD338" s="327"/>
      <c r="BE338" s="327"/>
    </row>
    <row r="339" s="323" customFormat="1" customHeight="1" spans="3:57">
      <c r="C339" s="323" t="s">
        <v>3193</v>
      </c>
      <c r="D339" s="323">
        <v>6731.74</v>
      </c>
      <c r="E339" s="323">
        <v>5077.02</v>
      </c>
      <c r="F339" s="323">
        <v>286.77</v>
      </c>
      <c r="G339" s="323">
        <v>1367.95</v>
      </c>
      <c r="M339" s="326"/>
      <c r="N339" s="327"/>
      <c r="O339" s="328"/>
      <c r="P339" s="329"/>
      <c r="Q339" s="329"/>
      <c r="R339" s="367"/>
      <c r="S339" s="498"/>
      <c r="T339" s="498"/>
      <c r="U339" s="498"/>
      <c r="V339" s="327"/>
      <c r="X339" s="327"/>
      <c r="Z339" s="327"/>
      <c r="AB339" s="327"/>
      <c r="AH339" s="327"/>
      <c r="AK339" s="328"/>
      <c r="AQ339" s="500"/>
      <c r="AR339" s="327"/>
      <c r="AS339" s="327"/>
      <c r="AT339" s="327"/>
      <c r="AU339" s="327"/>
      <c r="AV339" s="327"/>
      <c r="AW339" s="327"/>
      <c r="AX339" s="327"/>
      <c r="AY339" s="184"/>
      <c r="AZ339" s="135"/>
      <c r="BA339" s="327"/>
      <c r="BB339" s="327"/>
      <c r="BC339" s="327"/>
      <c r="BD339" s="327"/>
      <c r="BE339" s="327"/>
    </row>
    <row r="340" s="323" customFormat="1" customHeight="1" spans="3:57">
      <c r="C340" s="323" t="s">
        <v>3194</v>
      </c>
      <c r="D340" s="323">
        <v>9068.14</v>
      </c>
      <c r="E340" s="323">
        <v>6638.33</v>
      </c>
      <c r="F340" s="323">
        <v>411.95</v>
      </c>
      <c r="G340" s="323">
        <v>2017.86</v>
      </c>
      <c r="M340" s="326"/>
      <c r="N340" s="327"/>
      <c r="O340" s="328"/>
      <c r="P340" s="329"/>
      <c r="Q340" s="329"/>
      <c r="R340" s="327"/>
      <c r="S340" s="330"/>
      <c r="T340" s="330"/>
      <c r="U340" s="330"/>
      <c r="V340" s="327"/>
      <c r="X340" s="327"/>
      <c r="Z340" s="327"/>
      <c r="AB340" s="327"/>
      <c r="AH340" s="327"/>
      <c r="AK340" s="328"/>
      <c r="AQ340" s="500"/>
      <c r="AR340" s="327"/>
      <c r="AS340" s="327"/>
      <c r="AT340" s="327"/>
      <c r="AU340" s="327"/>
      <c r="AV340" s="327"/>
      <c r="AW340" s="327"/>
      <c r="AX340" s="327"/>
      <c r="AY340" s="184"/>
      <c r="AZ340" s="135"/>
      <c r="BA340" s="327"/>
      <c r="BB340" s="327"/>
      <c r="BC340" s="327"/>
      <c r="BD340" s="327"/>
      <c r="BE340" s="327"/>
    </row>
    <row r="341" s="323" customFormat="1" customHeight="1" spans="3:57">
      <c r="C341" s="323" t="s">
        <v>3195</v>
      </c>
      <c r="D341" s="323">
        <v>7776.27</v>
      </c>
      <c r="E341" s="323">
        <v>5453.36</v>
      </c>
      <c r="F341" s="323">
        <v>409.1</v>
      </c>
      <c r="G341" s="323">
        <v>1913.81</v>
      </c>
      <c r="M341" s="326"/>
      <c r="N341" s="327"/>
      <c r="O341" s="328"/>
      <c r="P341" s="329"/>
      <c r="Q341" s="329"/>
      <c r="R341" s="327"/>
      <c r="S341" s="330"/>
      <c r="T341" s="330"/>
      <c r="U341" s="330"/>
      <c r="V341" s="327"/>
      <c r="X341" s="327"/>
      <c r="Z341" s="327"/>
      <c r="AB341" s="327"/>
      <c r="AH341" s="327"/>
      <c r="AK341" s="328"/>
      <c r="AQ341" s="500"/>
      <c r="AR341" s="327"/>
      <c r="AS341" s="327"/>
      <c r="AT341" s="327"/>
      <c r="AU341" s="327"/>
      <c r="AV341" s="327"/>
      <c r="AW341" s="327"/>
      <c r="AX341" s="327"/>
      <c r="AY341" s="184"/>
      <c r="AZ341" s="135"/>
      <c r="BA341" s="327"/>
      <c r="BB341" s="327"/>
      <c r="BC341" s="327"/>
      <c r="BD341" s="327"/>
      <c r="BE341" s="327"/>
    </row>
    <row r="342" s="323" customFormat="1" customHeight="1" spans="3:57">
      <c r="C342" s="323" t="s">
        <v>3196</v>
      </c>
      <c r="D342" s="323">
        <v>7751.6</v>
      </c>
      <c r="E342" s="323">
        <v>5453.36</v>
      </c>
      <c r="F342" s="323">
        <v>382.33</v>
      </c>
      <c r="G342" s="323">
        <v>1915.91</v>
      </c>
      <c r="M342" s="326"/>
      <c r="N342" s="327"/>
      <c r="O342" s="328"/>
      <c r="P342" s="329"/>
      <c r="Q342" s="329"/>
      <c r="R342" s="327"/>
      <c r="S342" s="330"/>
      <c r="T342" s="330"/>
      <c r="U342" s="330"/>
      <c r="V342" s="327"/>
      <c r="X342" s="327"/>
      <c r="Z342" s="327"/>
      <c r="AB342" s="327"/>
      <c r="AH342" s="327"/>
      <c r="AK342" s="328"/>
      <c r="AQ342" s="500"/>
      <c r="AR342" s="327"/>
      <c r="AS342" s="327"/>
      <c r="AT342" s="327"/>
      <c r="AU342" s="327"/>
      <c r="AV342" s="327"/>
      <c r="AW342" s="327"/>
      <c r="AX342" s="327"/>
      <c r="AY342" s="184"/>
      <c r="AZ342" s="135"/>
      <c r="BA342" s="327"/>
      <c r="BB342" s="327"/>
      <c r="BC342" s="327"/>
      <c r="BD342" s="327"/>
      <c r="BE342" s="327"/>
    </row>
    <row r="343" s="323" customFormat="1" customHeight="1" spans="13:57">
      <c r="M343" s="326"/>
      <c r="N343" s="327"/>
      <c r="O343" s="328"/>
      <c r="P343" s="329"/>
      <c r="Q343" s="329"/>
      <c r="R343" s="327"/>
      <c r="S343" s="330"/>
      <c r="T343" s="330"/>
      <c r="U343" s="330"/>
      <c r="V343" s="327"/>
      <c r="X343" s="327"/>
      <c r="Z343" s="327"/>
      <c r="AB343" s="327"/>
      <c r="AH343" s="327"/>
      <c r="AK343" s="328"/>
      <c r="AQ343" s="500"/>
      <c r="AR343" s="327"/>
      <c r="AS343" s="327"/>
      <c r="AT343" s="327"/>
      <c r="AU343" s="327"/>
      <c r="AV343" s="327"/>
      <c r="AW343" s="327"/>
      <c r="AX343" s="327"/>
      <c r="AY343" s="184"/>
      <c r="AZ343" s="135"/>
      <c r="BA343" s="327"/>
      <c r="BB343" s="327"/>
      <c r="BC343" s="327"/>
      <c r="BD343" s="327"/>
      <c r="BE343" s="327"/>
    </row>
    <row r="344" s="323" customFormat="1" customHeight="1" spans="13:57">
      <c r="M344" s="326"/>
      <c r="N344" s="327"/>
      <c r="O344" s="328"/>
      <c r="P344" s="329"/>
      <c r="Q344" s="329"/>
      <c r="R344" s="327"/>
      <c r="S344" s="330"/>
      <c r="T344" s="330"/>
      <c r="U344" s="330"/>
      <c r="V344" s="327"/>
      <c r="X344" s="327"/>
      <c r="Z344" s="327"/>
      <c r="AB344" s="327"/>
      <c r="AH344" s="327"/>
      <c r="AK344" s="328"/>
      <c r="AQ344" s="500"/>
      <c r="AR344" s="327"/>
      <c r="AS344" s="327"/>
      <c r="AT344" s="327"/>
      <c r="AU344" s="327"/>
      <c r="AV344" s="327"/>
      <c r="AW344" s="327"/>
      <c r="AX344" s="327"/>
      <c r="AY344" s="184"/>
      <c r="AZ344" s="135"/>
      <c r="BA344" s="327"/>
      <c r="BB344" s="327"/>
      <c r="BC344" s="327"/>
      <c r="BD344" s="327"/>
      <c r="BE344" s="327"/>
    </row>
    <row r="345" s="323" customFormat="1" customHeight="1" spans="13:65">
      <c r="M345" s="326"/>
      <c r="N345" s="327"/>
      <c r="O345" s="328"/>
      <c r="P345" s="329"/>
      <c r="Q345" s="329"/>
      <c r="R345" s="327"/>
      <c r="S345" s="330"/>
      <c r="T345" s="330"/>
      <c r="U345" s="330"/>
      <c r="V345" s="327"/>
      <c r="X345" s="327"/>
      <c r="Z345" s="327"/>
      <c r="AB345" s="327"/>
      <c r="AH345" s="327"/>
      <c r="AK345" s="328"/>
      <c r="AQ345" s="500"/>
      <c r="AR345" s="327"/>
      <c r="AS345" s="327"/>
      <c r="AT345" s="327"/>
      <c r="AU345" s="327"/>
      <c r="AV345" s="327"/>
      <c r="AW345" s="327"/>
      <c r="AX345" s="327"/>
      <c r="AY345" s="184"/>
      <c r="AZ345" s="135"/>
      <c r="BA345" s="327"/>
      <c r="BB345" s="327"/>
      <c r="BC345" s="327"/>
      <c r="BD345" s="327"/>
      <c r="BE345" s="327"/>
      <c r="BM345" s="323">
        <f>BM333+'画堂春锦苑1#2#3#5#7#楼住宅销售明细表'!BK440+'画堂春锦苑8#楼明细表'!AS91</f>
        <v>10402922</v>
      </c>
    </row>
    <row r="346" s="172" customFormat="1" customHeight="1" spans="13:85">
      <c r="M346" s="357"/>
      <c r="N346" s="358"/>
      <c r="O346" s="359"/>
      <c r="P346" s="452"/>
      <c r="Q346" s="452"/>
      <c r="R346" s="358"/>
      <c r="S346" s="377"/>
      <c r="T346" s="377"/>
      <c r="U346" s="377"/>
      <c r="V346" s="358"/>
      <c r="X346" s="358"/>
      <c r="Z346" s="358"/>
      <c r="AB346" s="358"/>
      <c r="AH346" s="358"/>
      <c r="AK346" s="359"/>
      <c r="AQ346" s="501"/>
      <c r="AR346" s="358"/>
      <c r="AS346" s="358"/>
      <c r="AT346" s="358"/>
      <c r="AU346" s="358"/>
      <c r="AV346" s="358"/>
      <c r="AW346" s="358"/>
      <c r="AX346" s="358"/>
      <c r="AY346" s="215"/>
      <c r="AZ346" s="132"/>
      <c r="BA346" s="358"/>
      <c r="BB346" s="358"/>
      <c r="BC346" s="358"/>
      <c r="BD346" s="358"/>
      <c r="BE346" s="358"/>
      <c r="CG346" s="137"/>
    </row>
    <row r="347" s="172" customFormat="1" customHeight="1" spans="13:85">
      <c r="M347" s="357"/>
      <c r="N347" s="358"/>
      <c r="O347" s="359"/>
      <c r="P347" s="452"/>
      <c r="Q347" s="452"/>
      <c r="R347" s="358"/>
      <c r="S347" s="377"/>
      <c r="T347" s="377"/>
      <c r="U347" s="377"/>
      <c r="V347" s="358"/>
      <c r="X347" s="358"/>
      <c r="Z347" s="358"/>
      <c r="AB347" s="358"/>
      <c r="AH347" s="358"/>
      <c r="AK347" s="359"/>
      <c r="AQ347" s="501"/>
      <c r="AR347" s="358"/>
      <c r="AS347" s="358"/>
      <c r="AT347" s="358"/>
      <c r="AU347" s="358"/>
      <c r="AV347" s="358"/>
      <c r="AW347" s="358"/>
      <c r="AX347" s="358"/>
      <c r="AY347" s="215"/>
      <c r="AZ347" s="132"/>
      <c r="BA347" s="358"/>
      <c r="BB347" s="358"/>
      <c r="BC347" s="358"/>
      <c r="BD347" s="358"/>
      <c r="BE347" s="358"/>
      <c r="CG347" s="137"/>
    </row>
    <row r="348" s="172" customFormat="1" customHeight="1" spans="13:85">
      <c r="M348" s="357"/>
      <c r="N348" s="358"/>
      <c r="O348" s="359"/>
      <c r="P348" s="452"/>
      <c r="Q348" s="452"/>
      <c r="R348" s="358"/>
      <c r="S348" s="377"/>
      <c r="T348" s="377"/>
      <c r="U348" s="377"/>
      <c r="V348" s="358"/>
      <c r="X348" s="358"/>
      <c r="Z348" s="358"/>
      <c r="AB348" s="358"/>
      <c r="AH348" s="358"/>
      <c r="AK348" s="359"/>
      <c r="AQ348" s="501"/>
      <c r="AR348" s="358"/>
      <c r="AS348" s="358"/>
      <c r="AT348" s="358"/>
      <c r="AU348" s="358"/>
      <c r="AV348" s="358"/>
      <c r="AW348" s="358"/>
      <c r="AX348" s="358"/>
      <c r="AY348" s="215"/>
      <c r="AZ348" s="132"/>
      <c r="BA348" s="358"/>
      <c r="BB348" s="358"/>
      <c r="BC348" s="358"/>
      <c r="BD348" s="358"/>
      <c r="BE348" s="358"/>
      <c r="CG348" s="137"/>
    </row>
    <row r="349" s="172" customFormat="1" customHeight="1" spans="13:85">
      <c r="M349" s="357"/>
      <c r="N349" s="358"/>
      <c r="O349" s="359"/>
      <c r="P349" s="452"/>
      <c r="Q349" s="452"/>
      <c r="R349" s="358"/>
      <c r="S349" s="377"/>
      <c r="T349" s="377"/>
      <c r="U349" s="377"/>
      <c r="V349" s="358"/>
      <c r="X349" s="358"/>
      <c r="Z349" s="358"/>
      <c r="AB349" s="358"/>
      <c r="AH349" s="358"/>
      <c r="AK349" s="359"/>
      <c r="AQ349" s="501"/>
      <c r="AR349" s="358"/>
      <c r="AS349" s="358"/>
      <c r="AT349" s="358"/>
      <c r="AU349" s="358"/>
      <c r="AV349" s="358"/>
      <c r="AW349" s="358"/>
      <c r="AX349" s="358"/>
      <c r="AY349" s="215"/>
      <c r="AZ349" s="132"/>
      <c r="BA349" s="358"/>
      <c r="BB349" s="358"/>
      <c r="BC349" s="358"/>
      <c r="BD349" s="358"/>
      <c r="BE349" s="358"/>
      <c r="CG349" s="137"/>
    </row>
    <row r="350" s="172" customFormat="1" customHeight="1" spans="13:85">
      <c r="M350" s="357"/>
      <c r="N350" s="358"/>
      <c r="O350" s="359"/>
      <c r="P350" s="452"/>
      <c r="Q350" s="452"/>
      <c r="R350" s="358"/>
      <c r="S350" s="377"/>
      <c r="T350" s="377"/>
      <c r="U350" s="377"/>
      <c r="V350" s="358"/>
      <c r="X350" s="358"/>
      <c r="Z350" s="358"/>
      <c r="AB350" s="358"/>
      <c r="AH350" s="358"/>
      <c r="AK350" s="359"/>
      <c r="AQ350" s="501"/>
      <c r="AR350" s="358"/>
      <c r="AS350" s="358"/>
      <c r="AT350" s="358"/>
      <c r="AU350" s="358"/>
      <c r="AV350" s="358"/>
      <c r="AW350" s="358"/>
      <c r="AX350" s="358"/>
      <c r="AY350" s="215"/>
      <c r="AZ350" s="132"/>
      <c r="BA350" s="358"/>
      <c r="BB350" s="358"/>
      <c r="BC350" s="358"/>
      <c r="BD350" s="358"/>
      <c r="BE350" s="358"/>
      <c r="CG350" s="137"/>
    </row>
    <row r="351" s="172" customFormat="1" customHeight="1" spans="13:85">
      <c r="M351" s="357"/>
      <c r="N351" s="358"/>
      <c r="O351" s="359"/>
      <c r="P351" s="452"/>
      <c r="Q351" s="452"/>
      <c r="R351" s="358"/>
      <c r="S351" s="377"/>
      <c r="T351" s="377"/>
      <c r="U351" s="377"/>
      <c r="V351" s="358"/>
      <c r="X351" s="358"/>
      <c r="Z351" s="358"/>
      <c r="AB351" s="358"/>
      <c r="AH351" s="358"/>
      <c r="AK351" s="359"/>
      <c r="AQ351" s="501"/>
      <c r="AR351" s="358"/>
      <c r="AS351" s="358"/>
      <c r="AT351" s="358"/>
      <c r="AU351" s="358"/>
      <c r="AV351" s="358"/>
      <c r="AW351" s="358"/>
      <c r="AX351" s="358"/>
      <c r="AY351" s="215"/>
      <c r="AZ351" s="132"/>
      <c r="BA351" s="358"/>
      <c r="BB351" s="358"/>
      <c r="BC351" s="358"/>
      <c r="BD351" s="358"/>
      <c r="BE351" s="358"/>
      <c r="CG351" s="137"/>
    </row>
    <row r="352" s="325" customFormat="1" customHeight="1" spans="1:85">
      <c r="A352" s="172"/>
      <c r="B352" s="172"/>
      <c r="C352" s="172"/>
      <c r="D352" s="172"/>
      <c r="E352" s="172"/>
      <c r="F352" s="172"/>
      <c r="G352" s="172"/>
      <c r="H352" s="172"/>
      <c r="I352" s="172"/>
      <c r="J352" s="172"/>
      <c r="K352" s="172"/>
      <c r="L352" s="172"/>
      <c r="M352" s="357"/>
      <c r="N352" s="358"/>
      <c r="O352" s="359"/>
      <c r="P352" s="452"/>
      <c r="Q352" s="452"/>
      <c r="R352" s="358"/>
      <c r="S352" s="377"/>
      <c r="T352" s="499"/>
      <c r="U352" s="377"/>
      <c r="V352" s="358"/>
      <c r="W352" s="172"/>
      <c r="X352" s="358"/>
      <c r="Y352" s="172"/>
      <c r="Z352" s="358"/>
      <c r="AA352" s="172"/>
      <c r="AB352" s="358"/>
      <c r="AC352" s="172"/>
      <c r="AD352" s="172"/>
      <c r="AE352" s="172"/>
      <c r="AF352" s="172"/>
      <c r="AG352" s="172"/>
      <c r="AH352" s="358"/>
      <c r="AI352" s="172"/>
      <c r="AJ352" s="172"/>
      <c r="AK352" s="359"/>
      <c r="AL352" s="172"/>
      <c r="AM352" s="172"/>
      <c r="AN352" s="172"/>
      <c r="AO352" s="172"/>
      <c r="AP352" s="172"/>
      <c r="AQ352" s="430"/>
      <c r="AR352" s="358"/>
      <c r="AS352" s="358"/>
      <c r="AT352" s="358"/>
      <c r="AU352" s="358"/>
      <c r="AV352" s="358"/>
      <c r="AW352" s="358"/>
      <c r="AX352" s="358"/>
      <c r="AY352" s="215"/>
      <c r="AZ352" s="132"/>
      <c r="BA352" s="358"/>
      <c r="BB352" s="358"/>
      <c r="BC352" s="358"/>
      <c r="BD352" s="358"/>
      <c r="BE352" s="358"/>
      <c r="BF352" s="172"/>
      <c r="BG352" s="172"/>
      <c r="BH352" s="172"/>
      <c r="BI352" s="172"/>
      <c r="BJ352" s="172"/>
      <c r="BK352" s="172"/>
      <c r="BL352" s="172"/>
      <c r="BM352" s="172"/>
      <c r="BN352" s="172"/>
      <c r="BO352" s="172"/>
      <c r="BP352" s="172"/>
      <c r="BQ352" s="172"/>
      <c r="BR352" s="172"/>
      <c r="BS352" s="172"/>
      <c r="BT352" s="172"/>
      <c r="BU352" s="172"/>
      <c r="BV352" s="172"/>
      <c r="BW352" s="172"/>
      <c r="BX352" s="172"/>
      <c r="BY352" s="172"/>
      <c r="BZ352" s="172"/>
      <c r="CA352" s="172"/>
      <c r="CB352" s="172"/>
      <c r="CC352" s="172"/>
      <c r="CD352" s="172"/>
      <c r="CE352" s="172"/>
      <c r="CF352" s="172"/>
      <c r="CG352" s="137"/>
    </row>
    <row r="353" s="325" customFormat="1" customHeight="1" spans="1:85">
      <c r="A353" s="172"/>
      <c r="B353" s="172"/>
      <c r="C353" s="172"/>
      <c r="D353" s="172"/>
      <c r="E353" s="172"/>
      <c r="F353" s="172"/>
      <c r="G353" s="172"/>
      <c r="H353" s="172"/>
      <c r="I353" s="172"/>
      <c r="J353" s="172"/>
      <c r="K353" s="172"/>
      <c r="L353" s="172"/>
      <c r="M353" s="357"/>
      <c r="N353" s="358"/>
      <c r="O353" s="359"/>
      <c r="P353" s="452"/>
      <c r="Q353" s="452"/>
      <c r="R353" s="358"/>
      <c r="S353" s="377"/>
      <c r="T353" s="499"/>
      <c r="U353" s="377"/>
      <c r="V353" s="358"/>
      <c r="W353" s="172"/>
      <c r="X353" s="358"/>
      <c r="Y353" s="172"/>
      <c r="Z353" s="358"/>
      <c r="AA353" s="172"/>
      <c r="AB353" s="358"/>
      <c r="AC353" s="172"/>
      <c r="AD353" s="172"/>
      <c r="AE353" s="172"/>
      <c r="AF353" s="172"/>
      <c r="AG353" s="172"/>
      <c r="AH353" s="358"/>
      <c r="AI353" s="172"/>
      <c r="AJ353" s="172"/>
      <c r="AK353" s="359"/>
      <c r="AL353" s="172"/>
      <c r="AM353" s="172"/>
      <c r="AN353" s="172"/>
      <c r="AO353" s="172"/>
      <c r="AP353" s="172"/>
      <c r="AQ353" s="430"/>
      <c r="AR353" s="358"/>
      <c r="AS353" s="358"/>
      <c r="AT353" s="358"/>
      <c r="AU353" s="358"/>
      <c r="AV353" s="358"/>
      <c r="AW353" s="358"/>
      <c r="AX353" s="358"/>
      <c r="AY353" s="215"/>
      <c r="AZ353" s="132"/>
      <c r="BA353" s="358"/>
      <c r="BB353" s="358"/>
      <c r="BC353" s="358"/>
      <c r="BD353" s="358"/>
      <c r="BE353" s="358"/>
      <c r="BF353" s="172"/>
      <c r="BG353" s="172"/>
      <c r="BH353" s="172"/>
      <c r="BI353" s="172"/>
      <c r="BJ353" s="172"/>
      <c r="BK353" s="172"/>
      <c r="BL353" s="172"/>
      <c r="BM353" s="172"/>
      <c r="BN353" s="172"/>
      <c r="BO353" s="172"/>
      <c r="BP353" s="172"/>
      <c r="BQ353" s="172"/>
      <c r="BR353" s="172"/>
      <c r="BS353" s="172"/>
      <c r="BT353" s="172"/>
      <c r="BU353" s="172"/>
      <c r="BV353" s="172"/>
      <c r="BW353" s="172"/>
      <c r="BX353" s="172"/>
      <c r="BY353" s="172"/>
      <c r="BZ353" s="172"/>
      <c r="CA353" s="172"/>
      <c r="CB353" s="172"/>
      <c r="CC353" s="172"/>
      <c r="CD353" s="172"/>
      <c r="CE353" s="172"/>
      <c r="CF353" s="172"/>
      <c r="CG353" s="137"/>
    </row>
    <row r="354" s="325" customFormat="1" customHeight="1" spans="1:85">
      <c r="A354" s="172"/>
      <c r="B354" s="172"/>
      <c r="C354" s="172"/>
      <c r="D354" s="172"/>
      <c r="E354" s="172"/>
      <c r="F354" s="172"/>
      <c r="G354" s="172"/>
      <c r="H354" s="172"/>
      <c r="I354" s="172"/>
      <c r="J354" s="172"/>
      <c r="K354" s="172"/>
      <c r="L354" s="172"/>
      <c r="M354" s="357"/>
      <c r="N354" s="358"/>
      <c r="O354" s="359"/>
      <c r="P354" s="452"/>
      <c r="Q354" s="452"/>
      <c r="R354" s="358"/>
      <c r="S354" s="377"/>
      <c r="T354" s="499"/>
      <c r="U354" s="377"/>
      <c r="V354" s="358"/>
      <c r="W354" s="172"/>
      <c r="X354" s="358"/>
      <c r="Y354" s="172"/>
      <c r="Z354" s="358"/>
      <c r="AA354" s="172"/>
      <c r="AB354" s="358"/>
      <c r="AC354" s="172"/>
      <c r="AD354" s="172"/>
      <c r="AE354" s="172"/>
      <c r="AF354" s="172"/>
      <c r="AG354" s="172"/>
      <c r="AH354" s="358"/>
      <c r="AI354" s="172"/>
      <c r="AJ354" s="172"/>
      <c r="AK354" s="359"/>
      <c r="AL354" s="172"/>
      <c r="AM354" s="172"/>
      <c r="AN354" s="172"/>
      <c r="AO354" s="172"/>
      <c r="AP354" s="172"/>
      <c r="AQ354" s="430"/>
      <c r="AR354" s="358"/>
      <c r="AS354" s="358"/>
      <c r="AT354" s="358"/>
      <c r="AU354" s="358"/>
      <c r="AV354" s="358"/>
      <c r="AW354" s="358"/>
      <c r="AX354" s="358"/>
      <c r="AY354" s="215"/>
      <c r="AZ354" s="132"/>
      <c r="BA354" s="358"/>
      <c r="BB354" s="358"/>
      <c r="BC354" s="358"/>
      <c r="BD354" s="358"/>
      <c r="BE354" s="358"/>
      <c r="BF354" s="172"/>
      <c r="BG354" s="172"/>
      <c r="BH354" s="172"/>
      <c r="BI354" s="172"/>
      <c r="BJ354" s="172"/>
      <c r="BK354" s="172"/>
      <c r="BL354" s="172"/>
      <c r="BM354" s="172"/>
      <c r="BN354" s="172"/>
      <c r="BO354" s="172"/>
      <c r="BP354" s="172"/>
      <c r="BQ354" s="172"/>
      <c r="BR354" s="172"/>
      <c r="BS354" s="172"/>
      <c r="BT354" s="172"/>
      <c r="BU354" s="172"/>
      <c r="BV354" s="172"/>
      <c r="BW354" s="172"/>
      <c r="BX354" s="172"/>
      <c r="BY354" s="172"/>
      <c r="BZ354" s="172"/>
      <c r="CA354" s="172"/>
      <c r="CB354" s="172"/>
      <c r="CC354" s="172"/>
      <c r="CD354" s="172"/>
      <c r="CE354" s="172"/>
      <c r="CF354" s="172"/>
      <c r="CG354" s="137"/>
    </row>
    <row r="355" s="325" customFormat="1" customHeight="1" spans="1:85">
      <c r="A355" s="172"/>
      <c r="B355" s="172"/>
      <c r="C355" s="172"/>
      <c r="D355" s="172"/>
      <c r="E355" s="172"/>
      <c r="F355" s="172"/>
      <c r="G355" s="172"/>
      <c r="H355" s="172"/>
      <c r="I355" s="172"/>
      <c r="J355" s="172"/>
      <c r="K355" s="172"/>
      <c r="L355" s="172"/>
      <c r="M355" s="357"/>
      <c r="N355" s="358"/>
      <c r="O355" s="359"/>
      <c r="P355" s="452"/>
      <c r="Q355" s="452"/>
      <c r="R355" s="358"/>
      <c r="S355" s="377"/>
      <c r="T355" s="499"/>
      <c r="U355" s="377"/>
      <c r="V355" s="358"/>
      <c r="W355" s="172"/>
      <c r="X355" s="358"/>
      <c r="Y355" s="172"/>
      <c r="Z355" s="358"/>
      <c r="AA355" s="172"/>
      <c r="AB355" s="358"/>
      <c r="AC355" s="172"/>
      <c r="AD355" s="172"/>
      <c r="AE355" s="172"/>
      <c r="AF355" s="172"/>
      <c r="AG355" s="172"/>
      <c r="AH355" s="358"/>
      <c r="AI355" s="172"/>
      <c r="AJ355" s="172"/>
      <c r="AK355" s="359"/>
      <c r="AL355" s="172"/>
      <c r="AM355" s="172"/>
      <c r="AN355" s="172"/>
      <c r="AO355" s="172"/>
      <c r="AP355" s="172"/>
      <c r="AQ355" s="430"/>
      <c r="AR355" s="358"/>
      <c r="AS355" s="358"/>
      <c r="AT355" s="358"/>
      <c r="AU355" s="358"/>
      <c r="AV355" s="358"/>
      <c r="AW355" s="358"/>
      <c r="AX355" s="358"/>
      <c r="AY355" s="215"/>
      <c r="AZ355" s="132"/>
      <c r="BA355" s="358"/>
      <c r="BB355" s="358"/>
      <c r="BC355" s="358"/>
      <c r="BD355" s="358"/>
      <c r="BE355" s="358"/>
      <c r="BF355" s="172"/>
      <c r="BG355" s="172"/>
      <c r="BH355" s="172"/>
      <c r="BI355" s="172"/>
      <c r="BJ355" s="172"/>
      <c r="BK355" s="172"/>
      <c r="BL355" s="172"/>
      <c r="BM355" s="172"/>
      <c r="BN355" s="172"/>
      <c r="BO355" s="172"/>
      <c r="BP355" s="172"/>
      <c r="BQ355" s="172"/>
      <c r="BR355" s="172"/>
      <c r="BS355" s="172"/>
      <c r="BT355" s="172"/>
      <c r="BU355" s="172"/>
      <c r="BV355" s="172"/>
      <c r="BW355" s="172"/>
      <c r="BX355" s="172"/>
      <c r="BY355" s="172"/>
      <c r="BZ355" s="172"/>
      <c r="CA355" s="172"/>
      <c r="CB355" s="172"/>
      <c r="CC355" s="172"/>
      <c r="CD355" s="172"/>
      <c r="CE355" s="172"/>
      <c r="CF355" s="172"/>
      <c r="CG355" s="137"/>
    </row>
  </sheetData>
  <autoFilter xmlns:etc="http://www.wps.cn/officeDocument/2017/etCustomData" ref="A3:CF345" etc:filterBottomFollowUsedRange="0">
    <extLst/>
  </autoFilter>
  <mergeCells count="57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T3:BT4"/>
    <mergeCell ref="BU3:BU4"/>
    <mergeCell ref="BV3:BV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457"/>
  <sheetViews>
    <sheetView workbookViewId="0">
      <pane ySplit="3" topLeftCell="A168" activePane="bottomLeft" state="frozen"/>
      <selection/>
      <selection pane="bottomLeft" activeCell="M174" sqref="M174"/>
    </sheetView>
  </sheetViews>
  <sheetFormatPr defaultColWidth="9" defaultRowHeight="34" customHeight="1"/>
  <cols>
    <col min="1" max="1" width="5.45833333333333" style="212" customWidth="1"/>
    <col min="2" max="2" width="4.875" style="132" customWidth="1"/>
    <col min="3" max="3" width="15.4666666666667" style="132" customWidth="1"/>
    <col min="4" max="4" width="15.15" style="132" customWidth="1"/>
    <col min="5" max="5" width="15.625" style="132" customWidth="1"/>
    <col min="6" max="6" width="22.9583333333333" style="132" customWidth="1"/>
    <col min="7" max="7" width="21.25" style="132" customWidth="1"/>
    <col min="8" max="8" width="13.375" style="132" customWidth="1"/>
    <col min="9" max="9" width="12.625" style="132" customWidth="1"/>
    <col min="10" max="10" width="12.3416666666667" style="132" customWidth="1"/>
    <col min="11" max="11" width="11.4" style="132" customWidth="1"/>
    <col min="12" max="12" width="12.3416666666667" style="132" customWidth="1"/>
    <col min="13" max="13" width="20.9333333333333" style="213" customWidth="1"/>
    <col min="14" max="14" width="14.625" style="214" customWidth="1"/>
    <col min="15" max="15" width="14.375" style="173" customWidth="1"/>
    <col min="16" max="17" width="14.375" style="132" customWidth="1"/>
    <col min="18" max="18" width="17.25" style="215" customWidth="1"/>
    <col min="19" max="19" width="16" style="216" customWidth="1"/>
    <col min="20" max="20" width="18.7666666666667" style="212" customWidth="1"/>
    <col min="21" max="21" width="16.5583333333333" style="216" customWidth="1"/>
    <col min="22" max="22" width="17.8083333333333" style="215" customWidth="1"/>
    <col min="23" max="23" width="16.25" style="132" customWidth="1"/>
    <col min="24" max="24" width="15.7333333333333" style="215" customWidth="1"/>
    <col min="25" max="25" width="13.9083333333333" style="132" customWidth="1"/>
    <col min="26" max="26" width="14.6916666666667" style="132" customWidth="1"/>
    <col min="27" max="27" width="15.0166666666667" style="132" customWidth="1"/>
    <col min="28" max="28" width="18.2833333333333" style="215" customWidth="1"/>
    <col min="29" max="33" width="14.25" style="132" customWidth="1"/>
    <col min="34" max="34" width="17.65" style="215" customWidth="1"/>
    <col min="35" max="36" width="6.75" style="132" customWidth="1"/>
    <col min="37" max="37" width="20" style="173" customWidth="1"/>
    <col min="38" max="38" width="15.3083333333333" style="132" customWidth="1"/>
    <col min="39" max="39" width="26" style="132" customWidth="1"/>
    <col min="40" max="40" width="17.9416666666667" style="132" customWidth="1"/>
    <col min="41" max="41" width="17.8166666666667" style="132" customWidth="1"/>
    <col min="42" max="42" width="16.025" style="157" customWidth="1"/>
    <col min="43" max="43" width="12.6916666666667" style="215" customWidth="1"/>
    <col min="44" max="44" width="14.375" style="215" customWidth="1"/>
    <col min="45" max="45" width="11.6666666666667" style="215" customWidth="1"/>
    <col min="46" max="46" width="16.6666666666667" style="215" customWidth="1"/>
    <col min="47" max="47" width="15.3" style="215" customWidth="1"/>
    <col min="48" max="51" width="17" style="215" customWidth="1"/>
    <col min="52" max="52" width="15.3" style="215" customWidth="1"/>
    <col min="53" max="53" width="15.7833333333333" style="132" customWidth="1"/>
    <col min="54" max="54" width="15.7833333333333" style="215" customWidth="1"/>
    <col min="55" max="55" width="15.7833333333333" style="132" customWidth="1"/>
    <col min="56" max="69" width="18.5916666666667" style="132" customWidth="1"/>
    <col min="70" max="70" width="13.5916666666667" style="132" customWidth="1"/>
    <col min="71" max="71" width="9.53333333333333" style="132" customWidth="1"/>
    <col min="72" max="73" width="9" style="132" customWidth="1"/>
    <col min="74" max="74" width="10.375" style="132" customWidth="1"/>
    <col min="75" max="75" width="11.5" style="132" customWidth="1"/>
    <col min="76" max="76" width="12.9666666666667" style="132" customWidth="1"/>
    <col min="77" max="77" width="14" style="132" customWidth="1"/>
    <col min="78" max="79" width="9.375" style="132"/>
    <col min="80" max="16384" width="9" style="132"/>
  </cols>
  <sheetData>
    <row r="1" s="133" customFormat="1" customHeight="1" spans="1:68">
      <c r="A1" s="139" t="s">
        <v>3197</v>
      </c>
      <c r="J1" s="144"/>
      <c r="M1" s="221"/>
      <c r="N1" s="222"/>
      <c r="O1" s="144"/>
      <c r="R1" s="142"/>
      <c r="S1" s="154"/>
      <c r="T1" s="139"/>
      <c r="U1" s="154"/>
      <c r="V1" s="142"/>
      <c r="X1" s="142"/>
      <c r="Y1" s="156"/>
      <c r="AB1" s="142"/>
      <c r="AH1" s="142"/>
      <c r="AK1" s="144"/>
      <c r="AP1" s="244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B1" s="14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</row>
    <row r="2" s="133" customFormat="1" ht="27" customHeight="1" spans="1:77">
      <c r="A2" s="139" t="s">
        <v>21</v>
      </c>
      <c r="B2" s="133" t="s">
        <v>422</v>
      </c>
      <c r="C2" s="140" t="s">
        <v>423</v>
      </c>
      <c r="D2" s="133" t="s">
        <v>424</v>
      </c>
      <c r="F2" s="133" t="s">
        <v>426</v>
      </c>
      <c r="G2" s="133" t="s">
        <v>427</v>
      </c>
      <c r="H2" s="133" t="s">
        <v>425</v>
      </c>
      <c r="I2" s="133" t="s">
        <v>429</v>
      </c>
      <c r="J2" s="141" t="s">
        <v>1169</v>
      </c>
      <c r="K2" s="133" t="s">
        <v>431</v>
      </c>
      <c r="L2" s="133" t="s">
        <v>432</v>
      </c>
      <c r="M2" s="221" t="s">
        <v>433</v>
      </c>
      <c r="N2" s="223" t="s">
        <v>434</v>
      </c>
      <c r="O2" s="144" t="s">
        <v>436</v>
      </c>
      <c r="P2" s="145"/>
      <c r="Q2" s="145"/>
      <c r="R2" s="143" t="s">
        <v>437</v>
      </c>
      <c r="S2" s="154" t="s">
        <v>438</v>
      </c>
      <c r="T2" s="139" t="s">
        <v>439</v>
      </c>
      <c r="U2" s="154" t="s">
        <v>440</v>
      </c>
      <c r="V2" s="142" t="s">
        <v>441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 t="s">
        <v>442</v>
      </c>
      <c r="AI2" s="140" t="s">
        <v>39</v>
      </c>
      <c r="AJ2" s="140" t="s">
        <v>444</v>
      </c>
      <c r="AK2" s="144" t="s">
        <v>42</v>
      </c>
      <c r="AL2" s="133" t="s">
        <v>445</v>
      </c>
      <c r="AM2" s="133" t="s">
        <v>30</v>
      </c>
      <c r="AN2" s="133" t="s">
        <v>1171</v>
      </c>
      <c r="AO2" s="158" t="s">
        <v>455</v>
      </c>
      <c r="AP2" s="159" t="s">
        <v>456</v>
      </c>
      <c r="AQ2" s="143" t="s">
        <v>446</v>
      </c>
      <c r="AR2" s="245" t="s">
        <v>3198</v>
      </c>
      <c r="AS2" s="245" t="s">
        <v>3199</v>
      </c>
      <c r="AT2" s="245" t="s">
        <v>3200</v>
      </c>
      <c r="AU2" s="245" t="s">
        <v>3201</v>
      </c>
      <c r="AV2" s="245" t="s">
        <v>3202</v>
      </c>
      <c r="AW2" s="245" t="s">
        <v>3203</v>
      </c>
      <c r="AX2" s="245" t="s">
        <v>3204</v>
      </c>
      <c r="AY2" s="245" t="s">
        <v>3205</v>
      </c>
      <c r="AZ2" s="252" t="s">
        <v>3206</v>
      </c>
      <c r="BA2" s="252" t="s">
        <v>3207</v>
      </c>
      <c r="BB2" s="252" t="s">
        <v>3208</v>
      </c>
      <c r="BC2" s="252" t="s">
        <v>3209</v>
      </c>
      <c r="BD2" s="252" t="s">
        <v>3210</v>
      </c>
      <c r="BE2" s="254" t="s">
        <v>3211</v>
      </c>
      <c r="BF2" s="254" t="s">
        <v>3212</v>
      </c>
      <c r="BG2" s="254" t="s">
        <v>3213</v>
      </c>
      <c r="BH2" s="254" t="s">
        <v>3214</v>
      </c>
      <c r="BI2" s="254" t="s">
        <v>3215</v>
      </c>
      <c r="BJ2" s="254" t="s">
        <v>3216</v>
      </c>
      <c r="BK2" s="254" t="s">
        <v>3217</v>
      </c>
      <c r="BL2" s="254" t="s">
        <v>3218</v>
      </c>
      <c r="BM2" s="256" t="s">
        <v>3207</v>
      </c>
      <c r="BN2" s="256" t="s">
        <v>3208</v>
      </c>
      <c r="BO2" s="256" t="s">
        <v>3209</v>
      </c>
      <c r="BP2" s="256" t="s">
        <v>3210</v>
      </c>
      <c r="BQ2" s="252"/>
      <c r="BR2" s="201" t="s">
        <v>475</v>
      </c>
      <c r="BT2" s="197" t="s">
        <v>149</v>
      </c>
      <c r="BU2" s="197" t="s">
        <v>476</v>
      </c>
      <c r="BV2" s="197"/>
      <c r="BW2" s="197"/>
      <c r="BX2" s="197"/>
      <c r="BY2" s="197"/>
    </row>
    <row r="3" s="211" customFormat="1" ht="21" customHeight="1" spans="1:77">
      <c r="A3" s="217"/>
      <c r="C3" s="218"/>
      <c r="E3" s="211" t="s">
        <v>1197</v>
      </c>
      <c r="J3" s="224"/>
      <c r="M3" s="225"/>
      <c r="N3" s="226"/>
      <c r="O3" s="224" t="s">
        <v>478</v>
      </c>
      <c r="P3" s="227" t="s">
        <v>1198</v>
      </c>
      <c r="Q3" s="227" t="s">
        <v>1199</v>
      </c>
      <c r="R3" s="239"/>
      <c r="S3" s="240"/>
      <c r="T3" s="217"/>
      <c r="U3" s="240"/>
      <c r="V3" s="239" t="s">
        <v>480</v>
      </c>
      <c r="W3" s="211" t="s">
        <v>481</v>
      </c>
      <c r="X3" s="239" t="s">
        <v>482</v>
      </c>
      <c r="Y3" s="241" t="s">
        <v>481</v>
      </c>
      <c r="Z3" s="211" t="s">
        <v>483</v>
      </c>
      <c r="AA3" s="224" t="s">
        <v>481</v>
      </c>
      <c r="AB3" s="239" t="s">
        <v>484</v>
      </c>
      <c r="AC3" s="211" t="s">
        <v>481</v>
      </c>
      <c r="AD3" s="211" t="s">
        <v>485</v>
      </c>
      <c r="AE3" s="211" t="s">
        <v>481</v>
      </c>
      <c r="AF3" s="211" t="s">
        <v>486</v>
      </c>
      <c r="AG3" s="211" t="s">
        <v>481</v>
      </c>
      <c r="AH3" s="239"/>
      <c r="AJ3" s="218"/>
      <c r="AK3" s="224"/>
      <c r="AO3" s="246"/>
      <c r="AP3" s="247"/>
      <c r="AQ3" s="248"/>
      <c r="AR3" s="249"/>
      <c r="AS3" s="249"/>
      <c r="AT3" s="249"/>
      <c r="AU3" s="249"/>
      <c r="AV3" s="249"/>
      <c r="AW3" s="249"/>
      <c r="AX3" s="249"/>
      <c r="AY3" s="249"/>
      <c r="AZ3" s="253"/>
      <c r="BA3" s="253"/>
      <c r="BB3" s="253"/>
      <c r="BC3" s="253"/>
      <c r="BD3" s="253"/>
      <c r="BE3" s="255"/>
      <c r="BF3" s="255"/>
      <c r="BG3" s="255"/>
      <c r="BH3" s="255"/>
      <c r="BI3" s="255"/>
      <c r="BJ3" s="255"/>
      <c r="BK3" s="255"/>
      <c r="BL3" s="255"/>
      <c r="BM3" s="257"/>
      <c r="BN3" s="257"/>
      <c r="BO3" s="257"/>
      <c r="BP3" s="257"/>
      <c r="BQ3" s="253"/>
      <c r="BR3" s="258"/>
      <c r="BT3" s="259"/>
      <c r="BU3" s="259"/>
      <c r="BV3" s="260"/>
      <c r="BW3" s="260"/>
      <c r="BX3" s="260"/>
      <c r="BY3" s="260"/>
    </row>
    <row r="4" s="132" customFormat="1" customHeight="1" spans="1:54">
      <c r="A4" s="212"/>
      <c r="C4" s="219"/>
      <c r="I4" s="228" t="s">
        <v>3219</v>
      </c>
      <c r="J4" s="173">
        <v>67.99</v>
      </c>
      <c r="M4" s="213"/>
      <c r="N4" s="215"/>
      <c r="O4" s="173"/>
      <c r="P4" s="229"/>
      <c r="Q4" s="229"/>
      <c r="R4" s="215"/>
      <c r="S4" s="216"/>
      <c r="T4" s="212"/>
      <c r="U4" s="216"/>
      <c r="V4" s="215"/>
      <c r="X4" s="215"/>
      <c r="Y4" s="242"/>
      <c r="AA4" s="173"/>
      <c r="AB4" s="215"/>
      <c r="AH4" s="215">
        <f>V4+X4+Z4+AB4+AD4+AF4</f>
        <v>0</v>
      </c>
      <c r="AK4" s="173"/>
      <c r="AO4" s="132">
        <f>SUM(AZ4:BQ4)</f>
        <v>0</v>
      </c>
      <c r="AP4" s="250"/>
      <c r="AQ4" s="251">
        <f>AR4+AS4+AT4+AU4+AV4+AW4+AX4+AY4</f>
        <v>0</v>
      </c>
      <c r="AR4" s="215"/>
      <c r="AS4" s="215"/>
      <c r="AT4" s="215"/>
      <c r="AU4" s="215"/>
      <c r="AV4" s="215"/>
      <c r="AW4" s="215"/>
      <c r="AX4" s="215"/>
      <c r="AY4" s="215"/>
      <c r="AZ4" s="215"/>
      <c r="BB4" s="215"/>
    </row>
    <row r="5" s="132" customFormat="1" customHeight="1" spans="3:54">
      <c r="C5" s="219"/>
      <c r="I5" s="230" t="s">
        <v>3220</v>
      </c>
      <c r="J5" s="173">
        <v>18.22</v>
      </c>
      <c r="M5" s="213"/>
      <c r="N5" s="215"/>
      <c r="O5" s="173"/>
      <c r="P5" s="229"/>
      <c r="Q5" s="229"/>
      <c r="R5" s="215"/>
      <c r="S5" s="216"/>
      <c r="T5" s="212"/>
      <c r="U5" s="216"/>
      <c r="V5" s="215"/>
      <c r="X5" s="215"/>
      <c r="Y5" s="242"/>
      <c r="AA5" s="173"/>
      <c r="AB5" s="215"/>
      <c r="AH5" s="215">
        <f t="shared" ref="AH5:AH68" si="0">V5+X5+Z5+AB5+AD5+AF5</f>
        <v>0</v>
      </c>
      <c r="AK5" s="173"/>
      <c r="AO5" s="132">
        <f t="shared" ref="AO5:AO68" si="1">SUM(AZ5:BQ5)</f>
        <v>0</v>
      </c>
      <c r="AP5" s="250"/>
      <c r="AQ5" s="251">
        <f t="shared" ref="AQ5:AQ68" si="2">AR5+AS5+AT5+AU5+AV5+AW5+AX5+AY5</f>
        <v>0</v>
      </c>
      <c r="AR5" s="215"/>
      <c r="AS5" s="215"/>
      <c r="AT5" s="215"/>
      <c r="AU5" s="215"/>
      <c r="AV5" s="215"/>
      <c r="AW5" s="215"/>
      <c r="AX5" s="215"/>
      <c r="AY5" s="215"/>
      <c r="AZ5" s="215"/>
      <c r="BB5" s="215"/>
    </row>
    <row r="6" s="132" customFormat="1" customHeight="1" spans="3:54">
      <c r="C6" s="219"/>
      <c r="I6" s="228" t="s">
        <v>3221</v>
      </c>
      <c r="J6" s="173">
        <v>15.71</v>
      </c>
      <c r="M6" s="213"/>
      <c r="N6" s="215"/>
      <c r="O6" s="173"/>
      <c r="P6" s="229"/>
      <c r="Q6" s="229"/>
      <c r="R6" s="215"/>
      <c r="S6" s="216"/>
      <c r="T6" s="212"/>
      <c r="U6" s="216"/>
      <c r="V6" s="215"/>
      <c r="X6" s="215"/>
      <c r="Y6" s="242"/>
      <c r="AA6" s="173"/>
      <c r="AB6" s="215"/>
      <c r="AH6" s="215">
        <f t="shared" si="0"/>
        <v>0</v>
      </c>
      <c r="AK6" s="173"/>
      <c r="AO6" s="132">
        <f t="shared" si="1"/>
        <v>0</v>
      </c>
      <c r="AP6" s="250"/>
      <c r="AQ6" s="251">
        <f t="shared" si="2"/>
        <v>0</v>
      </c>
      <c r="AR6" s="215"/>
      <c r="AS6" s="215"/>
      <c r="AT6" s="215"/>
      <c r="AU6" s="215"/>
      <c r="AV6" s="215"/>
      <c r="AW6" s="215"/>
      <c r="AX6" s="215"/>
      <c r="AY6" s="215"/>
      <c r="AZ6" s="215"/>
      <c r="BB6" s="215"/>
    </row>
    <row r="7" s="132" customFormat="1" customHeight="1" spans="3:54">
      <c r="C7" s="219"/>
      <c r="I7" s="231" t="s">
        <v>3222</v>
      </c>
      <c r="J7" s="173">
        <v>76.5</v>
      </c>
      <c r="M7" s="213"/>
      <c r="N7" s="215"/>
      <c r="O7" s="173"/>
      <c r="P7" s="229"/>
      <c r="Q7" s="229"/>
      <c r="R7" s="215"/>
      <c r="S7" s="216"/>
      <c r="T7" s="212"/>
      <c r="U7" s="216"/>
      <c r="V7" s="215"/>
      <c r="X7" s="215"/>
      <c r="Y7" s="242"/>
      <c r="AA7" s="173"/>
      <c r="AB7" s="215"/>
      <c r="AH7" s="215">
        <f t="shared" si="0"/>
        <v>0</v>
      </c>
      <c r="AK7" s="173"/>
      <c r="AO7" s="132">
        <f t="shared" si="1"/>
        <v>0</v>
      </c>
      <c r="AP7" s="250"/>
      <c r="AQ7" s="251">
        <f t="shared" si="2"/>
        <v>0</v>
      </c>
      <c r="AR7" s="215"/>
      <c r="AS7" s="215"/>
      <c r="AT7" s="215"/>
      <c r="AU7" s="215"/>
      <c r="AV7" s="215"/>
      <c r="AW7" s="215"/>
      <c r="AX7" s="215"/>
      <c r="AY7" s="215"/>
      <c r="AZ7" s="215"/>
      <c r="BB7" s="215"/>
    </row>
    <row r="8" s="132" customFormat="1" customHeight="1" spans="3:54">
      <c r="C8" s="219"/>
      <c r="I8" s="228" t="s">
        <v>3223</v>
      </c>
      <c r="J8" s="173">
        <v>76.19</v>
      </c>
      <c r="M8" s="213"/>
      <c r="N8" s="215"/>
      <c r="O8" s="173"/>
      <c r="P8" s="229"/>
      <c r="Q8" s="229"/>
      <c r="R8" s="215"/>
      <c r="S8" s="216"/>
      <c r="T8" s="212"/>
      <c r="U8" s="216"/>
      <c r="V8" s="215"/>
      <c r="X8" s="215"/>
      <c r="Y8" s="242"/>
      <c r="AA8" s="173"/>
      <c r="AB8" s="215"/>
      <c r="AH8" s="215">
        <f t="shared" si="0"/>
        <v>0</v>
      </c>
      <c r="AK8" s="173"/>
      <c r="AO8" s="132">
        <f t="shared" si="1"/>
        <v>0</v>
      </c>
      <c r="AP8" s="250"/>
      <c r="AQ8" s="251">
        <f t="shared" si="2"/>
        <v>0</v>
      </c>
      <c r="AR8" s="215"/>
      <c r="AS8" s="215"/>
      <c r="AT8" s="215"/>
      <c r="AU8" s="215"/>
      <c r="AV8" s="215"/>
      <c r="AW8" s="215"/>
      <c r="AX8" s="215"/>
      <c r="AY8" s="215"/>
      <c r="AZ8" s="215"/>
      <c r="BB8" s="215"/>
    </row>
    <row r="9" s="132" customFormat="1" customHeight="1" spans="3:54">
      <c r="C9" s="219"/>
      <c r="I9" s="230" t="s">
        <v>3224</v>
      </c>
      <c r="J9" s="173">
        <v>35.28</v>
      </c>
      <c r="M9" s="213"/>
      <c r="N9" s="215"/>
      <c r="O9" s="173"/>
      <c r="P9" s="229"/>
      <c r="Q9" s="229"/>
      <c r="R9" s="215"/>
      <c r="S9" s="216"/>
      <c r="T9" s="212"/>
      <c r="U9" s="216"/>
      <c r="V9" s="215"/>
      <c r="X9" s="215"/>
      <c r="Y9" s="242"/>
      <c r="AA9" s="173"/>
      <c r="AB9" s="215"/>
      <c r="AH9" s="215">
        <f t="shared" si="0"/>
        <v>0</v>
      </c>
      <c r="AK9" s="173"/>
      <c r="AO9" s="132">
        <f t="shared" si="1"/>
        <v>0</v>
      </c>
      <c r="AP9" s="250"/>
      <c r="AQ9" s="251">
        <f t="shared" si="2"/>
        <v>0</v>
      </c>
      <c r="AR9" s="215"/>
      <c r="AS9" s="215"/>
      <c r="AT9" s="215"/>
      <c r="AU9" s="215"/>
      <c r="AV9" s="215"/>
      <c r="AW9" s="215"/>
      <c r="AX9" s="215"/>
      <c r="AY9" s="215"/>
      <c r="AZ9" s="215"/>
      <c r="BB9" s="215"/>
    </row>
    <row r="10" s="132" customFormat="1" customHeight="1" spans="3:54">
      <c r="C10" s="219"/>
      <c r="I10" s="228" t="s">
        <v>3225</v>
      </c>
      <c r="J10" s="173">
        <v>18.22</v>
      </c>
      <c r="M10" s="213"/>
      <c r="N10" s="215"/>
      <c r="O10" s="173"/>
      <c r="P10" s="229"/>
      <c r="Q10" s="229"/>
      <c r="R10" s="215"/>
      <c r="S10" s="216"/>
      <c r="T10" s="212"/>
      <c r="U10" s="216"/>
      <c r="V10" s="215"/>
      <c r="X10" s="215"/>
      <c r="Y10" s="242"/>
      <c r="AA10" s="173"/>
      <c r="AB10" s="215"/>
      <c r="AH10" s="215">
        <f t="shared" si="0"/>
        <v>0</v>
      </c>
      <c r="AK10" s="173"/>
      <c r="AO10" s="132">
        <f t="shared" si="1"/>
        <v>0</v>
      </c>
      <c r="AP10" s="250"/>
      <c r="AQ10" s="251">
        <f t="shared" si="2"/>
        <v>0</v>
      </c>
      <c r="AR10" s="215"/>
      <c r="AS10" s="215"/>
      <c r="AT10" s="215"/>
      <c r="AU10" s="215"/>
      <c r="AV10" s="215"/>
      <c r="AW10" s="215"/>
      <c r="AX10" s="215"/>
      <c r="AY10" s="215"/>
      <c r="AZ10" s="215"/>
      <c r="BB10" s="215"/>
    </row>
    <row r="11" s="132" customFormat="1" customHeight="1" spans="3:54">
      <c r="C11" s="219"/>
      <c r="I11" s="228" t="s">
        <v>3226</v>
      </c>
      <c r="J11" s="173">
        <v>18.22</v>
      </c>
      <c r="M11" s="213"/>
      <c r="N11" s="215"/>
      <c r="O11" s="173"/>
      <c r="P11" s="229"/>
      <c r="Q11" s="229"/>
      <c r="R11" s="215"/>
      <c r="S11" s="216"/>
      <c r="T11" s="212"/>
      <c r="U11" s="216"/>
      <c r="V11" s="215"/>
      <c r="X11" s="215"/>
      <c r="Y11" s="242"/>
      <c r="AA11" s="173"/>
      <c r="AB11" s="215"/>
      <c r="AH11" s="215">
        <f t="shared" si="0"/>
        <v>0</v>
      </c>
      <c r="AK11" s="173"/>
      <c r="AO11" s="132">
        <f t="shared" si="1"/>
        <v>0</v>
      </c>
      <c r="AP11" s="250"/>
      <c r="AQ11" s="251">
        <f t="shared" si="2"/>
        <v>0</v>
      </c>
      <c r="AR11" s="215"/>
      <c r="AS11" s="215"/>
      <c r="AT11" s="215"/>
      <c r="AU11" s="215"/>
      <c r="AV11" s="215"/>
      <c r="AW11" s="215"/>
      <c r="AX11" s="215"/>
      <c r="AY11" s="215"/>
      <c r="AZ11" s="215"/>
      <c r="BB11" s="215"/>
    </row>
    <row r="12" s="132" customFormat="1" customHeight="1" spans="3:54">
      <c r="C12" s="219"/>
      <c r="I12" s="230" t="s">
        <v>3227</v>
      </c>
      <c r="J12" s="173">
        <v>35.28</v>
      </c>
      <c r="M12" s="213"/>
      <c r="N12" s="215"/>
      <c r="O12" s="173"/>
      <c r="P12" s="229"/>
      <c r="Q12" s="229"/>
      <c r="R12" s="215"/>
      <c r="S12" s="216"/>
      <c r="T12" s="212"/>
      <c r="U12" s="216"/>
      <c r="V12" s="215"/>
      <c r="X12" s="215"/>
      <c r="Y12" s="242"/>
      <c r="AA12" s="173"/>
      <c r="AB12" s="215"/>
      <c r="AH12" s="215">
        <f t="shared" si="0"/>
        <v>0</v>
      </c>
      <c r="AK12" s="173"/>
      <c r="AO12" s="132">
        <f t="shared" si="1"/>
        <v>0</v>
      </c>
      <c r="AP12" s="250"/>
      <c r="AQ12" s="251">
        <f t="shared" si="2"/>
        <v>0</v>
      </c>
      <c r="AR12" s="215"/>
      <c r="AS12" s="215"/>
      <c r="AT12" s="215"/>
      <c r="AU12" s="215"/>
      <c r="AV12" s="215"/>
      <c r="AW12" s="215"/>
      <c r="AX12" s="215"/>
      <c r="AY12" s="215"/>
      <c r="AZ12" s="215"/>
      <c r="BB12" s="215"/>
    </row>
    <row r="13" s="132" customFormat="1" customHeight="1" spans="3:54">
      <c r="C13" s="219"/>
      <c r="I13" s="228" t="s">
        <v>3228</v>
      </c>
      <c r="J13" s="173">
        <v>76.19</v>
      </c>
      <c r="M13" s="213"/>
      <c r="N13" s="215"/>
      <c r="O13" s="173"/>
      <c r="P13" s="229"/>
      <c r="Q13" s="229"/>
      <c r="R13" s="215"/>
      <c r="S13" s="216"/>
      <c r="T13" s="212"/>
      <c r="U13" s="216"/>
      <c r="V13" s="215"/>
      <c r="X13" s="215"/>
      <c r="Y13" s="242"/>
      <c r="AA13" s="173"/>
      <c r="AB13" s="215"/>
      <c r="AH13" s="215">
        <f t="shared" si="0"/>
        <v>0</v>
      </c>
      <c r="AK13" s="173"/>
      <c r="AO13" s="132">
        <f t="shared" si="1"/>
        <v>0</v>
      </c>
      <c r="AP13" s="250"/>
      <c r="AQ13" s="251">
        <f t="shared" si="2"/>
        <v>0</v>
      </c>
      <c r="AR13" s="215"/>
      <c r="AS13" s="215"/>
      <c r="AT13" s="215"/>
      <c r="AU13" s="215"/>
      <c r="AV13" s="215"/>
      <c r="AW13" s="215"/>
      <c r="AX13" s="215"/>
      <c r="AY13" s="215"/>
      <c r="AZ13" s="215"/>
      <c r="BB13" s="215"/>
    </row>
    <row r="14" s="132" customFormat="1" customHeight="1" spans="3:54">
      <c r="C14" s="219"/>
      <c r="I14" s="230" t="s">
        <v>3229</v>
      </c>
      <c r="J14" s="173">
        <v>76.19</v>
      </c>
      <c r="M14" s="213"/>
      <c r="N14" s="215"/>
      <c r="O14" s="173"/>
      <c r="P14" s="229"/>
      <c r="Q14" s="229"/>
      <c r="R14" s="215"/>
      <c r="S14" s="216"/>
      <c r="T14" s="212"/>
      <c r="U14" s="216"/>
      <c r="V14" s="215"/>
      <c r="X14" s="215"/>
      <c r="Y14" s="242"/>
      <c r="AA14" s="173"/>
      <c r="AB14" s="215"/>
      <c r="AH14" s="215">
        <f t="shared" si="0"/>
        <v>0</v>
      </c>
      <c r="AK14" s="173"/>
      <c r="AO14" s="132">
        <f t="shared" si="1"/>
        <v>0</v>
      </c>
      <c r="AP14" s="250"/>
      <c r="AQ14" s="251">
        <f t="shared" si="2"/>
        <v>0</v>
      </c>
      <c r="AR14" s="215"/>
      <c r="AS14" s="215"/>
      <c r="AT14" s="215"/>
      <c r="AU14" s="215"/>
      <c r="AV14" s="215"/>
      <c r="AW14" s="215"/>
      <c r="AX14" s="215"/>
      <c r="AY14" s="215"/>
      <c r="AZ14" s="215"/>
      <c r="BB14" s="215"/>
    </row>
    <row r="15" s="132" customFormat="1" customHeight="1" spans="3:54">
      <c r="C15" s="219"/>
      <c r="I15" s="228" t="s">
        <v>3230</v>
      </c>
      <c r="J15" s="173">
        <v>15.71</v>
      </c>
      <c r="M15" s="213"/>
      <c r="N15" s="215"/>
      <c r="O15" s="173"/>
      <c r="P15" s="229"/>
      <c r="Q15" s="229"/>
      <c r="R15" s="215"/>
      <c r="S15" s="216"/>
      <c r="T15" s="212"/>
      <c r="U15" s="216"/>
      <c r="V15" s="215"/>
      <c r="X15" s="215"/>
      <c r="Y15" s="242"/>
      <c r="AA15" s="173"/>
      <c r="AB15" s="215"/>
      <c r="AH15" s="215">
        <f t="shared" si="0"/>
        <v>0</v>
      </c>
      <c r="AK15" s="173"/>
      <c r="AO15" s="132">
        <f t="shared" si="1"/>
        <v>0</v>
      </c>
      <c r="AP15" s="250"/>
      <c r="AQ15" s="251">
        <f t="shared" si="2"/>
        <v>0</v>
      </c>
      <c r="AR15" s="215"/>
      <c r="AS15" s="215"/>
      <c r="AT15" s="215"/>
      <c r="AU15" s="215"/>
      <c r="AV15" s="215"/>
      <c r="AW15" s="215"/>
      <c r="AX15" s="215"/>
      <c r="AY15" s="215"/>
      <c r="AZ15" s="215"/>
      <c r="BB15" s="215"/>
    </row>
    <row r="16" s="132" customFormat="1" customHeight="1" spans="3:54">
      <c r="C16" s="219"/>
      <c r="I16" s="230" t="s">
        <v>3231</v>
      </c>
      <c r="J16" s="173">
        <v>18.22</v>
      </c>
      <c r="M16" s="213"/>
      <c r="N16" s="215"/>
      <c r="O16" s="173"/>
      <c r="P16" s="229"/>
      <c r="Q16" s="229"/>
      <c r="R16" s="215"/>
      <c r="S16" s="216"/>
      <c r="T16" s="212"/>
      <c r="U16" s="216"/>
      <c r="V16" s="215"/>
      <c r="X16" s="215"/>
      <c r="Y16" s="242"/>
      <c r="AA16" s="173"/>
      <c r="AB16" s="215"/>
      <c r="AH16" s="215">
        <f t="shared" si="0"/>
        <v>0</v>
      </c>
      <c r="AK16" s="173"/>
      <c r="AO16" s="132">
        <f t="shared" si="1"/>
        <v>0</v>
      </c>
      <c r="AP16" s="250"/>
      <c r="AQ16" s="251">
        <f t="shared" si="2"/>
        <v>0</v>
      </c>
      <c r="AR16" s="215"/>
      <c r="AS16" s="215"/>
      <c r="AT16" s="215"/>
      <c r="AU16" s="215"/>
      <c r="AV16" s="215"/>
      <c r="AW16" s="215"/>
      <c r="AX16" s="215"/>
      <c r="AY16" s="215"/>
      <c r="AZ16" s="215"/>
      <c r="BB16" s="215"/>
    </row>
    <row r="17" s="132" customFormat="1" customHeight="1" spans="3:54">
      <c r="C17" s="219"/>
      <c r="I17" s="228" t="s">
        <v>3232</v>
      </c>
      <c r="J17" s="173">
        <v>18.22</v>
      </c>
      <c r="M17" s="213"/>
      <c r="N17" s="215"/>
      <c r="O17" s="173"/>
      <c r="P17" s="229"/>
      <c r="Q17" s="229"/>
      <c r="R17" s="215"/>
      <c r="S17" s="216"/>
      <c r="T17" s="212"/>
      <c r="U17" s="216"/>
      <c r="V17" s="215"/>
      <c r="X17" s="215"/>
      <c r="Y17" s="242"/>
      <c r="AA17" s="173"/>
      <c r="AB17" s="215"/>
      <c r="AH17" s="215">
        <f t="shared" si="0"/>
        <v>0</v>
      </c>
      <c r="AK17" s="173"/>
      <c r="AO17" s="132">
        <f t="shared" si="1"/>
        <v>0</v>
      </c>
      <c r="AP17" s="250"/>
      <c r="AQ17" s="251">
        <f t="shared" si="2"/>
        <v>0</v>
      </c>
      <c r="AR17" s="215"/>
      <c r="AS17" s="215"/>
      <c r="AT17" s="215"/>
      <c r="AU17" s="215"/>
      <c r="AV17" s="215"/>
      <c r="AW17" s="215"/>
      <c r="AX17" s="215"/>
      <c r="AY17" s="215"/>
      <c r="AZ17" s="215"/>
      <c r="BB17" s="215"/>
    </row>
    <row r="18" s="132" customFormat="1" customHeight="1" spans="3:54">
      <c r="C18" s="219"/>
      <c r="I18" s="228" t="s">
        <v>3233</v>
      </c>
      <c r="J18" s="173">
        <v>54.15</v>
      </c>
      <c r="M18" s="213"/>
      <c r="N18" s="215"/>
      <c r="O18" s="173"/>
      <c r="P18" s="229"/>
      <c r="Q18" s="229"/>
      <c r="R18" s="215"/>
      <c r="S18" s="216"/>
      <c r="T18" s="212"/>
      <c r="U18" s="216"/>
      <c r="V18" s="215"/>
      <c r="X18" s="215"/>
      <c r="Y18" s="242"/>
      <c r="AA18" s="173"/>
      <c r="AB18" s="215"/>
      <c r="AH18" s="215">
        <f t="shared" si="0"/>
        <v>0</v>
      </c>
      <c r="AK18" s="173"/>
      <c r="AO18" s="132">
        <f t="shared" si="1"/>
        <v>0</v>
      </c>
      <c r="AP18" s="250"/>
      <c r="AQ18" s="251">
        <f t="shared" si="2"/>
        <v>0</v>
      </c>
      <c r="AR18" s="215"/>
      <c r="AS18" s="215"/>
      <c r="AT18" s="215"/>
      <c r="AU18" s="215"/>
      <c r="AV18" s="215"/>
      <c r="AW18" s="215"/>
      <c r="AX18" s="215"/>
      <c r="AY18" s="215"/>
      <c r="AZ18" s="215"/>
      <c r="BB18" s="215"/>
    </row>
    <row r="19" s="132" customFormat="1" customHeight="1" spans="3:54">
      <c r="C19" s="219"/>
      <c r="I19" s="228" t="s">
        <v>3234</v>
      </c>
      <c r="J19" s="173">
        <v>73.21</v>
      </c>
      <c r="M19" s="213"/>
      <c r="N19" s="215"/>
      <c r="O19" s="173"/>
      <c r="P19" s="229"/>
      <c r="Q19" s="229"/>
      <c r="R19" s="215"/>
      <c r="S19" s="216"/>
      <c r="T19" s="212"/>
      <c r="U19" s="216"/>
      <c r="V19" s="215"/>
      <c r="X19" s="215"/>
      <c r="Y19" s="242"/>
      <c r="AA19" s="173"/>
      <c r="AB19" s="215"/>
      <c r="AH19" s="215">
        <f t="shared" si="0"/>
        <v>0</v>
      </c>
      <c r="AK19" s="173"/>
      <c r="AO19" s="132">
        <f t="shared" si="1"/>
        <v>0</v>
      </c>
      <c r="AP19" s="250"/>
      <c r="AQ19" s="251">
        <f t="shared" si="2"/>
        <v>0</v>
      </c>
      <c r="AR19" s="215"/>
      <c r="AS19" s="215"/>
      <c r="AT19" s="215"/>
      <c r="AU19" s="215"/>
      <c r="AV19" s="215"/>
      <c r="AW19" s="215"/>
      <c r="AX19" s="215"/>
      <c r="AY19" s="215"/>
      <c r="AZ19" s="215"/>
      <c r="BB19" s="215"/>
    </row>
    <row r="20" s="132" customFormat="1" customHeight="1" spans="1:54">
      <c r="A20" s="212">
        <v>1</v>
      </c>
      <c r="C20" s="219"/>
      <c r="G20" s="132" t="s">
        <v>3235</v>
      </c>
      <c r="I20" s="230" t="s">
        <v>3236</v>
      </c>
      <c r="J20" s="132">
        <v>119.31</v>
      </c>
      <c r="M20" s="213"/>
      <c r="N20" s="215">
        <v>8442.5</v>
      </c>
      <c r="O20" s="173"/>
      <c r="P20" s="229"/>
      <c r="Q20" s="229"/>
      <c r="R20" s="215"/>
      <c r="S20" s="216"/>
      <c r="T20" s="843" t="s">
        <v>2507</v>
      </c>
      <c r="U20" s="216" t="s">
        <v>721</v>
      </c>
      <c r="V20" s="215">
        <f>2000-2000</f>
        <v>0</v>
      </c>
      <c r="W20" s="216" t="s">
        <v>543</v>
      </c>
      <c r="X20" s="215"/>
      <c r="Y20" s="242"/>
      <c r="AA20" s="173"/>
      <c r="AB20" s="215"/>
      <c r="AH20" s="215">
        <f t="shared" si="0"/>
        <v>0</v>
      </c>
      <c r="AK20" s="173"/>
      <c r="AO20" s="132">
        <f t="shared" si="1"/>
        <v>0</v>
      </c>
      <c r="AP20" s="250"/>
      <c r="AQ20" s="251">
        <f t="shared" si="2"/>
        <v>0</v>
      </c>
      <c r="AR20" s="215"/>
      <c r="AS20" s="215"/>
      <c r="AT20" s="215"/>
      <c r="AU20" s="215"/>
      <c r="AV20" s="215"/>
      <c r="AW20" s="215"/>
      <c r="AX20" s="215"/>
      <c r="AY20" s="215"/>
      <c r="AZ20" s="215"/>
      <c r="BB20" s="215"/>
    </row>
    <row r="21" s="135" customFormat="1" customHeight="1" spans="1:72">
      <c r="A21" s="220">
        <v>2</v>
      </c>
      <c r="B21" s="135"/>
      <c r="C21" s="164" t="s">
        <v>88</v>
      </c>
      <c r="D21" s="135">
        <v>20240005461</v>
      </c>
      <c r="F21" s="834" t="s">
        <v>187</v>
      </c>
      <c r="G21" s="135" t="s">
        <v>188</v>
      </c>
      <c r="H21" s="834" t="s">
        <v>3237</v>
      </c>
      <c r="I21" s="232" t="s">
        <v>3238</v>
      </c>
      <c r="J21" s="135">
        <v>119.13</v>
      </c>
      <c r="K21" s="135">
        <v>119.13</v>
      </c>
      <c r="L21" s="135">
        <f>M21/K21</f>
        <v>8226.30739528247</v>
      </c>
      <c r="M21" s="233">
        <v>980000</v>
      </c>
      <c r="N21" s="184">
        <v>8226.31</v>
      </c>
      <c r="O21" s="190"/>
      <c r="P21" s="234"/>
      <c r="Q21" s="234"/>
      <c r="R21" s="184"/>
      <c r="S21" s="185"/>
      <c r="T21" s="220"/>
      <c r="U21" s="185" t="s">
        <v>842</v>
      </c>
      <c r="V21" s="184">
        <v>20000</v>
      </c>
      <c r="W21" s="185">
        <v>45536</v>
      </c>
      <c r="X21" s="184">
        <v>380000</v>
      </c>
      <c r="Y21" s="185" t="s">
        <v>918</v>
      </c>
      <c r="Z21" s="184">
        <v>580000</v>
      </c>
      <c r="AA21" s="185" t="s">
        <v>581</v>
      </c>
      <c r="AB21" s="184"/>
      <c r="AH21" s="184">
        <f t="shared" si="0"/>
        <v>980000</v>
      </c>
      <c r="AK21" s="190">
        <f>M21-AH21</f>
        <v>0</v>
      </c>
      <c r="AL21" s="135">
        <v>13899014069</v>
      </c>
      <c r="AO21" s="135">
        <f t="shared" si="1"/>
        <v>980000</v>
      </c>
      <c r="AP21" s="166">
        <f>0.5%+0.04%+0.1%</f>
        <v>0.0064</v>
      </c>
      <c r="AQ21" s="237">
        <f t="shared" si="2"/>
        <v>0</v>
      </c>
      <c r="AR21" s="184"/>
      <c r="AS21" s="184"/>
      <c r="AT21" s="184"/>
      <c r="AU21" s="184"/>
      <c r="AV21" s="184"/>
      <c r="AW21" s="184"/>
      <c r="AX21" s="184"/>
      <c r="AY21" s="184"/>
      <c r="AZ21" s="184"/>
      <c r="BB21" s="184"/>
      <c r="BL21" s="132"/>
      <c r="BM21" s="132"/>
      <c r="BN21" s="132">
        <v>400000</v>
      </c>
      <c r="BO21" s="135">
        <v>580000</v>
      </c>
      <c r="BT21" s="135" t="s">
        <v>496</v>
      </c>
    </row>
    <row r="22" s="132" customFormat="1" customHeight="1" spans="1:54">
      <c r="A22" s="212">
        <v>3</v>
      </c>
      <c r="C22" s="219"/>
      <c r="I22" s="231" t="s">
        <v>3239</v>
      </c>
      <c r="J22" s="132">
        <v>117.91</v>
      </c>
      <c r="M22" s="213"/>
      <c r="N22" s="215">
        <v>5745.6</v>
      </c>
      <c r="O22" s="173"/>
      <c r="P22" s="229"/>
      <c r="Q22" s="229"/>
      <c r="R22" s="215"/>
      <c r="S22" s="216"/>
      <c r="T22" s="212"/>
      <c r="U22" s="216"/>
      <c r="V22" s="215"/>
      <c r="X22" s="215"/>
      <c r="Y22" s="242"/>
      <c r="AA22" s="173"/>
      <c r="AB22" s="215"/>
      <c r="AH22" s="215">
        <f t="shared" si="0"/>
        <v>0</v>
      </c>
      <c r="AK22" s="173"/>
      <c r="AO22" s="132">
        <f t="shared" si="1"/>
        <v>0</v>
      </c>
      <c r="AP22" s="250"/>
      <c r="AQ22" s="251">
        <f t="shared" si="2"/>
        <v>0</v>
      </c>
      <c r="AR22" s="215"/>
      <c r="AS22" s="215"/>
      <c r="AT22" s="215"/>
      <c r="AU22" s="215"/>
      <c r="AV22" s="215"/>
      <c r="AW22" s="215"/>
      <c r="AX22" s="215"/>
      <c r="AY22" s="215"/>
      <c r="AZ22" s="215"/>
      <c r="BB22" s="215"/>
    </row>
    <row r="23" s="135" customFormat="1" customHeight="1" spans="1:72">
      <c r="A23" s="220">
        <v>4</v>
      </c>
      <c r="C23" s="164" t="s">
        <v>163</v>
      </c>
      <c r="D23" s="135">
        <v>20240005733</v>
      </c>
      <c r="F23" s="834" t="s">
        <v>201</v>
      </c>
      <c r="G23" s="135" t="s">
        <v>202</v>
      </c>
      <c r="H23" s="834" t="s">
        <v>3240</v>
      </c>
      <c r="I23" s="232" t="s">
        <v>3241</v>
      </c>
      <c r="J23" s="135">
        <v>117.54</v>
      </c>
      <c r="K23" s="135">
        <v>117.54</v>
      </c>
      <c r="L23" s="135">
        <f>M23/K23</f>
        <v>5410.92394078612</v>
      </c>
      <c r="M23" s="233">
        <v>636000</v>
      </c>
      <c r="N23" s="235">
        <v>5410.92</v>
      </c>
      <c r="O23" s="190"/>
      <c r="P23" s="234"/>
      <c r="Q23" s="234"/>
      <c r="R23" s="184">
        <f>508000+10000</f>
        <v>518000</v>
      </c>
      <c r="S23" s="185" t="s">
        <v>623</v>
      </c>
      <c r="T23" s="220"/>
      <c r="U23" s="185" t="s">
        <v>524</v>
      </c>
      <c r="V23" s="184">
        <v>20000</v>
      </c>
      <c r="W23" s="185" t="s">
        <v>682</v>
      </c>
      <c r="X23" s="184">
        <v>72000</v>
      </c>
      <c r="Y23" s="185">
        <v>45550</v>
      </c>
      <c r="Z23" s="184">
        <v>16000</v>
      </c>
      <c r="AA23" s="185" t="s">
        <v>269</v>
      </c>
      <c r="AB23" s="184">
        <v>10000</v>
      </c>
      <c r="AC23" s="185" t="s">
        <v>623</v>
      </c>
      <c r="AD23" s="135">
        <v>508000</v>
      </c>
      <c r="AE23" s="135" t="s">
        <v>3242</v>
      </c>
      <c r="AH23" s="184">
        <f t="shared" si="0"/>
        <v>626000</v>
      </c>
      <c r="AK23" s="190">
        <f>M23-AH23</f>
        <v>10000</v>
      </c>
      <c r="AL23" s="135">
        <v>13279972119</v>
      </c>
      <c r="AM23" s="135" t="s">
        <v>3243</v>
      </c>
      <c r="AO23" s="135">
        <f t="shared" si="1"/>
        <v>0</v>
      </c>
      <c r="AP23" s="166">
        <f>0.7%+0.08%</f>
        <v>0.0078</v>
      </c>
      <c r="AQ23" s="237">
        <f t="shared" si="2"/>
        <v>0</v>
      </c>
      <c r="AR23" s="184"/>
      <c r="AS23" s="184"/>
      <c r="AT23" s="184"/>
      <c r="AU23" s="184"/>
      <c r="AV23" s="184"/>
      <c r="AW23" s="184"/>
      <c r="AX23" s="184"/>
      <c r="AY23" s="184"/>
      <c r="AZ23" s="184"/>
      <c r="BB23" s="184"/>
      <c r="BT23" s="135" t="s">
        <v>496</v>
      </c>
    </row>
    <row r="24" s="135" customFormat="1" customHeight="1" spans="1:72">
      <c r="A24" s="220">
        <v>5</v>
      </c>
      <c r="C24" s="164" t="s">
        <v>3244</v>
      </c>
      <c r="D24" s="135">
        <v>20240003958</v>
      </c>
      <c r="F24" s="834" t="s">
        <v>3245</v>
      </c>
      <c r="G24" s="135" t="s">
        <v>3246</v>
      </c>
      <c r="H24" s="834" t="s">
        <v>3247</v>
      </c>
      <c r="I24" s="236" t="s">
        <v>3248</v>
      </c>
      <c r="J24" s="135">
        <v>117.91</v>
      </c>
      <c r="K24" s="135">
        <v>117.91</v>
      </c>
      <c r="L24" s="135">
        <v>5784</v>
      </c>
      <c r="M24" s="233">
        <v>682000</v>
      </c>
      <c r="N24" s="237">
        <v>5784.07</v>
      </c>
      <c r="O24" s="190"/>
      <c r="P24" s="234"/>
      <c r="Q24" s="234"/>
      <c r="R24" s="184"/>
      <c r="S24" s="185"/>
      <c r="T24" s="220"/>
      <c r="U24" s="185" t="s">
        <v>721</v>
      </c>
      <c r="V24" s="184">
        <v>10000</v>
      </c>
      <c r="W24" s="185" t="s">
        <v>3249</v>
      </c>
      <c r="X24" s="184">
        <v>200000</v>
      </c>
      <c r="Y24" s="185" t="s">
        <v>3244</v>
      </c>
      <c r="Z24" s="184">
        <v>472000</v>
      </c>
      <c r="AA24" s="185" t="s">
        <v>3250</v>
      </c>
      <c r="AB24" s="184"/>
      <c r="AH24" s="184">
        <f t="shared" si="0"/>
        <v>682000</v>
      </c>
      <c r="AK24" s="190">
        <f>M24-AH24</f>
        <v>0</v>
      </c>
      <c r="AL24" s="135">
        <v>17789135370</v>
      </c>
      <c r="AO24" s="135">
        <f t="shared" si="1"/>
        <v>682000</v>
      </c>
      <c r="AP24" s="166">
        <f>0.7%+0.02%+0.08%</f>
        <v>0.008</v>
      </c>
      <c r="AQ24" s="237">
        <f t="shared" si="2"/>
        <v>0</v>
      </c>
      <c r="AR24" s="184"/>
      <c r="AS24" s="184"/>
      <c r="AT24" s="184"/>
      <c r="AU24" s="184"/>
      <c r="AV24" s="184"/>
      <c r="AW24" s="184"/>
      <c r="AX24" s="184"/>
      <c r="AY24" s="184"/>
      <c r="AZ24" s="184"/>
      <c r="BB24" s="184"/>
      <c r="BK24" s="135">
        <v>210000</v>
      </c>
      <c r="BL24" s="135">
        <v>472000</v>
      </c>
      <c r="BT24" s="135" t="s">
        <v>496</v>
      </c>
    </row>
    <row r="25" s="135" customFormat="1" customHeight="1" spans="1:72">
      <c r="A25" s="220">
        <v>6</v>
      </c>
      <c r="B25" s="135">
        <v>1</v>
      </c>
      <c r="C25" s="164" t="s">
        <v>383</v>
      </c>
      <c r="D25" s="135">
        <v>20240006995</v>
      </c>
      <c r="F25" s="834" t="s">
        <v>384</v>
      </c>
      <c r="G25" s="135" t="s">
        <v>385</v>
      </c>
      <c r="H25" s="834" t="s">
        <v>3251</v>
      </c>
      <c r="I25" s="232" t="s">
        <v>3252</v>
      </c>
      <c r="J25" s="135">
        <v>117.54</v>
      </c>
      <c r="K25" s="135">
        <v>117.54</v>
      </c>
      <c r="L25" s="135">
        <v>5600</v>
      </c>
      <c r="M25" s="233">
        <v>658224</v>
      </c>
      <c r="N25" s="184">
        <v>5815.88</v>
      </c>
      <c r="O25" s="190"/>
      <c r="P25" s="234"/>
      <c r="Q25" s="234"/>
      <c r="R25" s="184">
        <f>79224+20000+559000</f>
        <v>658224</v>
      </c>
      <c r="S25" s="185" t="s">
        <v>3253</v>
      </c>
      <c r="T25" s="220"/>
      <c r="U25" s="185" t="s">
        <v>2249</v>
      </c>
      <c r="V25" s="184">
        <f>79224+20000</f>
        <v>99224</v>
      </c>
      <c r="W25" s="185" t="s">
        <v>3253</v>
      </c>
      <c r="X25" s="184">
        <v>559000</v>
      </c>
      <c r="Y25" s="243" t="s">
        <v>903</v>
      </c>
      <c r="AA25" s="190"/>
      <c r="AB25" s="184"/>
      <c r="AH25" s="184">
        <f t="shared" si="0"/>
        <v>658224</v>
      </c>
      <c r="AK25" s="190">
        <f>M25-AH25</f>
        <v>0</v>
      </c>
      <c r="AL25" s="135">
        <v>18167700911</v>
      </c>
      <c r="AM25" s="135" t="s">
        <v>3254</v>
      </c>
      <c r="AO25" s="135">
        <f t="shared" si="1"/>
        <v>658224</v>
      </c>
      <c r="AP25" s="166">
        <f>0.4%+0.05%+0.12%+0.03%</f>
        <v>0.006</v>
      </c>
      <c r="AQ25" s="237">
        <f t="shared" si="2"/>
        <v>0</v>
      </c>
      <c r="AR25" s="184"/>
      <c r="AS25" s="184"/>
      <c r="AT25" s="184"/>
      <c r="AU25" s="184"/>
      <c r="AV25" s="184"/>
      <c r="AW25" s="184"/>
      <c r="AX25" s="184"/>
      <c r="AY25" s="184"/>
      <c r="AZ25" s="184"/>
      <c r="BB25" s="184"/>
      <c r="BP25" s="135">
        <v>658224</v>
      </c>
      <c r="BR25" s="135">
        <f>BP25*AP25</f>
        <v>3949.344</v>
      </c>
      <c r="BT25" s="135" t="s">
        <v>496</v>
      </c>
    </row>
    <row r="26" s="132" customFormat="1" customHeight="1" spans="1:54">
      <c r="A26" s="212">
        <v>7</v>
      </c>
      <c r="C26" s="219"/>
      <c r="I26" s="230" t="s">
        <v>3255</v>
      </c>
      <c r="J26" s="132">
        <v>117.91</v>
      </c>
      <c r="M26" s="213"/>
      <c r="N26" s="215">
        <v>5825.88</v>
      </c>
      <c r="O26" s="173"/>
      <c r="P26" s="229"/>
      <c r="Q26" s="229"/>
      <c r="R26" s="215"/>
      <c r="S26" s="216"/>
      <c r="T26" s="212"/>
      <c r="U26" s="216"/>
      <c r="V26" s="215"/>
      <c r="X26" s="215"/>
      <c r="Y26" s="242"/>
      <c r="AA26" s="173"/>
      <c r="AB26" s="215"/>
      <c r="AH26" s="215">
        <f t="shared" si="0"/>
        <v>0</v>
      </c>
      <c r="AK26" s="173"/>
      <c r="AO26" s="132">
        <f t="shared" si="1"/>
        <v>0</v>
      </c>
      <c r="AP26" s="250"/>
      <c r="AQ26" s="251">
        <f t="shared" si="2"/>
        <v>0</v>
      </c>
      <c r="AR26" s="215"/>
      <c r="AS26" s="215"/>
      <c r="AT26" s="215"/>
      <c r="AU26" s="215"/>
      <c r="AV26" s="215"/>
      <c r="AW26" s="215"/>
      <c r="AX26" s="215"/>
      <c r="AY26" s="215"/>
      <c r="AZ26" s="215"/>
      <c r="BB26" s="215"/>
    </row>
    <row r="27" s="132" customFormat="1" customHeight="1" spans="1:54">
      <c r="A27" s="212">
        <v>8</v>
      </c>
      <c r="C27" s="219"/>
      <c r="I27" s="228" t="s">
        <v>3256</v>
      </c>
      <c r="J27" s="132">
        <v>117.54</v>
      </c>
      <c r="M27" s="213"/>
      <c r="N27" s="215">
        <v>5845.88</v>
      </c>
      <c r="O27" s="173"/>
      <c r="P27" s="229"/>
      <c r="Q27" s="229"/>
      <c r="R27" s="215"/>
      <c r="S27" s="216"/>
      <c r="T27" s="212"/>
      <c r="U27" s="216"/>
      <c r="V27" s="215"/>
      <c r="X27" s="215"/>
      <c r="Y27" s="242"/>
      <c r="AA27" s="173"/>
      <c r="AB27" s="215"/>
      <c r="AH27" s="215">
        <f t="shared" si="0"/>
        <v>0</v>
      </c>
      <c r="AK27" s="173"/>
      <c r="AO27" s="132">
        <f t="shared" si="1"/>
        <v>0</v>
      </c>
      <c r="AP27" s="250"/>
      <c r="AQ27" s="251">
        <f t="shared" si="2"/>
        <v>0</v>
      </c>
      <c r="AR27" s="215"/>
      <c r="AS27" s="215"/>
      <c r="AT27" s="215"/>
      <c r="AU27" s="215"/>
      <c r="AV27" s="215"/>
      <c r="AW27" s="215"/>
      <c r="AX27" s="215"/>
      <c r="AY27" s="215"/>
      <c r="AZ27" s="215"/>
      <c r="BB27" s="215"/>
    </row>
    <row r="28" s="135" customFormat="1" customHeight="1" spans="1:72">
      <c r="A28" s="220">
        <v>9</v>
      </c>
      <c r="C28" s="191">
        <v>45538</v>
      </c>
      <c r="D28" s="135">
        <v>20240005071</v>
      </c>
      <c r="F28" s="834" t="s">
        <v>3257</v>
      </c>
      <c r="G28" s="135" t="s">
        <v>3258</v>
      </c>
      <c r="H28" s="834" t="s">
        <v>3259</v>
      </c>
      <c r="I28" s="236" t="s">
        <v>3260</v>
      </c>
      <c r="J28" s="135">
        <v>117.91</v>
      </c>
      <c r="K28" s="135">
        <v>117.91</v>
      </c>
      <c r="L28" s="135">
        <f>M28/K28</f>
        <v>5549.99575947757</v>
      </c>
      <c r="M28" s="233">
        <v>654400</v>
      </c>
      <c r="N28" s="235">
        <v>5549.996</v>
      </c>
      <c r="O28" s="190"/>
      <c r="P28" s="234"/>
      <c r="Q28" s="234"/>
      <c r="R28" s="184"/>
      <c r="S28" s="185"/>
      <c r="T28" s="220"/>
      <c r="U28" s="185" t="s">
        <v>524</v>
      </c>
      <c r="V28" s="184">
        <v>10000</v>
      </c>
      <c r="W28" s="185" t="s">
        <v>3261</v>
      </c>
      <c r="X28" s="184">
        <v>269400</v>
      </c>
      <c r="Y28" s="185">
        <v>45538</v>
      </c>
      <c r="Z28" s="184">
        <v>375000</v>
      </c>
      <c r="AA28" s="185" t="s">
        <v>733</v>
      </c>
      <c r="AB28" s="184"/>
      <c r="AH28" s="184">
        <f t="shared" si="0"/>
        <v>654400</v>
      </c>
      <c r="AK28" s="190">
        <f>M28-AH28</f>
        <v>0</v>
      </c>
      <c r="AL28" s="135">
        <v>18095839597</v>
      </c>
      <c r="AM28" s="135" t="s">
        <v>3262</v>
      </c>
      <c r="AO28" s="135">
        <f t="shared" si="1"/>
        <v>654400</v>
      </c>
      <c r="AP28" s="166">
        <f>0.7%+0.08%</f>
        <v>0.0078</v>
      </c>
      <c r="AQ28" s="237">
        <f t="shared" si="2"/>
        <v>0</v>
      </c>
      <c r="AR28" s="184"/>
      <c r="AS28" s="184"/>
      <c r="AT28" s="184"/>
      <c r="AU28" s="184"/>
      <c r="AV28" s="184"/>
      <c r="AW28" s="184"/>
      <c r="AX28" s="184"/>
      <c r="AY28" s="184"/>
      <c r="AZ28" s="184"/>
      <c r="BB28" s="184"/>
      <c r="BM28" s="135">
        <v>279400</v>
      </c>
      <c r="BN28" s="135">
        <v>375000</v>
      </c>
      <c r="BT28" s="135" t="s">
        <v>496</v>
      </c>
    </row>
    <row r="29" s="132" customFormat="1" customHeight="1" spans="1:54">
      <c r="A29" s="212">
        <v>10</v>
      </c>
      <c r="C29" s="219"/>
      <c r="I29" s="238" t="s">
        <v>3263</v>
      </c>
      <c r="J29" s="132">
        <v>117.54</v>
      </c>
      <c r="M29" s="213"/>
      <c r="N29" s="215">
        <v>5915.88</v>
      </c>
      <c r="O29" s="173"/>
      <c r="P29" s="229"/>
      <c r="Q29" s="229"/>
      <c r="R29" s="215"/>
      <c r="S29" s="216"/>
      <c r="T29" s="212"/>
      <c r="U29" s="216"/>
      <c r="V29" s="215"/>
      <c r="W29" s="216"/>
      <c r="X29" s="215"/>
      <c r="Y29" s="242"/>
      <c r="AA29" s="173"/>
      <c r="AB29" s="215"/>
      <c r="AH29" s="215">
        <f t="shared" si="0"/>
        <v>0</v>
      </c>
      <c r="AK29" s="173"/>
      <c r="AO29" s="132">
        <f t="shared" si="1"/>
        <v>0</v>
      </c>
      <c r="AP29" s="250"/>
      <c r="AQ29" s="251">
        <f t="shared" si="2"/>
        <v>100</v>
      </c>
      <c r="AR29" s="215"/>
      <c r="AS29" s="215"/>
      <c r="AT29" s="215"/>
      <c r="AU29" s="215"/>
      <c r="AV29" s="215"/>
      <c r="AW29" s="215"/>
      <c r="AX29" s="215"/>
      <c r="AY29" s="215">
        <v>100</v>
      </c>
      <c r="AZ29" s="215"/>
      <c r="BB29" s="215"/>
    </row>
    <row r="30" s="132" customFormat="1" customHeight="1" spans="1:54">
      <c r="A30" s="212">
        <v>11</v>
      </c>
      <c r="C30" s="219"/>
      <c r="I30" s="230" t="s">
        <v>3264</v>
      </c>
      <c r="J30" s="132">
        <v>117.91</v>
      </c>
      <c r="M30" s="213"/>
      <c r="N30" s="215">
        <v>5960.88</v>
      </c>
      <c r="O30" s="173"/>
      <c r="P30" s="229"/>
      <c r="Q30" s="229"/>
      <c r="R30" s="215"/>
      <c r="S30" s="216"/>
      <c r="T30" s="212"/>
      <c r="U30" s="216"/>
      <c r="V30" s="215"/>
      <c r="X30" s="215"/>
      <c r="Y30" s="242"/>
      <c r="AA30" s="173"/>
      <c r="AB30" s="215"/>
      <c r="AH30" s="215">
        <f t="shared" si="0"/>
        <v>0</v>
      </c>
      <c r="AK30" s="173"/>
      <c r="AO30" s="132">
        <f t="shared" si="1"/>
        <v>0</v>
      </c>
      <c r="AP30" s="250"/>
      <c r="AQ30" s="251">
        <f t="shared" si="2"/>
        <v>0</v>
      </c>
      <c r="AR30" s="215"/>
      <c r="AS30" s="215"/>
      <c r="AT30" s="215"/>
      <c r="AU30" s="215"/>
      <c r="AV30" s="215"/>
      <c r="AW30" s="215"/>
      <c r="AX30" s="215"/>
      <c r="AY30" s="215"/>
      <c r="AZ30" s="215"/>
      <c r="BB30" s="215"/>
    </row>
    <row r="31" s="135" customFormat="1" customHeight="1" spans="1:72">
      <c r="A31" s="220">
        <v>12</v>
      </c>
      <c r="C31" s="164" t="s">
        <v>206</v>
      </c>
      <c r="D31" s="135">
        <v>20240006811</v>
      </c>
      <c r="F31" s="834" t="s">
        <v>207</v>
      </c>
      <c r="G31" s="135" t="s">
        <v>208</v>
      </c>
      <c r="H31" s="834" t="s">
        <v>3265</v>
      </c>
      <c r="I31" s="232" t="s">
        <v>3266</v>
      </c>
      <c r="J31" s="135">
        <v>117.54</v>
      </c>
      <c r="K31" s="135">
        <v>117.54</v>
      </c>
      <c r="L31" s="135">
        <v>5980.88</v>
      </c>
      <c r="M31" s="233">
        <v>702993</v>
      </c>
      <c r="N31" s="184">
        <v>5980.88</v>
      </c>
      <c r="O31" s="190"/>
      <c r="P31" s="234"/>
      <c r="Q31" s="234"/>
      <c r="R31" s="184"/>
      <c r="S31" s="185"/>
      <c r="T31" s="844" t="s">
        <v>3267</v>
      </c>
      <c r="U31" s="185" t="s">
        <v>590</v>
      </c>
      <c r="V31" s="184">
        <v>2000</v>
      </c>
      <c r="W31" s="185" t="s">
        <v>3268</v>
      </c>
      <c r="X31" s="184">
        <v>18000</v>
      </c>
      <c r="Y31" s="185" t="s">
        <v>3269</v>
      </c>
      <c r="Z31" s="184">
        <v>482993</v>
      </c>
      <c r="AA31" s="185" t="s">
        <v>206</v>
      </c>
      <c r="AB31" s="184"/>
      <c r="AH31" s="184">
        <f t="shared" si="0"/>
        <v>502993</v>
      </c>
      <c r="AK31" s="190">
        <f>M31-AH31</f>
        <v>200000</v>
      </c>
      <c r="AL31" s="135">
        <v>13779689564</v>
      </c>
      <c r="AO31" s="135">
        <f t="shared" si="1"/>
        <v>502993</v>
      </c>
      <c r="AP31" s="166">
        <f>0.7%+0.02%+0.08%</f>
        <v>0.008</v>
      </c>
      <c r="AQ31" s="237">
        <f t="shared" si="2"/>
        <v>0</v>
      </c>
      <c r="AR31" s="184"/>
      <c r="AS31" s="184"/>
      <c r="AT31" s="184"/>
      <c r="AU31" s="184"/>
      <c r="AV31" s="184"/>
      <c r="AW31" s="184"/>
      <c r="AX31" s="184"/>
      <c r="AY31" s="184"/>
      <c r="AZ31" s="184"/>
      <c r="BB31" s="184"/>
      <c r="BO31" s="135">
        <v>502993</v>
      </c>
      <c r="BT31" s="135" t="s">
        <v>496</v>
      </c>
    </row>
    <row r="32" s="132" customFormat="1" customHeight="1" spans="1:54">
      <c r="A32" s="212">
        <v>13</v>
      </c>
      <c r="C32" s="219"/>
      <c r="I32" s="230" t="s">
        <v>3270</v>
      </c>
      <c r="J32" s="132">
        <v>117.91</v>
      </c>
      <c r="M32" s="213"/>
      <c r="N32" s="215">
        <v>6005.88</v>
      </c>
      <c r="O32" s="173"/>
      <c r="P32" s="229"/>
      <c r="Q32" s="229"/>
      <c r="R32" s="215"/>
      <c r="S32" s="216"/>
      <c r="T32" s="212"/>
      <c r="U32" s="216"/>
      <c r="V32" s="215"/>
      <c r="X32" s="215"/>
      <c r="Y32" s="242"/>
      <c r="AA32" s="173"/>
      <c r="AB32" s="215"/>
      <c r="AH32" s="215">
        <f t="shared" si="0"/>
        <v>0</v>
      </c>
      <c r="AK32" s="173"/>
      <c r="AO32" s="132">
        <f t="shared" si="1"/>
        <v>0</v>
      </c>
      <c r="AP32" s="250"/>
      <c r="AQ32" s="251">
        <f t="shared" si="2"/>
        <v>0</v>
      </c>
      <c r="AR32" s="215"/>
      <c r="AS32" s="215"/>
      <c r="AT32" s="215"/>
      <c r="AU32" s="215"/>
      <c r="AV32" s="215"/>
      <c r="AW32" s="215"/>
      <c r="AX32" s="215"/>
      <c r="AY32" s="215"/>
      <c r="AZ32" s="215"/>
      <c r="BB32" s="215"/>
    </row>
    <row r="33" s="132" customFormat="1" customHeight="1" spans="1:54">
      <c r="A33" s="212">
        <v>14</v>
      </c>
      <c r="C33" s="219"/>
      <c r="I33" s="228" t="s">
        <v>3271</v>
      </c>
      <c r="J33" s="132">
        <v>117.54</v>
      </c>
      <c r="M33" s="213"/>
      <c r="N33" s="215">
        <v>6025.88</v>
      </c>
      <c r="O33" s="173"/>
      <c r="P33" s="229"/>
      <c r="Q33" s="229"/>
      <c r="R33" s="215"/>
      <c r="S33" s="216"/>
      <c r="T33" s="212"/>
      <c r="U33" s="216"/>
      <c r="V33" s="215"/>
      <c r="X33" s="215"/>
      <c r="Y33" s="242"/>
      <c r="AA33" s="173"/>
      <c r="AB33" s="215"/>
      <c r="AH33" s="215">
        <f t="shared" si="0"/>
        <v>0</v>
      </c>
      <c r="AK33" s="173"/>
      <c r="AO33" s="132">
        <f t="shared" si="1"/>
        <v>0</v>
      </c>
      <c r="AP33" s="250"/>
      <c r="AQ33" s="251">
        <f t="shared" si="2"/>
        <v>0</v>
      </c>
      <c r="AR33" s="215"/>
      <c r="AS33" s="215"/>
      <c r="AT33" s="215"/>
      <c r="AU33" s="215"/>
      <c r="AV33" s="215"/>
      <c r="AW33" s="215"/>
      <c r="AX33" s="215"/>
      <c r="AY33" s="215"/>
      <c r="AZ33" s="215"/>
      <c r="BB33" s="215"/>
    </row>
    <row r="34" s="132" customFormat="1" customHeight="1" spans="1:54">
      <c r="A34" s="212">
        <v>15</v>
      </c>
      <c r="C34" s="219"/>
      <c r="I34" s="230" t="s">
        <v>3272</v>
      </c>
      <c r="J34" s="132">
        <v>117.91</v>
      </c>
      <c r="M34" s="213"/>
      <c r="N34" s="215">
        <v>6030.88</v>
      </c>
      <c r="O34" s="173"/>
      <c r="P34" s="229"/>
      <c r="Q34" s="229"/>
      <c r="R34" s="215"/>
      <c r="S34" s="216"/>
      <c r="T34" s="212"/>
      <c r="U34" s="216"/>
      <c r="V34" s="215"/>
      <c r="X34" s="215"/>
      <c r="Y34" s="242"/>
      <c r="AA34" s="173"/>
      <c r="AB34" s="215"/>
      <c r="AH34" s="215">
        <f t="shared" si="0"/>
        <v>0</v>
      </c>
      <c r="AK34" s="173"/>
      <c r="AO34" s="132">
        <f t="shared" si="1"/>
        <v>0</v>
      </c>
      <c r="AP34" s="250"/>
      <c r="AQ34" s="251">
        <f t="shared" si="2"/>
        <v>0</v>
      </c>
      <c r="AR34" s="215"/>
      <c r="AS34" s="215"/>
      <c r="AT34" s="215"/>
      <c r="AU34" s="215"/>
      <c r="AV34" s="215"/>
      <c r="AW34" s="215"/>
      <c r="AX34" s="215"/>
      <c r="AY34" s="215"/>
      <c r="AZ34" s="215"/>
      <c r="BB34" s="215"/>
    </row>
    <row r="35" s="135" customFormat="1" customHeight="1" spans="1:54">
      <c r="A35" s="220">
        <v>16</v>
      </c>
      <c r="B35" s="135">
        <v>1</v>
      </c>
      <c r="C35" s="164"/>
      <c r="F35" s="834" t="s">
        <v>3273</v>
      </c>
      <c r="G35" s="135" t="s">
        <v>3274</v>
      </c>
      <c r="H35" s="834" t="s">
        <v>3275</v>
      </c>
      <c r="I35" s="232" t="s">
        <v>3276</v>
      </c>
      <c r="J35" s="135">
        <v>117.54</v>
      </c>
      <c r="K35" s="135">
        <v>117.54</v>
      </c>
      <c r="L35" s="135">
        <v>5778.55</v>
      </c>
      <c r="M35" s="233">
        <v>679211</v>
      </c>
      <c r="N35" s="184">
        <v>6050.88</v>
      </c>
      <c r="O35" s="190"/>
      <c r="P35" s="234"/>
      <c r="Q35" s="234"/>
      <c r="R35" s="184"/>
      <c r="S35" s="185"/>
      <c r="T35" s="220"/>
      <c r="U35" s="185" t="s">
        <v>842</v>
      </c>
      <c r="V35" s="184"/>
      <c r="X35" s="184"/>
      <c r="Y35" s="243"/>
      <c r="AA35" s="190"/>
      <c r="AB35" s="184"/>
      <c r="AH35" s="184">
        <f t="shared" si="0"/>
        <v>0</v>
      </c>
      <c r="AK35" s="190">
        <f>M35-AH35</f>
        <v>679211</v>
      </c>
      <c r="AL35" s="135">
        <v>13565612721</v>
      </c>
      <c r="AM35" s="135" t="s">
        <v>3277</v>
      </c>
      <c r="AO35" s="135">
        <f t="shared" si="1"/>
        <v>0</v>
      </c>
      <c r="AP35" s="166">
        <f>0.6%+0.04%+0.12%+0.03%</f>
        <v>0.0079</v>
      </c>
      <c r="AQ35" s="237">
        <f t="shared" si="2"/>
        <v>0</v>
      </c>
      <c r="AR35" s="184"/>
      <c r="AS35" s="184"/>
      <c r="AT35" s="184"/>
      <c r="AU35" s="184"/>
      <c r="AV35" s="184"/>
      <c r="AW35" s="184"/>
      <c r="AX35" s="184"/>
      <c r="AY35" s="184"/>
      <c r="AZ35" s="184"/>
      <c r="BB35" s="184"/>
    </row>
    <row r="36" s="135" customFormat="1" customHeight="1" spans="1:72">
      <c r="A36" s="220">
        <v>17</v>
      </c>
      <c r="C36" s="164" t="s">
        <v>213</v>
      </c>
      <c r="D36" s="135">
        <v>20240006859</v>
      </c>
      <c r="F36" s="834" t="s">
        <v>214</v>
      </c>
      <c r="G36" s="135" t="s">
        <v>215</v>
      </c>
      <c r="H36" s="834" t="s">
        <v>3278</v>
      </c>
      <c r="I36" s="236" t="s">
        <v>3279</v>
      </c>
      <c r="J36" s="135">
        <v>117.91</v>
      </c>
      <c r="K36" s="135">
        <v>117.91</v>
      </c>
      <c r="L36" s="135">
        <v>5885.48</v>
      </c>
      <c r="M36" s="233">
        <v>693957</v>
      </c>
      <c r="N36" s="184">
        <v>6055.88</v>
      </c>
      <c r="O36" s="190"/>
      <c r="P36" s="234"/>
      <c r="Q36" s="234"/>
      <c r="R36" s="184"/>
      <c r="S36" s="185"/>
      <c r="T36" s="220"/>
      <c r="U36" s="185" t="s">
        <v>590</v>
      </c>
      <c r="V36" s="184">
        <v>20000</v>
      </c>
      <c r="W36" s="185" t="s">
        <v>3280</v>
      </c>
      <c r="X36" s="184">
        <v>173957</v>
      </c>
      <c r="Y36" s="185" t="s">
        <v>213</v>
      </c>
      <c r="AA36" s="190"/>
      <c r="AB36" s="184"/>
      <c r="AH36" s="184">
        <f t="shared" si="0"/>
        <v>193957</v>
      </c>
      <c r="AK36" s="190">
        <f>M36-AH36</f>
        <v>500000</v>
      </c>
      <c r="AL36" s="135">
        <v>18571641326</v>
      </c>
      <c r="AM36" s="135" t="s">
        <v>3254</v>
      </c>
      <c r="AO36" s="135">
        <f t="shared" si="1"/>
        <v>193957</v>
      </c>
      <c r="AP36" s="166">
        <f>0.5%+0.02%+0.08%</f>
        <v>0.006</v>
      </c>
      <c r="AQ36" s="237">
        <f t="shared" si="2"/>
        <v>0</v>
      </c>
      <c r="AR36" s="184"/>
      <c r="AS36" s="184"/>
      <c r="AT36" s="184"/>
      <c r="AU36" s="184"/>
      <c r="AV36" s="184"/>
      <c r="AW36" s="184"/>
      <c r="AX36" s="184"/>
      <c r="AY36" s="184"/>
      <c r="AZ36" s="184"/>
      <c r="BB36" s="184"/>
      <c r="BO36" s="135">
        <v>193957</v>
      </c>
      <c r="BT36" s="135" t="s">
        <v>496</v>
      </c>
    </row>
    <row r="37" s="132" customFormat="1" customHeight="1" spans="1:54">
      <c r="A37" s="212">
        <v>18</v>
      </c>
      <c r="C37" s="219"/>
      <c r="I37" s="228" t="s">
        <v>3281</v>
      </c>
      <c r="J37" s="132">
        <v>117.54</v>
      </c>
      <c r="M37" s="213"/>
      <c r="N37" s="215">
        <v>6075.88</v>
      </c>
      <c r="O37" s="173"/>
      <c r="P37" s="229"/>
      <c r="Q37" s="229"/>
      <c r="R37" s="215"/>
      <c r="S37" s="216"/>
      <c r="T37" s="212"/>
      <c r="U37" s="216"/>
      <c r="V37" s="215"/>
      <c r="X37" s="215"/>
      <c r="Y37" s="242"/>
      <c r="AA37" s="173"/>
      <c r="AB37" s="215"/>
      <c r="AH37" s="215">
        <f t="shared" si="0"/>
        <v>0</v>
      </c>
      <c r="AK37" s="173"/>
      <c r="AO37" s="132">
        <f t="shared" si="1"/>
        <v>0</v>
      </c>
      <c r="AP37" s="250"/>
      <c r="AQ37" s="251">
        <f t="shared" si="2"/>
        <v>0</v>
      </c>
      <c r="AR37" s="215"/>
      <c r="AS37" s="215"/>
      <c r="AT37" s="215"/>
      <c r="AU37" s="215"/>
      <c r="AV37" s="215"/>
      <c r="AW37" s="215"/>
      <c r="AX37" s="215"/>
      <c r="AY37" s="215"/>
      <c r="AZ37" s="215"/>
      <c r="BB37" s="215"/>
    </row>
    <row r="38" s="135" customFormat="1" customHeight="1" spans="1:72">
      <c r="A38" s="220">
        <v>19</v>
      </c>
      <c r="B38" s="135"/>
      <c r="C38" s="164" t="s">
        <v>219</v>
      </c>
      <c r="D38" s="135">
        <v>20240006777</v>
      </c>
      <c r="G38" s="135" t="s">
        <v>220</v>
      </c>
      <c r="I38" s="236" t="s">
        <v>3282</v>
      </c>
      <c r="J38" s="135">
        <v>117.91</v>
      </c>
      <c r="K38" s="135">
        <v>117.91</v>
      </c>
      <c r="L38" s="135">
        <v>5700</v>
      </c>
      <c r="M38" s="233">
        <v>672087</v>
      </c>
      <c r="N38" s="184">
        <v>6075.88</v>
      </c>
      <c r="O38" s="190"/>
      <c r="P38" s="234"/>
      <c r="Q38" s="234"/>
      <c r="R38" s="184"/>
      <c r="S38" s="185"/>
      <c r="T38" s="220"/>
      <c r="U38" s="185" t="s">
        <v>524</v>
      </c>
      <c r="V38" s="184">
        <v>186087</v>
      </c>
      <c r="W38" s="185" t="s">
        <v>219</v>
      </c>
      <c r="X38" s="184"/>
      <c r="Y38" s="243"/>
      <c r="AA38" s="190"/>
      <c r="AB38" s="184"/>
      <c r="AH38" s="184">
        <f t="shared" si="0"/>
        <v>186087</v>
      </c>
      <c r="AK38" s="190">
        <f>M38-AH38</f>
        <v>486000</v>
      </c>
      <c r="AM38" s="135" t="s">
        <v>3283</v>
      </c>
      <c r="AO38" s="135">
        <f t="shared" si="1"/>
        <v>186087</v>
      </c>
      <c r="AP38" s="166">
        <f>0.6%+0.08%+0.03%</f>
        <v>0.0071</v>
      </c>
      <c r="AQ38" s="237">
        <f t="shared" si="2"/>
        <v>0</v>
      </c>
      <c r="AR38" s="184"/>
      <c r="AS38" s="184"/>
      <c r="AT38" s="184"/>
      <c r="AU38" s="184"/>
      <c r="AV38" s="184"/>
      <c r="AW38" s="184"/>
      <c r="AX38" s="184"/>
      <c r="AY38" s="184"/>
      <c r="AZ38" s="184"/>
      <c r="BB38" s="184"/>
      <c r="BO38" s="135">
        <v>186087</v>
      </c>
      <c r="BT38" s="135" t="s">
        <v>496</v>
      </c>
    </row>
    <row r="39" s="132" customFormat="1" customHeight="1" spans="1:54">
      <c r="A39" s="212">
        <v>20</v>
      </c>
      <c r="C39" s="219"/>
      <c r="I39" s="230" t="s">
        <v>3284</v>
      </c>
      <c r="J39" s="132">
        <v>117.54</v>
      </c>
      <c r="M39" s="213"/>
      <c r="N39" s="215">
        <v>6095.88</v>
      </c>
      <c r="O39" s="173"/>
      <c r="P39" s="229"/>
      <c r="Q39" s="229"/>
      <c r="R39" s="215"/>
      <c r="S39" s="216"/>
      <c r="T39" s="212"/>
      <c r="U39" s="216"/>
      <c r="V39" s="215"/>
      <c r="X39" s="215"/>
      <c r="Y39" s="242"/>
      <c r="AA39" s="173"/>
      <c r="AB39" s="215"/>
      <c r="AH39" s="215">
        <f t="shared" si="0"/>
        <v>0</v>
      </c>
      <c r="AK39" s="173"/>
      <c r="AO39" s="132">
        <f t="shared" si="1"/>
        <v>0</v>
      </c>
      <c r="AP39" s="250"/>
      <c r="AQ39" s="251">
        <f t="shared" si="2"/>
        <v>0</v>
      </c>
      <c r="AR39" s="215"/>
      <c r="AS39" s="215"/>
      <c r="AT39" s="215"/>
      <c r="AU39" s="215"/>
      <c r="AV39" s="215"/>
      <c r="AW39" s="215"/>
      <c r="AX39" s="215"/>
      <c r="AY39" s="215"/>
      <c r="AZ39" s="215"/>
      <c r="BB39" s="215"/>
    </row>
    <row r="40" s="135" customFormat="1" customHeight="1" spans="1:72">
      <c r="A40" s="220">
        <v>21</v>
      </c>
      <c r="C40" s="191">
        <v>45548</v>
      </c>
      <c r="D40" s="135">
        <v>20240005254</v>
      </c>
      <c r="F40" s="834" t="s">
        <v>225</v>
      </c>
      <c r="G40" s="135" t="s">
        <v>226</v>
      </c>
      <c r="H40" s="834" t="s">
        <v>3285</v>
      </c>
      <c r="I40" s="236" t="s">
        <v>3286</v>
      </c>
      <c r="J40" s="135">
        <v>117.91</v>
      </c>
      <c r="K40" s="135">
        <v>117.91</v>
      </c>
      <c r="L40" s="135">
        <f>M40/K40</f>
        <v>6784.83589178187</v>
      </c>
      <c r="M40" s="233">
        <v>800000</v>
      </c>
      <c r="N40" s="235">
        <v>6784.835</v>
      </c>
      <c r="O40" s="190"/>
      <c r="P40" s="234"/>
      <c r="Q40" s="234"/>
      <c r="R40" s="184">
        <v>680000</v>
      </c>
      <c r="S40" s="185" t="s">
        <v>605</v>
      </c>
      <c r="T40" s="220"/>
      <c r="U40" s="185" t="s">
        <v>842</v>
      </c>
      <c r="V40" s="184">
        <v>20000</v>
      </c>
      <c r="W40" s="185" t="s">
        <v>3287</v>
      </c>
      <c r="X40" s="184">
        <v>100000</v>
      </c>
      <c r="Y40" s="185" t="s">
        <v>3288</v>
      </c>
      <c r="Z40" s="184">
        <v>680000</v>
      </c>
      <c r="AA40" s="185" t="s">
        <v>605</v>
      </c>
      <c r="AB40" s="184"/>
      <c r="AH40" s="184">
        <f t="shared" si="0"/>
        <v>800000</v>
      </c>
      <c r="AK40" s="190">
        <f>M40-AH40</f>
        <v>0</v>
      </c>
      <c r="AL40" s="135">
        <v>15840846835</v>
      </c>
      <c r="AM40" s="164" t="s">
        <v>3289</v>
      </c>
      <c r="AO40" s="135">
        <f t="shared" si="1"/>
        <v>800000</v>
      </c>
      <c r="AP40" s="166">
        <f>0.4%+0.02%+0.08%</f>
        <v>0.005</v>
      </c>
      <c r="AQ40" s="237">
        <f t="shared" si="2"/>
        <v>0</v>
      </c>
      <c r="AR40" s="184"/>
      <c r="AS40" s="184"/>
      <c r="AT40" s="184"/>
      <c r="AU40" s="184"/>
      <c r="AV40" s="184"/>
      <c r="AW40" s="184"/>
      <c r="AX40" s="184"/>
      <c r="AY40" s="184"/>
      <c r="AZ40" s="184"/>
      <c r="BB40" s="184"/>
      <c r="BM40" s="135">
        <v>120000</v>
      </c>
      <c r="BP40" s="135">
        <v>680000</v>
      </c>
      <c r="BR40" s="135">
        <f>BP40*AP40</f>
        <v>3400</v>
      </c>
      <c r="BT40" s="135" t="s">
        <v>496</v>
      </c>
    </row>
    <row r="41" s="132" customFormat="1" customHeight="1" spans="1:54">
      <c r="A41" s="212">
        <v>22</v>
      </c>
      <c r="C41" s="219"/>
      <c r="I41" s="230" t="s">
        <v>3290</v>
      </c>
      <c r="J41" s="132">
        <v>117.54</v>
      </c>
      <c r="M41" s="213"/>
      <c r="N41" s="215">
        <v>7122.5</v>
      </c>
      <c r="O41" s="173"/>
      <c r="P41" s="229"/>
      <c r="Q41" s="229"/>
      <c r="R41" s="215"/>
      <c r="S41" s="216"/>
      <c r="T41" s="212"/>
      <c r="U41" s="216"/>
      <c r="V41" s="215"/>
      <c r="X41" s="215"/>
      <c r="Y41" s="242"/>
      <c r="AA41" s="173"/>
      <c r="AB41" s="215"/>
      <c r="AH41" s="215">
        <f t="shared" si="0"/>
        <v>0</v>
      </c>
      <c r="AK41" s="173"/>
      <c r="AO41" s="132">
        <f t="shared" si="1"/>
        <v>0</v>
      </c>
      <c r="AP41" s="250"/>
      <c r="AQ41" s="251">
        <f t="shared" si="2"/>
        <v>0</v>
      </c>
      <c r="AR41" s="215"/>
      <c r="AS41" s="215"/>
      <c r="AT41" s="215"/>
      <c r="AU41" s="215"/>
      <c r="AV41" s="215"/>
      <c r="AW41" s="215"/>
      <c r="AX41" s="215"/>
      <c r="AY41" s="215"/>
      <c r="AZ41" s="215"/>
      <c r="BB41" s="215"/>
    </row>
    <row r="42" s="132" customFormat="1" customHeight="1" spans="1:54">
      <c r="A42" s="212">
        <v>23</v>
      </c>
      <c r="C42" s="219"/>
      <c r="I42" s="230" t="s">
        <v>3291</v>
      </c>
      <c r="J42" s="132">
        <v>119.13</v>
      </c>
      <c r="M42" s="213"/>
      <c r="N42" s="215">
        <v>8462.5</v>
      </c>
      <c r="O42" s="173"/>
      <c r="P42" s="229"/>
      <c r="Q42" s="229"/>
      <c r="R42" s="215"/>
      <c r="S42" s="216"/>
      <c r="T42" s="212"/>
      <c r="U42" s="216"/>
      <c r="V42" s="215"/>
      <c r="W42" s="216"/>
      <c r="X42" s="215"/>
      <c r="Y42" s="242"/>
      <c r="AA42" s="173"/>
      <c r="AB42" s="215"/>
      <c r="AH42" s="215">
        <f t="shared" si="0"/>
        <v>0</v>
      </c>
      <c r="AK42" s="173"/>
      <c r="AO42" s="132">
        <f t="shared" si="1"/>
        <v>0</v>
      </c>
      <c r="AP42" s="250"/>
      <c r="AQ42" s="251">
        <f t="shared" si="2"/>
        <v>0</v>
      </c>
      <c r="AR42" s="215"/>
      <c r="AS42" s="215"/>
      <c r="AT42" s="215"/>
      <c r="AU42" s="215"/>
      <c r="AV42" s="215"/>
      <c r="AW42" s="215"/>
      <c r="AX42" s="215"/>
      <c r="AY42" s="215"/>
      <c r="AZ42" s="215"/>
      <c r="BB42" s="215"/>
    </row>
    <row r="43" s="132" customFormat="1" customHeight="1" spans="1:54">
      <c r="A43" s="212">
        <v>24</v>
      </c>
      <c r="C43" s="219"/>
      <c r="I43" s="230" t="s">
        <v>3292</v>
      </c>
      <c r="J43" s="132">
        <v>118.93</v>
      </c>
      <c r="M43" s="213"/>
      <c r="N43" s="215">
        <v>8432.5</v>
      </c>
      <c r="O43" s="173"/>
      <c r="P43" s="229"/>
      <c r="Q43" s="229"/>
      <c r="R43" s="215"/>
      <c r="S43" s="216"/>
      <c r="T43" s="212"/>
      <c r="U43" s="216"/>
      <c r="V43" s="215"/>
      <c r="X43" s="215"/>
      <c r="Y43" s="242"/>
      <c r="AA43" s="173"/>
      <c r="AB43" s="215"/>
      <c r="AH43" s="215">
        <f t="shared" si="0"/>
        <v>0</v>
      </c>
      <c r="AK43" s="173"/>
      <c r="AO43" s="132">
        <f t="shared" si="1"/>
        <v>0</v>
      </c>
      <c r="AP43" s="250"/>
      <c r="AQ43" s="251">
        <f t="shared" si="2"/>
        <v>0</v>
      </c>
      <c r="AR43" s="215"/>
      <c r="AS43" s="215"/>
      <c r="AT43" s="215"/>
      <c r="AU43" s="215"/>
      <c r="AV43" s="215"/>
      <c r="AW43" s="215"/>
      <c r="AX43" s="215"/>
      <c r="AY43" s="215"/>
      <c r="AZ43" s="215"/>
      <c r="BB43" s="215"/>
    </row>
    <row r="44" s="132" customFormat="1" customHeight="1" spans="1:54">
      <c r="A44" s="212">
        <v>25</v>
      </c>
      <c r="C44" s="219"/>
      <c r="I44" s="230" t="s">
        <v>3293</v>
      </c>
      <c r="J44" s="132">
        <v>117.54</v>
      </c>
      <c r="M44" s="213"/>
      <c r="N44" s="215">
        <v>5790.6</v>
      </c>
      <c r="O44" s="173"/>
      <c r="P44" s="229"/>
      <c r="Q44" s="229"/>
      <c r="R44" s="215"/>
      <c r="S44" s="216"/>
      <c r="T44" s="212"/>
      <c r="U44" s="216"/>
      <c r="V44" s="215"/>
      <c r="X44" s="215"/>
      <c r="Y44" s="242"/>
      <c r="AA44" s="173"/>
      <c r="AB44" s="215"/>
      <c r="AH44" s="215">
        <f t="shared" si="0"/>
        <v>0</v>
      </c>
      <c r="AK44" s="173"/>
      <c r="AO44" s="132">
        <f t="shared" si="1"/>
        <v>0</v>
      </c>
      <c r="AP44" s="250"/>
      <c r="AQ44" s="251">
        <f t="shared" si="2"/>
        <v>0</v>
      </c>
      <c r="AR44" s="215"/>
      <c r="AS44" s="215"/>
      <c r="AT44" s="215"/>
      <c r="AU44" s="215"/>
      <c r="AV44" s="215"/>
      <c r="AW44" s="215"/>
      <c r="AX44" s="215"/>
      <c r="AY44" s="215"/>
      <c r="AZ44" s="215"/>
      <c r="BB44" s="215"/>
    </row>
    <row r="45" s="132" customFormat="1" customHeight="1" spans="1:54">
      <c r="A45" s="212">
        <v>26</v>
      </c>
      <c r="C45" s="219"/>
      <c r="I45" s="230" t="s">
        <v>3294</v>
      </c>
      <c r="J45" s="132">
        <v>117.54</v>
      </c>
      <c r="M45" s="213"/>
      <c r="N45" s="215">
        <v>5735.6</v>
      </c>
      <c r="O45" s="173"/>
      <c r="P45" s="229"/>
      <c r="Q45" s="229"/>
      <c r="R45" s="215"/>
      <c r="S45" s="216"/>
      <c r="T45" s="212"/>
      <c r="U45" s="216"/>
      <c r="V45" s="215"/>
      <c r="X45" s="215"/>
      <c r="Y45" s="242"/>
      <c r="AA45" s="173"/>
      <c r="AB45" s="215"/>
      <c r="AH45" s="215">
        <f t="shared" si="0"/>
        <v>0</v>
      </c>
      <c r="AK45" s="173"/>
      <c r="AO45" s="132">
        <f t="shared" si="1"/>
        <v>0</v>
      </c>
      <c r="AP45" s="250"/>
      <c r="AQ45" s="251">
        <f t="shared" si="2"/>
        <v>0</v>
      </c>
      <c r="AR45" s="215"/>
      <c r="AS45" s="215"/>
      <c r="AT45" s="215"/>
      <c r="AU45" s="215"/>
      <c r="AV45" s="215"/>
      <c r="AW45" s="215"/>
      <c r="AX45" s="215"/>
      <c r="AY45" s="215"/>
      <c r="AZ45" s="215"/>
      <c r="BB45" s="215"/>
    </row>
    <row r="46" s="135" customFormat="1" customHeight="1" spans="1:54">
      <c r="A46" s="220">
        <v>27</v>
      </c>
      <c r="B46" s="135">
        <v>1</v>
      </c>
      <c r="C46" s="164"/>
      <c r="F46" s="834" t="s">
        <v>3295</v>
      </c>
      <c r="G46" s="135" t="s">
        <v>3296</v>
      </c>
      <c r="H46" s="834" t="s">
        <v>3297</v>
      </c>
      <c r="I46" s="236" t="s">
        <v>3298</v>
      </c>
      <c r="J46" s="135">
        <v>117.54</v>
      </c>
      <c r="K46" s="135">
        <v>117.54</v>
      </c>
      <c r="L46" s="135">
        <v>5500</v>
      </c>
      <c r="M46" s="233">
        <v>646470</v>
      </c>
      <c r="N46" s="184">
        <v>5840.88</v>
      </c>
      <c r="O46" s="190"/>
      <c r="P46" s="234"/>
      <c r="Q46" s="234"/>
      <c r="R46" s="184">
        <v>20000</v>
      </c>
      <c r="S46" s="185" t="s">
        <v>3299</v>
      </c>
      <c r="T46" s="220"/>
      <c r="U46" s="185" t="s">
        <v>842</v>
      </c>
      <c r="V46" s="184">
        <v>20000</v>
      </c>
      <c r="W46" s="185" t="s">
        <v>3299</v>
      </c>
      <c r="X46" s="184"/>
      <c r="Y46" s="243"/>
      <c r="AA46" s="190"/>
      <c r="AB46" s="184"/>
      <c r="AH46" s="184">
        <f t="shared" si="0"/>
        <v>20000</v>
      </c>
      <c r="AK46" s="190">
        <f>M46-AH46</f>
        <v>626470</v>
      </c>
      <c r="AL46" s="135">
        <v>18394530413</v>
      </c>
      <c r="AM46" s="135" t="s">
        <v>3277</v>
      </c>
      <c r="AO46" s="135">
        <f t="shared" si="1"/>
        <v>0</v>
      </c>
      <c r="AP46" s="166">
        <f>0.6%+0.04%+0.12%+0.03%</f>
        <v>0.0079</v>
      </c>
      <c r="AQ46" s="237">
        <f t="shared" si="2"/>
        <v>0</v>
      </c>
      <c r="AR46" s="184"/>
      <c r="AS46" s="184"/>
      <c r="AT46" s="184"/>
      <c r="AU46" s="184"/>
      <c r="AV46" s="184"/>
      <c r="AW46" s="184"/>
      <c r="AX46" s="184"/>
      <c r="AY46" s="184"/>
      <c r="AZ46" s="184"/>
      <c r="BB46" s="184"/>
    </row>
    <row r="47" s="135" customFormat="1" customHeight="1" spans="1:54">
      <c r="A47" s="220">
        <v>28</v>
      </c>
      <c r="B47" s="135"/>
      <c r="C47" s="164"/>
      <c r="F47" s="834" t="s">
        <v>3300</v>
      </c>
      <c r="G47" s="164" t="s">
        <v>3301</v>
      </c>
      <c r="H47" s="834" t="s">
        <v>2582</v>
      </c>
      <c r="I47" s="236" t="s">
        <v>3302</v>
      </c>
      <c r="J47" s="135">
        <v>117.54</v>
      </c>
      <c r="K47" s="135">
        <v>117.54</v>
      </c>
      <c r="L47" s="135">
        <v>5657.65</v>
      </c>
      <c r="M47" s="233">
        <v>665000</v>
      </c>
      <c r="N47" s="184">
        <v>5785.88</v>
      </c>
      <c r="O47" s="190"/>
      <c r="P47" s="234"/>
      <c r="Q47" s="234"/>
      <c r="R47" s="184"/>
      <c r="S47" s="185"/>
      <c r="T47" s="220"/>
      <c r="U47" s="185" t="s">
        <v>508</v>
      </c>
      <c r="V47" s="184">
        <v>20000</v>
      </c>
      <c r="W47" s="185" t="s">
        <v>213</v>
      </c>
      <c r="X47" s="184"/>
      <c r="Y47" s="243"/>
      <c r="AA47" s="190"/>
      <c r="AB47" s="184"/>
      <c r="AH47" s="184">
        <f t="shared" si="0"/>
        <v>20000</v>
      </c>
      <c r="AK47" s="190">
        <f>M47-AH47</f>
        <v>645000</v>
      </c>
      <c r="AL47" s="135">
        <v>17609962370</v>
      </c>
      <c r="AM47" s="135" t="s">
        <v>3254</v>
      </c>
      <c r="AO47" s="135">
        <f t="shared" si="1"/>
        <v>0</v>
      </c>
      <c r="AP47" s="166">
        <f>0.4%+0.03%+0.08%+0.03%</f>
        <v>0.0054</v>
      </c>
      <c r="AQ47" s="237">
        <f t="shared" si="2"/>
        <v>0</v>
      </c>
      <c r="AR47" s="184"/>
      <c r="AS47" s="184"/>
      <c r="AT47" s="184"/>
      <c r="AU47" s="184"/>
      <c r="AV47" s="184"/>
      <c r="AW47" s="184"/>
      <c r="AX47" s="184"/>
      <c r="AY47" s="184"/>
      <c r="AZ47" s="184"/>
      <c r="BB47" s="184"/>
    </row>
    <row r="48" s="132" customFormat="1" customHeight="1" spans="1:54">
      <c r="A48" s="212">
        <v>29</v>
      </c>
      <c r="C48" s="219"/>
      <c r="I48" s="230" t="s">
        <v>3303</v>
      </c>
      <c r="J48" s="132">
        <v>117.54</v>
      </c>
      <c r="M48" s="213"/>
      <c r="N48" s="215">
        <v>5870.88</v>
      </c>
      <c r="O48" s="173"/>
      <c r="P48" s="229"/>
      <c r="Q48" s="229"/>
      <c r="R48" s="215"/>
      <c r="S48" s="216"/>
      <c r="T48" s="212"/>
      <c r="U48" s="216"/>
      <c r="V48" s="215"/>
      <c r="X48" s="215"/>
      <c r="Y48" s="242"/>
      <c r="AA48" s="173"/>
      <c r="AB48" s="215"/>
      <c r="AH48" s="215">
        <f t="shared" si="0"/>
        <v>0</v>
      </c>
      <c r="AK48" s="173"/>
      <c r="AO48" s="132">
        <f t="shared" si="1"/>
        <v>0</v>
      </c>
      <c r="AP48" s="250"/>
      <c r="AQ48" s="251">
        <f t="shared" si="2"/>
        <v>0</v>
      </c>
      <c r="AR48" s="215"/>
      <c r="AS48" s="215"/>
      <c r="AT48" s="215"/>
      <c r="AU48" s="215"/>
      <c r="AV48" s="215"/>
      <c r="AW48" s="215"/>
      <c r="AX48" s="215"/>
      <c r="AY48" s="215"/>
      <c r="AZ48" s="215"/>
      <c r="BB48" s="215"/>
    </row>
    <row r="49" s="132" customFormat="1" customHeight="1" spans="1:54">
      <c r="A49" s="212">
        <v>30</v>
      </c>
      <c r="C49" s="219"/>
      <c r="I49" s="230" t="s">
        <v>3304</v>
      </c>
      <c r="J49" s="132">
        <v>117.54</v>
      </c>
      <c r="M49" s="213"/>
      <c r="N49" s="215">
        <v>5815.88</v>
      </c>
      <c r="O49" s="173"/>
      <c r="P49" s="229"/>
      <c r="Q49" s="229"/>
      <c r="R49" s="215"/>
      <c r="S49" s="216"/>
      <c r="T49" s="212"/>
      <c r="U49" s="216"/>
      <c r="V49" s="215"/>
      <c r="X49" s="215"/>
      <c r="Y49" s="242"/>
      <c r="AA49" s="173"/>
      <c r="AB49" s="215"/>
      <c r="AH49" s="215">
        <f t="shared" si="0"/>
        <v>0</v>
      </c>
      <c r="AK49" s="173"/>
      <c r="AO49" s="132">
        <f t="shared" si="1"/>
        <v>0</v>
      </c>
      <c r="AP49" s="250"/>
      <c r="AQ49" s="251">
        <f t="shared" si="2"/>
        <v>0</v>
      </c>
      <c r="AR49" s="215"/>
      <c r="AS49" s="215"/>
      <c r="AT49" s="215"/>
      <c r="AU49" s="215"/>
      <c r="AV49" s="215"/>
      <c r="AW49" s="215"/>
      <c r="AX49" s="215"/>
      <c r="AY49" s="215"/>
      <c r="AZ49" s="215"/>
      <c r="BB49" s="215"/>
    </row>
    <row r="50" s="135" customFormat="1" customHeight="1" spans="1:72">
      <c r="A50" s="220">
        <v>31</v>
      </c>
      <c r="B50" s="135"/>
      <c r="C50" s="164" t="s">
        <v>88</v>
      </c>
      <c r="D50" s="135">
        <v>20240005506</v>
      </c>
      <c r="F50" s="135" t="s">
        <v>231</v>
      </c>
      <c r="G50" s="135" t="s">
        <v>232</v>
      </c>
      <c r="H50" s="834" t="s">
        <v>3305</v>
      </c>
      <c r="I50" s="236" t="s">
        <v>3306</v>
      </c>
      <c r="J50" s="135">
        <v>117.54</v>
      </c>
      <c r="K50" s="135">
        <v>117.54</v>
      </c>
      <c r="L50" s="135">
        <f t="shared" ref="L50:L55" si="3">M50/K50</f>
        <v>5785.26459077761</v>
      </c>
      <c r="M50" s="233">
        <v>680000</v>
      </c>
      <c r="N50" s="184">
        <v>5785.265</v>
      </c>
      <c r="O50" s="190"/>
      <c r="P50" s="234"/>
      <c r="Q50" s="234"/>
      <c r="R50" s="184"/>
      <c r="S50" s="185"/>
      <c r="T50" s="220"/>
      <c r="U50" s="185" t="s">
        <v>594</v>
      </c>
      <c r="V50" s="184">
        <v>110000</v>
      </c>
      <c r="W50" s="185" t="s">
        <v>3307</v>
      </c>
      <c r="X50" s="184">
        <v>140000</v>
      </c>
      <c r="Y50" s="185" t="s">
        <v>88</v>
      </c>
      <c r="Z50" s="184">
        <v>430000</v>
      </c>
      <c r="AA50" s="185" t="s">
        <v>344</v>
      </c>
      <c r="AB50" s="184"/>
      <c r="AH50" s="184">
        <f t="shared" si="0"/>
        <v>680000</v>
      </c>
      <c r="AK50" s="190">
        <f t="shared" ref="AK50:AK58" si="4">M50-AH50</f>
        <v>0</v>
      </c>
      <c r="AL50" s="135">
        <v>18233138794</v>
      </c>
      <c r="AM50" s="135" t="s">
        <v>3308</v>
      </c>
      <c r="AO50" s="135">
        <f t="shared" si="1"/>
        <v>680000</v>
      </c>
      <c r="AP50" s="166">
        <f>0.4%+0.02%+0.1%</f>
        <v>0.0052</v>
      </c>
      <c r="AQ50" s="237">
        <f t="shared" si="2"/>
        <v>0</v>
      </c>
      <c r="AR50" s="184"/>
      <c r="AS50" s="184"/>
      <c r="AT50" s="184"/>
      <c r="AU50" s="184"/>
      <c r="AV50" s="184"/>
      <c r="AW50" s="184"/>
      <c r="AX50" s="184"/>
      <c r="AY50" s="184"/>
      <c r="AZ50" s="184"/>
      <c r="BB50" s="184"/>
      <c r="BN50" s="135">
        <v>250000</v>
      </c>
      <c r="BO50" s="135">
        <v>430000</v>
      </c>
      <c r="BT50" s="135" t="s">
        <v>496</v>
      </c>
    </row>
    <row r="51" s="135" customFormat="1" customHeight="1" spans="1:72">
      <c r="A51" s="220">
        <v>32</v>
      </c>
      <c r="C51" s="164" t="s">
        <v>236</v>
      </c>
      <c r="D51" s="135">
        <v>20240003996</v>
      </c>
      <c r="F51" s="834" t="s">
        <v>237</v>
      </c>
      <c r="G51" s="135" t="s">
        <v>238</v>
      </c>
      <c r="I51" s="236" t="s">
        <v>3309</v>
      </c>
      <c r="J51" s="135">
        <v>117.54</v>
      </c>
      <c r="K51" s="135">
        <v>117.54</v>
      </c>
      <c r="L51" s="135">
        <f t="shared" si="3"/>
        <v>5938.40394759231</v>
      </c>
      <c r="M51" s="233">
        <v>698000</v>
      </c>
      <c r="N51" s="184">
        <v>5885.88</v>
      </c>
      <c r="O51" s="190"/>
      <c r="P51" s="234"/>
      <c r="Q51" s="234"/>
      <c r="R51" s="184"/>
      <c r="S51" s="185"/>
      <c r="T51" s="220"/>
      <c r="U51" s="185" t="s">
        <v>495</v>
      </c>
      <c r="V51" s="184">
        <v>142000</v>
      </c>
      <c r="W51" s="185" t="s">
        <v>236</v>
      </c>
      <c r="X51" s="184">
        <v>58000</v>
      </c>
      <c r="Y51" s="185" t="s">
        <v>3310</v>
      </c>
      <c r="Z51" s="184">
        <v>498000</v>
      </c>
      <c r="AA51" s="185" t="s">
        <v>581</v>
      </c>
      <c r="AB51" s="184"/>
      <c r="AH51" s="184">
        <f t="shared" si="0"/>
        <v>698000</v>
      </c>
      <c r="AK51" s="190">
        <f t="shared" si="4"/>
        <v>0</v>
      </c>
      <c r="AL51" s="135">
        <v>19180421997</v>
      </c>
      <c r="AO51" s="135">
        <f t="shared" si="1"/>
        <v>698000</v>
      </c>
      <c r="AP51" s="166">
        <f>0.7%+0.04%+0.08%</f>
        <v>0.0082</v>
      </c>
      <c r="AQ51" s="237">
        <f t="shared" si="2"/>
        <v>0</v>
      </c>
      <c r="AR51" s="184"/>
      <c r="AS51" s="184"/>
      <c r="AT51" s="184"/>
      <c r="AU51" s="184"/>
      <c r="AV51" s="184"/>
      <c r="AW51" s="184"/>
      <c r="AX51" s="184"/>
      <c r="AY51" s="184"/>
      <c r="AZ51" s="184"/>
      <c r="BB51" s="184"/>
      <c r="BN51" s="135">
        <v>200000</v>
      </c>
      <c r="BO51" s="135">
        <v>498000</v>
      </c>
      <c r="BT51" s="135" t="s">
        <v>496</v>
      </c>
    </row>
    <row r="52" s="132" customFormat="1" customHeight="1" spans="1:54">
      <c r="A52" s="212">
        <v>33</v>
      </c>
      <c r="C52" s="219"/>
      <c r="G52" s="132" t="s">
        <v>3311</v>
      </c>
      <c r="I52" s="230" t="s">
        <v>3312</v>
      </c>
      <c r="J52" s="132">
        <v>117.54</v>
      </c>
      <c r="M52" s="213"/>
      <c r="N52" s="215">
        <v>6005.88</v>
      </c>
      <c r="O52" s="173"/>
      <c r="P52" s="229"/>
      <c r="Q52" s="229"/>
      <c r="R52" s="215"/>
      <c r="S52" s="216"/>
      <c r="T52" s="843" t="s">
        <v>3313</v>
      </c>
      <c r="U52" s="216" t="s">
        <v>515</v>
      </c>
      <c r="V52" s="215">
        <v>2000</v>
      </c>
      <c r="W52" s="216" t="s">
        <v>687</v>
      </c>
      <c r="X52" s="215"/>
      <c r="Y52" s="242"/>
      <c r="AA52" s="173"/>
      <c r="AB52" s="215"/>
      <c r="AH52" s="215">
        <f t="shared" si="0"/>
        <v>2000</v>
      </c>
      <c r="AK52" s="173"/>
      <c r="AO52" s="132">
        <f t="shared" si="1"/>
        <v>0</v>
      </c>
      <c r="AP52" s="250"/>
      <c r="AQ52" s="251">
        <f t="shared" si="2"/>
        <v>0</v>
      </c>
      <c r="AR52" s="215"/>
      <c r="AS52" s="215"/>
      <c r="AT52" s="215"/>
      <c r="AU52" s="215"/>
      <c r="AV52" s="215"/>
      <c r="AW52" s="215"/>
      <c r="AX52" s="215"/>
      <c r="AY52" s="215"/>
      <c r="AZ52" s="215"/>
      <c r="BB52" s="215"/>
    </row>
    <row r="53" s="135" customFormat="1" customHeight="1" spans="1:72">
      <c r="A53" s="220">
        <v>34</v>
      </c>
      <c r="B53" s="135"/>
      <c r="C53" s="164" t="s">
        <v>240</v>
      </c>
      <c r="D53" s="135">
        <v>20240006501</v>
      </c>
      <c r="G53" s="135" t="s">
        <v>241</v>
      </c>
      <c r="I53" s="236" t="s">
        <v>3314</v>
      </c>
      <c r="J53" s="135">
        <v>117.54</v>
      </c>
      <c r="K53" s="135">
        <v>117.54</v>
      </c>
      <c r="L53" s="135">
        <v>5870.34</v>
      </c>
      <c r="M53" s="233">
        <v>690000</v>
      </c>
      <c r="N53" s="184">
        <v>5950.88</v>
      </c>
      <c r="O53" s="190"/>
      <c r="P53" s="234"/>
      <c r="Q53" s="234"/>
      <c r="R53" s="184">
        <v>88000</v>
      </c>
      <c r="S53" s="185" t="s">
        <v>794</v>
      </c>
      <c r="T53" s="220"/>
      <c r="U53" s="185" t="s">
        <v>495</v>
      </c>
      <c r="V53" s="184">
        <v>212000</v>
      </c>
      <c r="W53" s="185" t="s">
        <v>240</v>
      </c>
      <c r="X53" s="184">
        <v>88000</v>
      </c>
      <c r="Y53" s="185" t="s">
        <v>794</v>
      </c>
      <c r="AA53" s="190"/>
      <c r="AB53" s="184"/>
      <c r="AH53" s="184">
        <f t="shared" si="0"/>
        <v>300000</v>
      </c>
      <c r="AK53" s="190">
        <f>M53-AH53</f>
        <v>390000</v>
      </c>
      <c r="AM53" s="135" t="s">
        <v>3254</v>
      </c>
      <c r="AO53" s="135">
        <f t="shared" si="1"/>
        <v>212000</v>
      </c>
      <c r="AP53" s="166">
        <f>0.5%+0.05%+0.08%+0.03%</f>
        <v>0.0066</v>
      </c>
      <c r="AQ53" s="237">
        <f t="shared" si="2"/>
        <v>0</v>
      </c>
      <c r="AR53" s="184"/>
      <c r="AS53" s="184"/>
      <c r="AT53" s="184"/>
      <c r="AU53" s="184"/>
      <c r="AV53" s="184"/>
      <c r="AW53" s="184"/>
      <c r="AX53" s="184"/>
      <c r="AY53" s="184"/>
      <c r="AZ53" s="184"/>
      <c r="BB53" s="184"/>
      <c r="BO53" s="135">
        <v>212000</v>
      </c>
      <c r="BT53" s="135" t="s">
        <v>496</v>
      </c>
    </row>
    <row r="54" s="135" customFormat="1" customHeight="1" spans="1:72">
      <c r="A54" s="220">
        <v>35</v>
      </c>
      <c r="B54" s="135"/>
      <c r="C54" s="164" t="s">
        <v>88</v>
      </c>
      <c r="D54" s="135">
        <v>20240005501</v>
      </c>
      <c r="F54" s="135" t="s">
        <v>243</v>
      </c>
      <c r="G54" s="135" t="s">
        <v>244</v>
      </c>
      <c r="H54" s="834" t="s">
        <v>3315</v>
      </c>
      <c r="I54" s="236" t="s">
        <v>3316</v>
      </c>
      <c r="J54" s="135">
        <v>117.54</v>
      </c>
      <c r="K54" s="135">
        <v>117.54</v>
      </c>
      <c r="L54" s="135">
        <f t="shared" si="3"/>
        <v>5819.29555895865</v>
      </c>
      <c r="M54" s="233">
        <v>684000</v>
      </c>
      <c r="N54" s="235">
        <v>5819.295</v>
      </c>
      <c r="O54" s="190"/>
      <c r="P54" s="234"/>
      <c r="Q54" s="234"/>
      <c r="R54" s="184"/>
      <c r="S54" s="185"/>
      <c r="T54" s="220"/>
      <c r="U54" s="185" t="s">
        <v>502</v>
      </c>
      <c r="V54" s="184">
        <v>20000</v>
      </c>
      <c r="W54" s="185" t="s">
        <v>3307</v>
      </c>
      <c r="X54" s="184">
        <v>217000</v>
      </c>
      <c r="Y54" s="185" t="s">
        <v>88</v>
      </c>
      <c r="Z54" s="135">
        <v>67000</v>
      </c>
      <c r="AA54" s="190" t="s">
        <v>118</v>
      </c>
      <c r="AB54" s="184">
        <v>380000</v>
      </c>
      <c r="AC54" s="185" t="s">
        <v>344</v>
      </c>
      <c r="AH54" s="184">
        <f t="shared" si="0"/>
        <v>684000</v>
      </c>
      <c r="AK54" s="190">
        <f t="shared" si="4"/>
        <v>0</v>
      </c>
      <c r="AL54" s="135">
        <v>15026057540</v>
      </c>
      <c r="AO54" s="135">
        <f t="shared" si="1"/>
        <v>684000</v>
      </c>
      <c r="AP54" s="166">
        <f>0.6%+0.1%</f>
        <v>0.007</v>
      </c>
      <c r="AQ54" s="237">
        <f t="shared" si="2"/>
        <v>0</v>
      </c>
      <c r="AR54" s="184"/>
      <c r="AS54" s="184"/>
      <c r="AT54" s="184"/>
      <c r="AU54" s="184"/>
      <c r="AV54" s="184"/>
      <c r="AW54" s="184"/>
      <c r="AX54" s="184"/>
      <c r="AY54" s="184"/>
      <c r="AZ54" s="184"/>
      <c r="BB54" s="184"/>
      <c r="BN54" s="135">
        <v>304000</v>
      </c>
      <c r="BO54" s="135">
        <v>380000</v>
      </c>
      <c r="BT54" s="135" t="s">
        <v>496</v>
      </c>
    </row>
    <row r="55" s="135" customFormat="1" customHeight="1" spans="1:72">
      <c r="A55" s="220">
        <v>36</v>
      </c>
      <c r="B55" s="135"/>
      <c r="C55" s="164" t="s">
        <v>88</v>
      </c>
      <c r="D55" s="135">
        <v>20240005494</v>
      </c>
      <c r="F55" s="834" t="s">
        <v>246</v>
      </c>
      <c r="G55" s="135" t="s">
        <v>247</v>
      </c>
      <c r="I55" s="236" t="s">
        <v>3317</v>
      </c>
      <c r="J55" s="135">
        <v>117.54</v>
      </c>
      <c r="K55" s="135">
        <v>117.54</v>
      </c>
      <c r="L55" s="135">
        <v>5650</v>
      </c>
      <c r="M55" s="233">
        <v>664101</v>
      </c>
      <c r="N55" s="184">
        <v>5650</v>
      </c>
      <c r="O55" s="190"/>
      <c r="P55" s="234"/>
      <c r="Q55" s="234"/>
      <c r="R55" s="184"/>
      <c r="S55" s="185"/>
      <c r="T55" s="220"/>
      <c r="U55" s="185" t="s">
        <v>524</v>
      </c>
      <c r="V55" s="184">
        <v>20000</v>
      </c>
      <c r="W55" s="185" t="s">
        <v>3307</v>
      </c>
      <c r="X55" s="184">
        <f>150000+164101</f>
        <v>314101</v>
      </c>
      <c r="Y55" s="185" t="s">
        <v>88</v>
      </c>
      <c r="Z55" s="184">
        <v>330000</v>
      </c>
      <c r="AA55" s="185" t="s">
        <v>303</v>
      </c>
      <c r="AB55" s="184"/>
      <c r="AH55" s="184">
        <f t="shared" si="0"/>
        <v>664101</v>
      </c>
      <c r="AK55" s="190">
        <f t="shared" si="4"/>
        <v>0</v>
      </c>
      <c r="AL55" s="135">
        <v>18106436811</v>
      </c>
      <c r="AM55" s="135" t="s">
        <v>3318</v>
      </c>
      <c r="AO55" s="135">
        <f t="shared" si="1"/>
        <v>664101</v>
      </c>
      <c r="AP55" s="166">
        <f>0.7%+0.1%</f>
        <v>0.008</v>
      </c>
      <c r="AQ55" s="237">
        <f t="shared" si="2"/>
        <v>0</v>
      </c>
      <c r="AR55" s="184"/>
      <c r="AS55" s="184"/>
      <c r="AT55" s="184"/>
      <c r="AU55" s="184"/>
      <c r="AV55" s="184"/>
      <c r="AW55" s="184"/>
      <c r="AX55" s="184"/>
      <c r="AY55" s="184"/>
      <c r="AZ55" s="184"/>
      <c r="BB55" s="184"/>
      <c r="BO55" s="135">
        <v>664101</v>
      </c>
      <c r="BT55" s="135" t="s">
        <v>496</v>
      </c>
    </row>
    <row r="56" s="135" customFormat="1" customHeight="1" spans="1:54">
      <c r="A56" s="220">
        <v>37</v>
      </c>
      <c r="B56" s="135"/>
      <c r="C56" s="164"/>
      <c r="G56" s="135" t="s">
        <v>3319</v>
      </c>
      <c r="I56" s="236" t="s">
        <v>3320</v>
      </c>
      <c r="J56" s="135">
        <v>117.54</v>
      </c>
      <c r="K56" s="135">
        <v>117.54</v>
      </c>
      <c r="L56" s="135">
        <v>5756.99</v>
      </c>
      <c r="M56" s="233">
        <v>676677</v>
      </c>
      <c r="N56" s="184">
        <v>6075.88</v>
      </c>
      <c r="O56" s="190"/>
      <c r="P56" s="234"/>
      <c r="Q56" s="234"/>
      <c r="R56" s="184"/>
      <c r="S56" s="185"/>
      <c r="T56" s="220"/>
      <c r="U56" s="185" t="s">
        <v>524</v>
      </c>
      <c r="V56" s="184">
        <v>85677</v>
      </c>
      <c r="W56" s="185" t="s">
        <v>219</v>
      </c>
      <c r="X56" s="184"/>
      <c r="Y56" s="243"/>
      <c r="AA56" s="190"/>
      <c r="AB56" s="184"/>
      <c r="AH56" s="184">
        <f t="shared" si="0"/>
        <v>85677</v>
      </c>
      <c r="AK56" s="190">
        <f t="shared" si="4"/>
        <v>591000</v>
      </c>
      <c r="AM56" s="135" t="s">
        <v>3321</v>
      </c>
      <c r="AO56" s="135">
        <f t="shared" si="1"/>
        <v>0</v>
      </c>
      <c r="AP56" s="166">
        <f>0.6%+0.08%+0.03%</f>
        <v>0.0071</v>
      </c>
      <c r="AQ56" s="237">
        <f t="shared" si="2"/>
        <v>0</v>
      </c>
      <c r="AR56" s="184"/>
      <c r="AS56" s="184"/>
      <c r="AT56" s="184"/>
      <c r="AU56" s="184"/>
      <c r="AV56" s="184"/>
      <c r="AW56" s="184"/>
      <c r="AX56" s="184"/>
      <c r="AY56" s="184"/>
      <c r="AZ56" s="184"/>
      <c r="BB56" s="184"/>
    </row>
    <row r="57" s="135" customFormat="1" customHeight="1" spans="1:72">
      <c r="A57" s="220">
        <v>38</v>
      </c>
      <c r="B57" s="135">
        <v>1</v>
      </c>
      <c r="C57" s="164" t="s">
        <v>386</v>
      </c>
      <c r="D57" s="135">
        <v>20240007530</v>
      </c>
      <c r="F57" s="834" t="s">
        <v>387</v>
      </c>
      <c r="G57" s="135" t="s">
        <v>388</v>
      </c>
      <c r="H57" s="834" t="s">
        <v>3322</v>
      </c>
      <c r="I57" s="236" t="s">
        <v>3323</v>
      </c>
      <c r="J57" s="135">
        <v>117.54</v>
      </c>
      <c r="K57" s="135">
        <v>117.54</v>
      </c>
      <c r="L57" s="135">
        <v>5615.1</v>
      </c>
      <c r="M57" s="233">
        <v>660000</v>
      </c>
      <c r="N57" s="184">
        <v>6020.88</v>
      </c>
      <c r="O57" s="190"/>
      <c r="P57" s="234"/>
      <c r="Q57" s="234"/>
      <c r="R57" s="184">
        <f>140000+20000</f>
        <v>160000</v>
      </c>
      <c r="S57" s="185" t="s">
        <v>3324</v>
      </c>
      <c r="T57" s="220"/>
      <c r="U57" s="185" t="s">
        <v>825</v>
      </c>
      <c r="V57" s="184">
        <v>20000</v>
      </c>
      <c r="W57" s="185" t="s">
        <v>3324</v>
      </c>
      <c r="X57" s="184">
        <v>140000</v>
      </c>
      <c r="Y57" s="243" t="s">
        <v>386</v>
      </c>
      <c r="AA57" s="190"/>
      <c r="AB57" s="184"/>
      <c r="AH57" s="184">
        <f t="shared" si="0"/>
        <v>160000</v>
      </c>
      <c r="AK57" s="190">
        <f t="shared" si="4"/>
        <v>500000</v>
      </c>
      <c r="AL57" s="135">
        <v>15099480279</v>
      </c>
      <c r="AM57" s="135" t="s">
        <v>3325</v>
      </c>
      <c r="AO57" s="135">
        <f t="shared" si="1"/>
        <v>160000</v>
      </c>
      <c r="AP57" s="162">
        <f>0.7%+0.12%+0.03%</f>
        <v>0.0085</v>
      </c>
      <c r="AQ57" s="237">
        <f t="shared" si="2"/>
        <v>0</v>
      </c>
      <c r="AR57" s="184"/>
      <c r="AS57" s="184"/>
      <c r="AT57" s="184"/>
      <c r="AU57" s="184"/>
      <c r="AV57" s="184"/>
      <c r="AW57" s="184"/>
      <c r="AX57" s="184"/>
      <c r="AY57" s="184"/>
      <c r="AZ57" s="184"/>
      <c r="BB57" s="184"/>
      <c r="BP57" s="135">
        <v>160000</v>
      </c>
      <c r="BR57" s="135">
        <f>BP57*AP57</f>
        <v>1360</v>
      </c>
      <c r="BT57" s="135" t="s">
        <v>496</v>
      </c>
    </row>
    <row r="58" s="135" customFormat="1" customHeight="1" spans="1:72">
      <c r="A58" s="220">
        <v>39</v>
      </c>
      <c r="B58" s="135"/>
      <c r="C58" s="164" t="s">
        <v>163</v>
      </c>
      <c r="D58" s="135">
        <v>20240005759</v>
      </c>
      <c r="F58" s="834" t="s">
        <v>249</v>
      </c>
      <c r="G58" s="135" t="s">
        <v>250</v>
      </c>
      <c r="H58" s="834" t="s">
        <v>3326</v>
      </c>
      <c r="I58" s="232" t="s">
        <v>3327</v>
      </c>
      <c r="J58" s="135">
        <v>117.54</v>
      </c>
      <c r="K58" s="135">
        <v>117.54</v>
      </c>
      <c r="L58" s="135">
        <v>5878.85</v>
      </c>
      <c r="M58" s="233">
        <v>691000</v>
      </c>
      <c r="N58" s="184">
        <v>5878.85</v>
      </c>
      <c r="O58" s="190"/>
      <c r="P58" s="234"/>
      <c r="Q58" s="234"/>
      <c r="R58" s="184">
        <v>300000</v>
      </c>
      <c r="S58" s="185" t="s">
        <v>1149</v>
      </c>
      <c r="T58" s="220"/>
      <c r="U58" s="185" t="s">
        <v>709</v>
      </c>
      <c r="V58" s="184">
        <v>10000</v>
      </c>
      <c r="W58" s="185" t="s">
        <v>88</v>
      </c>
      <c r="X58" s="184">
        <v>311000</v>
      </c>
      <c r="Y58" s="243" t="s">
        <v>163</v>
      </c>
      <c r="Z58" s="184">
        <v>70000</v>
      </c>
      <c r="AA58" s="185" t="s">
        <v>332</v>
      </c>
      <c r="AB58" s="184">
        <v>300000</v>
      </c>
      <c r="AC58" s="185" t="s">
        <v>1149</v>
      </c>
      <c r="AH58" s="184">
        <f t="shared" si="0"/>
        <v>691000</v>
      </c>
      <c r="AK58" s="190">
        <f t="shared" si="4"/>
        <v>0</v>
      </c>
      <c r="AL58" s="135">
        <v>18699662558</v>
      </c>
      <c r="AO58" s="135">
        <f t="shared" si="1"/>
        <v>691000</v>
      </c>
      <c r="AP58" s="162">
        <f>0.6%+0.1%</f>
        <v>0.007</v>
      </c>
      <c r="AQ58" s="237">
        <f t="shared" si="2"/>
        <v>0</v>
      </c>
      <c r="AR58" s="184"/>
      <c r="AS58" s="184"/>
      <c r="AT58" s="184"/>
      <c r="AU58" s="184"/>
      <c r="AV58" s="184"/>
      <c r="AW58" s="184"/>
      <c r="AX58" s="184"/>
      <c r="AY58" s="184"/>
      <c r="AZ58" s="184"/>
      <c r="BB58" s="184"/>
      <c r="BN58" s="135">
        <v>321000</v>
      </c>
      <c r="BP58" s="135">
        <v>370000</v>
      </c>
      <c r="BR58" s="135">
        <f>BP58*AP58</f>
        <v>2590</v>
      </c>
      <c r="BT58" s="135" t="s">
        <v>496</v>
      </c>
    </row>
    <row r="59" s="132" customFormat="1" customHeight="1" spans="1:54">
      <c r="A59" s="212">
        <v>40</v>
      </c>
      <c r="C59" s="219"/>
      <c r="I59" s="228" t="s">
        <v>3328</v>
      </c>
      <c r="J59" s="132">
        <v>117.54</v>
      </c>
      <c r="M59" s="213"/>
      <c r="N59" s="215">
        <v>6045.88</v>
      </c>
      <c r="O59" s="173"/>
      <c r="P59" s="229"/>
      <c r="Q59" s="229"/>
      <c r="R59" s="215"/>
      <c r="S59" s="216"/>
      <c r="T59" s="212"/>
      <c r="U59" s="216"/>
      <c r="V59" s="215"/>
      <c r="X59" s="215"/>
      <c r="Y59" s="242"/>
      <c r="AA59" s="173"/>
      <c r="AB59" s="215"/>
      <c r="AH59" s="215">
        <f t="shared" si="0"/>
        <v>0</v>
      </c>
      <c r="AK59" s="173"/>
      <c r="AO59" s="132">
        <f t="shared" si="1"/>
        <v>0</v>
      </c>
      <c r="AP59" s="250"/>
      <c r="AQ59" s="251">
        <f t="shared" si="2"/>
        <v>0</v>
      </c>
      <c r="AR59" s="215"/>
      <c r="AS59" s="215"/>
      <c r="AT59" s="215"/>
      <c r="AU59" s="215"/>
      <c r="AV59" s="215"/>
      <c r="AW59" s="215"/>
      <c r="AX59" s="215"/>
      <c r="AY59" s="215"/>
      <c r="AZ59" s="215"/>
      <c r="BB59" s="215"/>
    </row>
    <row r="60" s="132" customFormat="1" customHeight="1" spans="1:54">
      <c r="A60" s="212">
        <v>41</v>
      </c>
      <c r="C60" s="219"/>
      <c r="I60" s="230" t="s">
        <v>3329</v>
      </c>
      <c r="J60" s="132">
        <v>117.54</v>
      </c>
      <c r="M60" s="213"/>
      <c r="N60" s="215">
        <v>6120.88</v>
      </c>
      <c r="O60" s="173"/>
      <c r="P60" s="229"/>
      <c r="Q60" s="229"/>
      <c r="R60" s="215"/>
      <c r="S60" s="216"/>
      <c r="T60" s="212"/>
      <c r="U60" s="216"/>
      <c r="V60" s="215"/>
      <c r="X60" s="215"/>
      <c r="Y60" s="242"/>
      <c r="AA60" s="173"/>
      <c r="AB60" s="215"/>
      <c r="AH60" s="215">
        <f t="shared" si="0"/>
        <v>0</v>
      </c>
      <c r="AK60" s="173"/>
      <c r="AO60" s="132">
        <f t="shared" si="1"/>
        <v>0</v>
      </c>
      <c r="AP60" s="250"/>
      <c r="AQ60" s="251">
        <f t="shared" si="2"/>
        <v>0</v>
      </c>
      <c r="AR60" s="215"/>
      <c r="AS60" s="215"/>
      <c r="AT60" s="215"/>
      <c r="AU60" s="215"/>
      <c r="AV60" s="215"/>
      <c r="AW60" s="215"/>
      <c r="AX60" s="215"/>
      <c r="AY60" s="215"/>
      <c r="AZ60" s="215"/>
      <c r="BB60" s="215"/>
    </row>
    <row r="61" s="132" customFormat="1" customHeight="1" spans="1:54">
      <c r="A61" s="212">
        <v>42</v>
      </c>
      <c r="C61" s="219"/>
      <c r="I61" s="228" t="s">
        <v>3330</v>
      </c>
      <c r="J61" s="132">
        <v>117.54</v>
      </c>
      <c r="M61" s="213"/>
      <c r="N61" s="215">
        <v>6065.88</v>
      </c>
      <c r="O61" s="173"/>
      <c r="P61" s="229"/>
      <c r="Q61" s="229"/>
      <c r="R61" s="215"/>
      <c r="S61" s="216"/>
      <c r="T61" s="212"/>
      <c r="U61" s="216"/>
      <c r="V61" s="215"/>
      <c r="X61" s="215"/>
      <c r="Y61" s="242"/>
      <c r="AA61" s="173"/>
      <c r="AB61" s="215"/>
      <c r="AH61" s="215">
        <f t="shared" si="0"/>
        <v>0</v>
      </c>
      <c r="AK61" s="173"/>
      <c r="AO61" s="132">
        <f t="shared" si="1"/>
        <v>0</v>
      </c>
      <c r="AP61" s="250"/>
      <c r="AQ61" s="251">
        <f t="shared" si="2"/>
        <v>0</v>
      </c>
      <c r="AR61" s="215"/>
      <c r="AS61" s="215"/>
      <c r="AT61" s="215"/>
      <c r="AU61" s="215"/>
      <c r="AV61" s="215"/>
      <c r="AW61" s="215"/>
      <c r="AX61" s="215"/>
      <c r="AY61" s="215"/>
      <c r="AZ61" s="215"/>
      <c r="BB61" s="215"/>
    </row>
    <row r="62" s="132" customFormat="1" customHeight="1" spans="1:54">
      <c r="A62" s="212">
        <v>43</v>
      </c>
      <c r="C62" s="219"/>
      <c r="I62" s="231" t="s">
        <v>3331</v>
      </c>
      <c r="J62" s="132">
        <v>117.54</v>
      </c>
      <c r="M62" s="213"/>
      <c r="N62" s="215">
        <v>7147.5</v>
      </c>
      <c r="O62" s="173"/>
      <c r="P62" s="229"/>
      <c r="Q62" s="229"/>
      <c r="R62" s="215"/>
      <c r="S62" s="216"/>
      <c r="T62" s="212"/>
      <c r="U62" s="216"/>
      <c r="V62" s="215"/>
      <c r="X62" s="215"/>
      <c r="Y62" s="242"/>
      <c r="AA62" s="173"/>
      <c r="AB62" s="215"/>
      <c r="AH62" s="215">
        <f t="shared" si="0"/>
        <v>0</v>
      </c>
      <c r="AK62" s="173"/>
      <c r="AO62" s="132">
        <f t="shared" si="1"/>
        <v>0</v>
      </c>
      <c r="AP62" s="250"/>
      <c r="AQ62" s="251">
        <f t="shared" si="2"/>
        <v>0</v>
      </c>
      <c r="AR62" s="215"/>
      <c r="AS62" s="215"/>
      <c r="AT62" s="215"/>
      <c r="AU62" s="215"/>
      <c r="AV62" s="215"/>
      <c r="AW62" s="215"/>
      <c r="AX62" s="215"/>
      <c r="AY62" s="215"/>
      <c r="AZ62" s="215"/>
      <c r="BB62" s="215"/>
    </row>
    <row r="63" s="132" customFormat="1" customHeight="1" spans="1:54">
      <c r="A63" s="212">
        <v>44</v>
      </c>
      <c r="C63" s="219"/>
      <c r="I63" s="228" t="s">
        <v>3332</v>
      </c>
      <c r="J63" s="132">
        <v>117.54</v>
      </c>
      <c r="M63" s="213"/>
      <c r="N63" s="215">
        <v>7092.5</v>
      </c>
      <c r="O63" s="173"/>
      <c r="P63" s="229"/>
      <c r="Q63" s="229"/>
      <c r="R63" s="215"/>
      <c r="S63" s="216"/>
      <c r="T63" s="212"/>
      <c r="U63" s="216"/>
      <c r="V63" s="215"/>
      <c r="X63" s="215"/>
      <c r="Y63" s="242"/>
      <c r="AA63" s="173"/>
      <c r="AB63" s="215"/>
      <c r="AH63" s="215">
        <f t="shared" si="0"/>
        <v>0</v>
      </c>
      <c r="AK63" s="173"/>
      <c r="AO63" s="132">
        <f t="shared" si="1"/>
        <v>0</v>
      </c>
      <c r="AP63" s="250"/>
      <c r="AQ63" s="251">
        <f t="shared" si="2"/>
        <v>0</v>
      </c>
      <c r="AR63" s="215"/>
      <c r="AS63" s="215"/>
      <c r="AT63" s="215"/>
      <c r="AU63" s="215"/>
      <c r="AV63" s="215"/>
      <c r="AW63" s="215"/>
      <c r="AX63" s="215"/>
      <c r="AY63" s="215"/>
      <c r="AZ63" s="215"/>
      <c r="BB63" s="215"/>
    </row>
    <row r="64" s="132" customFormat="1" customHeight="1" spans="1:54">
      <c r="A64" s="212">
        <v>45</v>
      </c>
      <c r="C64" s="219"/>
      <c r="I64" s="132" t="s">
        <v>3333</v>
      </c>
      <c r="J64" s="132">
        <v>118.93</v>
      </c>
      <c r="M64" s="213"/>
      <c r="N64" s="215">
        <v>7795.5</v>
      </c>
      <c r="O64" s="173"/>
      <c r="P64" s="229"/>
      <c r="Q64" s="229"/>
      <c r="R64" s="215"/>
      <c r="S64" s="216"/>
      <c r="T64" s="212"/>
      <c r="U64" s="216"/>
      <c r="V64" s="215"/>
      <c r="X64" s="215"/>
      <c r="Y64" s="242"/>
      <c r="AA64" s="173"/>
      <c r="AB64" s="215"/>
      <c r="AH64" s="215">
        <f t="shared" si="0"/>
        <v>0</v>
      </c>
      <c r="AK64" s="173"/>
      <c r="AO64" s="132">
        <f t="shared" si="1"/>
        <v>0</v>
      </c>
      <c r="AP64" s="250"/>
      <c r="AQ64" s="251">
        <f t="shared" si="2"/>
        <v>0</v>
      </c>
      <c r="AR64" s="215"/>
      <c r="AS64" s="215"/>
      <c r="AT64" s="215"/>
      <c r="AU64" s="215"/>
      <c r="AV64" s="215"/>
      <c r="AW64" s="215"/>
      <c r="AX64" s="215"/>
      <c r="AY64" s="215"/>
      <c r="AZ64" s="215"/>
      <c r="BB64" s="215"/>
    </row>
    <row r="65" s="132" customFormat="1" customHeight="1" spans="1:54">
      <c r="A65" s="212">
        <v>46</v>
      </c>
      <c r="C65" s="219"/>
      <c r="I65" s="132" t="s">
        <v>3334</v>
      </c>
      <c r="J65" s="132">
        <v>119.5</v>
      </c>
      <c r="M65" s="213"/>
      <c r="N65" s="215">
        <v>7382.5</v>
      </c>
      <c r="O65" s="173"/>
      <c r="P65" s="229"/>
      <c r="Q65" s="229"/>
      <c r="R65" s="215"/>
      <c r="S65" s="216"/>
      <c r="T65" s="212"/>
      <c r="U65" s="216"/>
      <c r="V65" s="215"/>
      <c r="X65" s="215"/>
      <c r="Y65" s="242"/>
      <c r="AA65" s="173"/>
      <c r="AB65" s="215"/>
      <c r="AH65" s="215">
        <f t="shared" si="0"/>
        <v>0</v>
      </c>
      <c r="AK65" s="173"/>
      <c r="AO65" s="132">
        <f t="shared" si="1"/>
        <v>0</v>
      </c>
      <c r="AP65" s="250"/>
      <c r="AQ65" s="251">
        <f t="shared" si="2"/>
        <v>0</v>
      </c>
      <c r="AR65" s="215"/>
      <c r="AS65" s="215"/>
      <c r="AT65" s="215"/>
      <c r="AU65" s="215"/>
      <c r="AV65" s="215"/>
      <c r="AW65" s="215"/>
      <c r="AX65" s="215"/>
      <c r="AY65" s="215"/>
      <c r="AZ65" s="215"/>
      <c r="BB65" s="215"/>
    </row>
    <row r="66" s="132" customFormat="1" customHeight="1" spans="1:54">
      <c r="A66" s="212">
        <v>47</v>
      </c>
      <c r="C66" s="219"/>
      <c r="I66" s="132" t="s">
        <v>3335</v>
      </c>
      <c r="J66" s="132">
        <v>117.54</v>
      </c>
      <c r="M66" s="213"/>
      <c r="N66" s="215">
        <v>5725.6</v>
      </c>
      <c r="O66" s="173"/>
      <c r="P66" s="229"/>
      <c r="Q66" s="229"/>
      <c r="R66" s="215"/>
      <c r="S66" s="216"/>
      <c r="T66" s="212"/>
      <c r="U66" s="216"/>
      <c r="V66" s="215"/>
      <c r="X66" s="215"/>
      <c r="Y66" s="242"/>
      <c r="AA66" s="173"/>
      <c r="AB66" s="215"/>
      <c r="AH66" s="215">
        <f t="shared" si="0"/>
        <v>0</v>
      </c>
      <c r="AK66" s="173"/>
      <c r="AO66" s="132">
        <f t="shared" si="1"/>
        <v>0</v>
      </c>
      <c r="AP66" s="250"/>
      <c r="AQ66" s="251">
        <f t="shared" si="2"/>
        <v>0</v>
      </c>
      <c r="AR66" s="215"/>
      <c r="AS66" s="215"/>
      <c r="AT66" s="215"/>
      <c r="AU66" s="215"/>
      <c r="AV66" s="215"/>
      <c r="AW66" s="215"/>
      <c r="AX66" s="215"/>
      <c r="AY66" s="215"/>
      <c r="AZ66" s="215"/>
      <c r="BB66" s="215"/>
    </row>
    <row r="67" s="132" customFormat="1" customHeight="1" spans="1:54">
      <c r="A67" s="212">
        <v>48</v>
      </c>
      <c r="C67" s="219"/>
      <c r="E67" s="132" t="s">
        <v>3336</v>
      </c>
      <c r="I67" s="132" t="s">
        <v>3337</v>
      </c>
      <c r="J67" s="132">
        <v>117.91</v>
      </c>
      <c r="M67" s="213"/>
      <c r="N67" s="215">
        <v>5690.6</v>
      </c>
      <c r="O67" s="173"/>
      <c r="P67" s="229"/>
      <c r="Q67" s="229"/>
      <c r="R67" s="215"/>
      <c r="S67" s="216"/>
      <c r="T67" s="212"/>
      <c r="U67" s="216"/>
      <c r="V67" s="215"/>
      <c r="X67" s="215"/>
      <c r="Y67" s="242"/>
      <c r="AA67" s="173"/>
      <c r="AB67" s="215"/>
      <c r="AH67" s="215">
        <f t="shared" si="0"/>
        <v>0</v>
      </c>
      <c r="AK67" s="173"/>
      <c r="AO67" s="132">
        <f t="shared" si="1"/>
        <v>0</v>
      </c>
      <c r="AP67" s="250"/>
      <c r="AQ67" s="251">
        <f t="shared" si="2"/>
        <v>0</v>
      </c>
      <c r="AR67" s="215"/>
      <c r="AS67" s="215"/>
      <c r="AT67" s="215"/>
      <c r="AU67" s="215"/>
      <c r="AV67" s="215"/>
      <c r="AW67" s="215"/>
      <c r="AX67" s="215"/>
      <c r="AY67" s="215"/>
      <c r="AZ67" s="215"/>
      <c r="BB67" s="215"/>
    </row>
    <row r="68" s="132" customFormat="1" customHeight="1" spans="1:54">
      <c r="A68" s="212">
        <v>49</v>
      </c>
      <c r="C68" s="219"/>
      <c r="I68" s="132" t="s">
        <v>3338</v>
      </c>
      <c r="J68" s="132">
        <v>117.54</v>
      </c>
      <c r="M68" s="213"/>
      <c r="N68" s="215">
        <v>5775.88</v>
      </c>
      <c r="O68" s="173"/>
      <c r="P68" s="229"/>
      <c r="Q68" s="229"/>
      <c r="R68" s="215"/>
      <c r="S68" s="216"/>
      <c r="T68" s="212"/>
      <c r="U68" s="216"/>
      <c r="V68" s="215"/>
      <c r="X68" s="215"/>
      <c r="Y68" s="242"/>
      <c r="AA68" s="173"/>
      <c r="AB68" s="215"/>
      <c r="AH68" s="215">
        <f t="shared" si="0"/>
        <v>0</v>
      </c>
      <c r="AK68" s="173"/>
      <c r="AO68" s="132">
        <f t="shared" si="1"/>
        <v>0</v>
      </c>
      <c r="AP68" s="250"/>
      <c r="AQ68" s="251">
        <f t="shared" si="2"/>
        <v>0</v>
      </c>
      <c r="AR68" s="215"/>
      <c r="AS68" s="215"/>
      <c r="AT68" s="215"/>
      <c r="AU68" s="215"/>
      <c r="AV68" s="215"/>
      <c r="AW68" s="215"/>
      <c r="AX68" s="215"/>
      <c r="AY68" s="215"/>
      <c r="AZ68" s="215"/>
      <c r="BB68" s="215"/>
    </row>
    <row r="69" s="132" customFormat="1" customHeight="1" spans="1:54">
      <c r="A69" s="212">
        <v>50</v>
      </c>
      <c r="C69" s="219"/>
      <c r="I69" s="132" t="s">
        <v>3339</v>
      </c>
      <c r="J69" s="132">
        <v>117.91</v>
      </c>
      <c r="M69" s="213"/>
      <c r="N69" s="215">
        <v>5740.88</v>
      </c>
      <c r="O69" s="173"/>
      <c r="P69" s="229"/>
      <c r="Q69" s="229"/>
      <c r="R69" s="215"/>
      <c r="S69" s="216"/>
      <c r="T69" s="212"/>
      <c r="U69" s="216"/>
      <c r="V69" s="215"/>
      <c r="X69" s="215"/>
      <c r="Y69" s="242"/>
      <c r="AA69" s="173"/>
      <c r="AB69" s="215"/>
      <c r="AH69" s="215">
        <f t="shared" ref="AH69:AH132" si="5">V69+X69+Z69+AB69+AD69+AF69</f>
        <v>0</v>
      </c>
      <c r="AK69" s="173"/>
      <c r="AO69" s="132">
        <f t="shared" ref="AO69:AO132" si="6">SUM(AZ69:BQ69)</f>
        <v>0</v>
      </c>
      <c r="AP69" s="250"/>
      <c r="AQ69" s="251">
        <f t="shared" ref="AQ69:AQ132" si="7">AR69+AS69+AT69+AU69+AV69+AW69+AX69+AY69</f>
        <v>0</v>
      </c>
      <c r="AR69" s="215"/>
      <c r="AS69" s="215"/>
      <c r="AT69" s="215"/>
      <c r="AU69" s="215"/>
      <c r="AV69" s="215"/>
      <c r="AW69" s="215"/>
      <c r="AX69" s="215"/>
      <c r="AY69" s="215"/>
      <c r="AZ69" s="215"/>
      <c r="BB69" s="215"/>
    </row>
    <row r="70" s="132" customFormat="1" customHeight="1" spans="1:54">
      <c r="A70" s="212">
        <v>51</v>
      </c>
      <c r="C70" s="219"/>
      <c r="I70" s="132" t="s">
        <v>3340</v>
      </c>
      <c r="J70" s="132">
        <v>117.54</v>
      </c>
      <c r="M70" s="213"/>
      <c r="N70" s="215">
        <v>5805.88</v>
      </c>
      <c r="O70" s="173"/>
      <c r="P70" s="229"/>
      <c r="Q70" s="229"/>
      <c r="R70" s="215"/>
      <c r="S70" s="216"/>
      <c r="T70" s="212"/>
      <c r="U70" s="216"/>
      <c r="V70" s="215"/>
      <c r="X70" s="215"/>
      <c r="Y70" s="242"/>
      <c r="AA70" s="173"/>
      <c r="AB70" s="215"/>
      <c r="AH70" s="215">
        <f t="shared" si="5"/>
        <v>0</v>
      </c>
      <c r="AK70" s="173"/>
      <c r="AO70" s="132">
        <f t="shared" si="6"/>
        <v>0</v>
      </c>
      <c r="AP70" s="250"/>
      <c r="AQ70" s="251">
        <f t="shared" si="7"/>
        <v>0</v>
      </c>
      <c r="AR70" s="215"/>
      <c r="AS70" s="215"/>
      <c r="AT70" s="215"/>
      <c r="AU70" s="215"/>
      <c r="AV70" s="215"/>
      <c r="AW70" s="215"/>
      <c r="AX70" s="215"/>
      <c r="AY70" s="215"/>
      <c r="AZ70" s="215"/>
      <c r="BB70" s="215"/>
    </row>
    <row r="71" s="132" customFormat="1" customHeight="1" spans="1:54">
      <c r="A71" s="212">
        <v>52</v>
      </c>
      <c r="C71" s="219"/>
      <c r="I71" s="132" t="s">
        <v>3341</v>
      </c>
      <c r="J71" s="132">
        <v>117.91</v>
      </c>
      <c r="M71" s="213"/>
      <c r="N71" s="215">
        <v>5770.88</v>
      </c>
      <c r="O71" s="173"/>
      <c r="P71" s="229"/>
      <c r="Q71" s="229"/>
      <c r="R71" s="215"/>
      <c r="S71" s="216"/>
      <c r="T71" s="212"/>
      <c r="U71" s="216"/>
      <c r="V71" s="215"/>
      <c r="X71" s="215"/>
      <c r="Y71" s="242"/>
      <c r="AA71" s="173"/>
      <c r="AB71" s="215"/>
      <c r="AH71" s="215">
        <f t="shared" si="5"/>
        <v>0</v>
      </c>
      <c r="AK71" s="173"/>
      <c r="AO71" s="132">
        <f t="shared" si="6"/>
        <v>0</v>
      </c>
      <c r="AP71" s="250"/>
      <c r="AQ71" s="251">
        <f t="shared" si="7"/>
        <v>0</v>
      </c>
      <c r="AR71" s="215"/>
      <c r="AS71" s="215"/>
      <c r="AT71" s="215"/>
      <c r="AU71" s="215"/>
      <c r="AV71" s="215"/>
      <c r="AW71" s="215"/>
      <c r="AX71" s="215"/>
      <c r="AY71" s="215"/>
      <c r="AZ71" s="215"/>
      <c r="BB71" s="215"/>
    </row>
    <row r="72" s="132" customFormat="1" customHeight="1" spans="1:54">
      <c r="A72" s="212">
        <v>53</v>
      </c>
      <c r="C72" s="219"/>
      <c r="I72" s="132" t="s">
        <v>3342</v>
      </c>
      <c r="J72" s="132">
        <v>117.54</v>
      </c>
      <c r="M72" s="213"/>
      <c r="N72" s="215">
        <v>5875.88</v>
      </c>
      <c r="O72" s="173"/>
      <c r="P72" s="229"/>
      <c r="Q72" s="229"/>
      <c r="R72" s="215"/>
      <c r="S72" s="216"/>
      <c r="T72" s="212"/>
      <c r="U72" s="216"/>
      <c r="V72" s="215"/>
      <c r="X72" s="215"/>
      <c r="Y72" s="242"/>
      <c r="AA72" s="173"/>
      <c r="AB72" s="215"/>
      <c r="AH72" s="215">
        <f t="shared" si="5"/>
        <v>0</v>
      </c>
      <c r="AK72" s="173"/>
      <c r="AO72" s="132">
        <f t="shared" si="6"/>
        <v>0</v>
      </c>
      <c r="AP72" s="250"/>
      <c r="AQ72" s="251">
        <f t="shared" si="7"/>
        <v>0</v>
      </c>
      <c r="AR72" s="215"/>
      <c r="AS72" s="215"/>
      <c r="AT72" s="215"/>
      <c r="AU72" s="215"/>
      <c r="AV72" s="215"/>
      <c r="AW72" s="215"/>
      <c r="AX72" s="215"/>
      <c r="AY72" s="215"/>
      <c r="AZ72" s="215"/>
      <c r="BB72" s="215"/>
    </row>
    <row r="73" s="132" customFormat="1" customHeight="1" spans="1:54">
      <c r="A73" s="212">
        <v>54</v>
      </c>
      <c r="C73" s="219"/>
      <c r="I73" s="132" t="s">
        <v>3343</v>
      </c>
      <c r="J73" s="132">
        <v>117.91</v>
      </c>
      <c r="M73" s="213"/>
      <c r="N73" s="215">
        <v>5840.88</v>
      </c>
      <c r="O73" s="173"/>
      <c r="P73" s="229"/>
      <c r="Q73" s="229"/>
      <c r="R73" s="215"/>
      <c r="S73" s="216"/>
      <c r="T73" s="212"/>
      <c r="U73" s="216"/>
      <c r="V73" s="215"/>
      <c r="X73" s="215"/>
      <c r="Y73" s="242"/>
      <c r="AA73" s="173"/>
      <c r="AB73" s="215"/>
      <c r="AH73" s="215">
        <f t="shared" si="5"/>
        <v>0</v>
      </c>
      <c r="AK73" s="173"/>
      <c r="AO73" s="132">
        <f t="shared" si="6"/>
        <v>0</v>
      </c>
      <c r="AP73" s="250"/>
      <c r="AQ73" s="251">
        <f t="shared" si="7"/>
        <v>0</v>
      </c>
      <c r="AR73" s="215"/>
      <c r="AS73" s="215"/>
      <c r="AT73" s="215"/>
      <c r="AU73" s="215"/>
      <c r="AV73" s="215"/>
      <c r="AW73" s="215"/>
      <c r="AX73" s="215"/>
      <c r="AY73" s="215"/>
      <c r="AZ73" s="215"/>
      <c r="BB73" s="215"/>
    </row>
    <row r="74" s="132" customFormat="1" customHeight="1" spans="1:54">
      <c r="A74" s="212">
        <v>55</v>
      </c>
      <c r="C74" s="219"/>
      <c r="I74" s="132" t="s">
        <v>3344</v>
      </c>
      <c r="J74" s="132">
        <v>117.54</v>
      </c>
      <c r="M74" s="213"/>
      <c r="N74" s="215">
        <v>5940.88</v>
      </c>
      <c r="O74" s="173"/>
      <c r="P74" s="229"/>
      <c r="Q74" s="229"/>
      <c r="R74" s="215"/>
      <c r="S74" s="216"/>
      <c r="T74" s="212"/>
      <c r="U74" s="216"/>
      <c r="V74" s="215"/>
      <c r="X74" s="215"/>
      <c r="Y74" s="242"/>
      <c r="AA74" s="173"/>
      <c r="AB74" s="215"/>
      <c r="AH74" s="215">
        <f t="shared" si="5"/>
        <v>0</v>
      </c>
      <c r="AK74" s="173"/>
      <c r="AO74" s="132">
        <f t="shared" si="6"/>
        <v>0</v>
      </c>
      <c r="AP74" s="250"/>
      <c r="AQ74" s="251">
        <f t="shared" si="7"/>
        <v>0</v>
      </c>
      <c r="AR74" s="215"/>
      <c r="AS74" s="215"/>
      <c r="AT74" s="215"/>
      <c r="AU74" s="215"/>
      <c r="AV74" s="215"/>
      <c r="AW74" s="215"/>
      <c r="AX74" s="215"/>
      <c r="AY74" s="215"/>
      <c r="AZ74" s="215"/>
      <c r="BB74" s="215"/>
    </row>
    <row r="75" s="132" customFormat="1" customHeight="1" spans="1:54">
      <c r="A75" s="212">
        <v>56</v>
      </c>
      <c r="C75" s="219"/>
      <c r="I75" s="132" t="s">
        <v>3345</v>
      </c>
      <c r="J75" s="132">
        <v>117.91</v>
      </c>
      <c r="M75" s="213"/>
      <c r="N75" s="215">
        <v>5905.88</v>
      </c>
      <c r="O75" s="173"/>
      <c r="P75" s="229"/>
      <c r="Q75" s="229"/>
      <c r="R75" s="215"/>
      <c r="S75" s="216"/>
      <c r="T75" s="212"/>
      <c r="U75" s="216"/>
      <c r="V75" s="215"/>
      <c r="X75" s="215"/>
      <c r="Y75" s="242"/>
      <c r="AA75" s="173"/>
      <c r="AB75" s="215"/>
      <c r="AH75" s="215">
        <f t="shared" si="5"/>
        <v>0</v>
      </c>
      <c r="AK75" s="173"/>
      <c r="AO75" s="132">
        <f t="shared" si="6"/>
        <v>0</v>
      </c>
      <c r="AP75" s="250"/>
      <c r="AQ75" s="251">
        <f t="shared" si="7"/>
        <v>0</v>
      </c>
      <c r="AR75" s="215"/>
      <c r="AS75" s="215"/>
      <c r="AT75" s="215"/>
      <c r="AU75" s="215"/>
      <c r="AV75" s="215"/>
      <c r="AW75" s="215"/>
      <c r="AX75" s="215"/>
      <c r="AY75" s="215"/>
      <c r="AZ75" s="215"/>
      <c r="BB75" s="215"/>
    </row>
    <row r="76" s="132" customFormat="1" customHeight="1" spans="1:54">
      <c r="A76" s="212">
        <v>57</v>
      </c>
      <c r="C76" s="219"/>
      <c r="I76" s="132" t="s">
        <v>3346</v>
      </c>
      <c r="J76" s="132">
        <v>117.54</v>
      </c>
      <c r="M76" s="213"/>
      <c r="N76" s="215">
        <v>5985.88</v>
      </c>
      <c r="O76" s="173"/>
      <c r="P76" s="229"/>
      <c r="Q76" s="229"/>
      <c r="R76" s="215"/>
      <c r="S76" s="216"/>
      <c r="T76" s="212"/>
      <c r="U76" s="216"/>
      <c r="V76" s="215"/>
      <c r="X76" s="215"/>
      <c r="Y76" s="242"/>
      <c r="AA76" s="173"/>
      <c r="AB76" s="215"/>
      <c r="AH76" s="215">
        <f t="shared" si="5"/>
        <v>0</v>
      </c>
      <c r="AK76" s="173"/>
      <c r="AO76" s="132">
        <f t="shared" si="6"/>
        <v>0</v>
      </c>
      <c r="AP76" s="250"/>
      <c r="AQ76" s="251">
        <f t="shared" si="7"/>
        <v>0</v>
      </c>
      <c r="AR76" s="215"/>
      <c r="AS76" s="215"/>
      <c r="AT76" s="215"/>
      <c r="AU76" s="215"/>
      <c r="AV76" s="215"/>
      <c r="AW76" s="215"/>
      <c r="AX76" s="215"/>
      <c r="AY76" s="215"/>
      <c r="AZ76" s="215"/>
      <c r="BB76" s="215"/>
    </row>
    <row r="77" s="132" customFormat="1" customHeight="1" spans="1:54">
      <c r="A77" s="212">
        <v>58</v>
      </c>
      <c r="C77" s="219"/>
      <c r="I77" s="132" t="s">
        <v>3347</v>
      </c>
      <c r="J77" s="132">
        <v>117.91</v>
      </c>
      <c r="M77" s="213"/>
      <c r="N77" s="215">
        <v>5950.88</v>
      </c>
      <c r="O77" s="173"/>
      <c r="P77" s="229"/>
      <c r="Q77" s="229"/>
      <c r="R77" s="215"/>
      <c r="S77" s="216"/>
      <c r="T77" s="212"/>
      <c r="U77" s="216"/>
      <c r="V77" s="215"/>
      <c r="X77" s="215"/>
      <c r="Y77" s="242"/>
      <c r="AA77" s="173"/>
      <c r="AB77" s="215"/>
      <c r="AH77" s="215">
        <f t="shared" si="5"/>
        <v>0</v>
      </c>
      <c r="AK77" s="173"/>
      <c r="AO77" s="132">
        <f t="shared" si="6"/>
        <v>0</v>
      </c>
      <c r="AP77" s="250"/>
      <c r="AQ77" s="251">
        <f t="shared" si="7"/>
        <v>0</v>
      </c>
      <c r="AR77" s="215"/>
      <c r="AS77" s="215"/>
      <c r="AT77" s="215"/>
      <c r="AU77" s="215"/>
      <c r="AV77" s="215"/>
      <c r="AW77" s="215"/>
      <c r="AX77" s="215"/>
      <c r="AY77" s="215"/>
      <c r="AZ77" s="215"/>
      <c r="BB77" s="215"/>
    </row>
    <row r="78" s="132" customFormat="1" customHeight="1" spans="1:54">
      <c r="A78" s="212">
        <v>59</v>
      </c>
      <c r="C78" s="219"/>
      <c r="I78" s="132" t="s">
        <v>3348</v>
      </c>
      <c r="J78" s="132">
        <v>117.54</v>
      </c>
      <c r="M78" s="213"/>
      <c r="N78" s="215">
        <v>6010.88</v>
      </c>
      <c r="O78" s="173"/>
      <c r="P78" s="229"/>
      <c r="Q78" s="229"/>
      <c r="R78" s="215"/>
      <c r="S78" s="216"/>
      <c r="T78" s="212"/>
      <c r="U78" s="216"/>
      <c r="V78" s="215"/>
      <c r="X78" s="215"/>
      <c r="Y78" s="242"/>
      <c r="AA78" s="173"/>
      <c r="AB78" s="215"/>
      <c r="AH78" s="215">
        <f t="shared" si="5"/>
        <v>0</v>
      </c>
      <c r="AK78" s="173"/>
      <c r="AO78" s="132">
        <f t="shared" si="6"/>
        <v>0</v>
      </c>
      <c r="AP78" s="250"/>
      <c r="AQ78" s="251">
        <f t="shared" si="7"/>
        <v>0</v>
      </c>
      <c r="AR78" s="215"/>
      <c r="AS78" s="215"/>
      <c r="AT78" s="215"/>
      <c r="AU78" s="215"/>
      <c r="AV78" s="215"/>
      <c r="AW78" s="215"/>
      <c r="AX78" s="215"/>
      <c r="AY78" s="215"/>
      <c r="AZ78" s="215"/>
      <c r="BB78" s="215"/>
    </row>
    <row r="79" s="132" customFormat="1" customHeight="1" spans="1:54">
      <c r="A79" s="212">
        <v>60</v>
      </c>
      <c r="C79" s="219"/>
      <c r="I79" s="132" t="s">
        <v>3349</v>
      </c>
      <c r="J79" s="132">
        <v>117.91</v>
      </c>
      <c r="M79" s="213"/>
      <c r="N79" s="215">
        <v>5975.88</v>
      </c>
      <c r="O79" s="173"/>
      <c r="P79" s="229"/>
      <c r="Q79" s="229"/>
      <c r="R79" s="215"/>
      <c r="S79" s="216"/>
      <c r="T79" s="212"/>
      <c r="U79" s="216"/>
      <c r="V79" s="215"/>
      <c r="X79" s="215"/>
      <c r="Y79" s="242"/>
      <c r="AA79" s="173"/>
      <c r="AB79" s="215"/>
      <c r="AH79" s="215">
        <f t="shared" si="5"/>
        <v>0</v>
      </c>
      <c r="AK79" s="173"/>
      <c r="AO79" s="132">
        <f t="shared" si="6"/>
        <v>0</v>
      </c>
      <c r="AP79" s="250"/>
      <c r="AQ79" s="251">
        <f t="shared" si="7"/>
        <v>0</v>
      </c>
      <c r="AR79" s="215"/>
      <c r="AS79" s="215"/>
      <c r="AT79" s="215"/>
      <c r="AU79" s="215"/>
      <c r="AV79" s="215"/>
      <c r="AW79" s="215"/>
      <c r="AX79" s="215"/>
      <c r="AY79" s="215"/>
      <c r="AZ79" s="215"/>
      <c r="BB79" s="215"/>
    </row>
    <row r="80" s="132" customFormat="1" customHeight="1" spans="1:54">
      <c r="A80" s="212">
        <v>61</v>
      </c>
      <c r="C80" s="219"/>
      <c r="I80" s="132" t="s">
        <v>3350</v>
      </c>
      <c r="J80" s="132">
        <v>117.54</v>
      </c>
      <c r="M80" s="213"/>
      <c r="N80" s="215">
        <v>6035.88</v>
      </c>
      <c r="O80" s="173"/>
      <c r="P80" s="229"/>
      <c r="Q80" s="229"/>
      <c r="R80" s="215"/>
      <c r="S80" s="216"/>
      <c r="T80" s="212"/>
      <c r="U80" s="216"/>
      <c r="V80" s="215"/>
      <c r="X80" s="215"/>
      <c r="Y80" s="242"/>
      <c r="AA80" s="173"/>
      <c r="AB80" s="215"/>
      <c r="AH80" s="215">
        <f t="shared" si="5"/>
        <v>0</v>
      </c>
      <c r="AK80" s="173"/>
      <c r="AO80" s="132">
        <f t="shared" si="6"/>
        <v>0</v>
      </c>
      <c r="AP80" s="250"/>
      <c r="AQ80" s="251">
        <f t="shared" si="7"/>
        <v>0</v>
      </c>
      <c r="AR80" s="215"/>
      <c r="AS80" s="215"/>
      <c r="AT80" s="215"/>
      <c r="AU80" s="215"/>
      <c r="AV80" s="215"/>
      <c r="AW80" s="215"/>
      <c r="AX80" s="215"/>
      <c r="AY80" s="215"/>
      <c r="AZ80" s="215"/>
      <c r="BB80" s="215"/>
    </row>
    <row r="81" s="132" customFormat="1" customHeight="1" spans="1:54">
      <c r="A81" s="212">
        <v>62</v>
      </c>
      <c r="C81" s="219"/>
      <c r="I81" s="132" t="s">
        <v>3351</v>
      </c>
      <c r="J81" s="132">
        <v>117.91</v>
      </c>
      <c r="M81" s="213"/>
      <c r="N81" s="215">
        <v>6000.88</v>
      </c>
      <c r="O81" s="173"/>
      <c r="P81" s="229"/>
      <c r="Q81" s="229"/>
      <c r="R81" s="215"/>
      <c r="S81" s="216"/>
      <c r="T81" s="212"/>
      <c r="U81" s="216"/>
      <c r="V81" s="215"/>
      <c r="X81" s="215"/>
      <c r="Y81" s="242"/>
      <c r="AA81" s="173"/>
      <c r="AB81" s="215"/>
      <c r="AH81" s="215">
        <f t="shared" si="5"/>
        <v>0</v>
      </c>
      <c r="AK81" s="173"/>
      <c r="AO81" s="132">
        <f t="shared" si="6"/>
        <v>0</v>
      </c>
      <c r="AP81" s="250"/>
      <c r="AQ81" s="251">
        <f t="shared" si="7"/>
        <v>0</v>
      </c>
      <c r="AR81" s="215"/>
      <c r="AS81" s="215"/>
      <c r="AT81" s="215"/>
      <c r="AU81" s="215"/>
      <c r="AV81" s="215"/>
      <c r="AW81" s="215"/>
      <c r="AX81" s="215"/>
      <c r="AY81" s="215"/>
      <c r="AZ81" s="215"/>
      <c r="BB81" s="215"/>
    </row>
    <row r="82" s="132" customFormat="1" customHeight="1" spans="1:54">
      <c r="A82" s="212">
        <v>63</v>
      </c>
      <c r="C82" s="219"/>
      <c r="I82" s="132" t="s">
        <v>3352</v>
      </c>
      <c r="J82" s="132">
        <v>117.54</v>
      </c>
      <c r="M82" s="213"/>
      <c r="N82" s="215">
        <v>6055.89</v>
      </c>
      <c r="O82" s="173"/>
      <c r="P82" s="229"/>
      <c r="Q82" s="229"/>
      <c r="R82" s="215"/>
      <c r="S82" s="216"/>
      <c r="T82" s="212"/>
      <c r="U82" s="216"/>
      <c r="V82" s="215"/>
      <c r="X82" s="215"/>
      <c r="Y82" s="242"/>
      <c r="AA82" s="173"/>
      <c r="AB82" s="215"/>
      <c r="AH82" s="215">
        <f t="shared" si="5"/>
        <v>0</v>
      </c>
      <c r="AK82" s="173"/>
      <c r="AO82" s="132">
        <f t="shared" si="6"/>
        <v>0</v>
      </c>
      <c r="AP82" s="250"/>
      <c r="AQ82" s="251">
        <f t="shared" si="7"/>
        <v>0</v>
      </c>
      <c r="AR82" s="215"/>
      <c r="AS82" s="215"/>
      <c r="AT82" s="215"/>
      <c r="AU82" s="215"/>
      <c r="AV82" s="215"/>
      <c r="AW82" s="215"/>
      <c r="AX82" s="215"/>
      <c r="AY82" s="215"/>
      <c r="AZ82" s="215"/>
      <c r="BB82" s="215"/>
    </row>
    <row r="83" s="132" customFormat="1" customHeight="1" spans="1:54">
      <c r="A83" s="212">
        <v>64</v>
      </c>
      <c r="C83" s="219"/>
      <c r="I83" s="132" t="s">
        <v>3353</v>
      </c>
      <c r="J83" s="132">
        <v>117.91</v>
      </c>
      <c r="M83" s="213"/>
      <c r="N83" s="215">
        <v>6020.88</v>
      </c>
      <c r="O83" s="173"/>
      <c r="P83" s="229"/>
      <c r="Q83" s="229"/>
      <c r="R83" s="215"/>
      <c r="S83" s="216"/>
      <c r="T83" s="212"/>
      <c r="U83" s="216"/>
      <c r="V83" s="215"/>
      <c r="X83" s="215"/>
      <c r="Y83" s="242"/>
      <c r="AA83" s="173"/>
      <c r="AB83" s="215"/>
      <c r="AH83" s="215">
        <f t="shared" si="5"/>
        <v>0</v>
      </c>
      <c r="AK83" s="173"/>
      <c r="AO83" s="132">
        <f t="shared" si="6"/>
        <v>0</v>
      </c>
      <c r="AP83" s="250"/>
      <c r="AQ83" s="251">
        <f t="shared" si="7"/>
        <v>0</v>
      </c>
      <c r="AR83" s="215"/>
      <c r="AS83" s="215"/>
      <c r="AT83" s="215"/>
      <c r="AU83" s="215"/>
      <c r="AV83" s="215"/>
      <c r="AW83" s="215"/>
      <c r="AX83" s="215"/>
      <c r="AY83" s="215"/>
      <c r="AZ83" s="215"/>
      <c r="BB83" s="215"/>
    </row>
    <row r="84" s="135" customFormat="1" customHeight="1" spans="1:54">
      <c r="A84" s="220">
        <v>65</v>
      </c>
      <c r="B84" s="135"/>
      <c r="C84" s="164"/>
      <c r="E84" s="135" t="s">
        <v>490</v>
      </c>
      <c r="G84" s="135" t="s">
        <v>3354</v>
      </c>
      <c r="I84" s="135" t="s">
        <v>3355</v>
      </c>
      <c r="J84" s="135">
        <v>117.54</v>
      </c>
      <c r="K84" s="135">
        <v>1417.54</v>
      </c>
      <c r="M84" s="233"/>
      <c r="N84" s="184">
        <v>7082.5</v>
      </c>
      <c r="O84" s="190"/>
      <c r="P84" s="234"/>
      <c r="Q84" s="234"/>
      <c r="R84" s="184">
        <v>119028</v>
      </c>
      <c r="S84" s="185" t="s">
        <v>420</v>
      </c>
      <c r="T84" s="220"/>
      <c r="U84" s="185"/>
      <c r="V84" s="184">
        <v>119028</v>
      </c>
      <c r="W84" s="185" t="s">
        <v>420</v>
      </c>
      <c r="X84" s="184"/>
      <c r="Y84" s="243"/>
      <c r="AA84" s="190"/>
      <c r="AB84" s="184"/>
      <c r="AH84" s="184">
        <f t="shared" si="5"/>
        <v>119028</v>
      </c>
      <c r="AK84" s="190">
        <f>M84-AH84</f>
        <v>-119028</v>
      </c>
      <c r="AO84" s="135">
        <f t="shared" si="6"/>
        <v>0</v>
      </c>
      <c r="AP84" s="166"/>
      <c r="AQ84" s="237">
        <f t="shared" si="7"/>
        <v>0</v>
      </c>
      <c r="AR84" s="184"/>
      <c r="AS84" s="184"/>
      <c r="AT84" s="184"/>
      <c r="AU84" s="184"/>
      <c r="AV84" s="184"/>
      <c r="AW84" s="184"/>
      <c r="AX84" s="184"/>
      <c r="AY84" s="184"/>
      <c r="AZ84" s="184"/>
      <c r="BB84" s="184"/>
    </row>
    <row r="85" s="132" customFormat="1" customHeight="1" spans="1:54">
      <c r="A85" s="212">
        <v>66</v>
      </c>
      <c r="C85" s="219"/>
      <c r="I85" s="132" t="s">
        <v>3356</v>
      </c>
      <c r="J85" s="132">
        <v>117.91</v>
      </c>
      <c r="M85" s="213"/>
      <c r="N85" s="215">
        <v>7047.5</v>
      </c>
      <c r="O85" s="173"/>
      <c r="P85" s="229"/>
      <c r="Q85" s="229"/>
      <c r="R85" s="215"/>
      <c r="S85" s="216"/>
      <c r="T85" s="212"/>
      <c r="U85" s="216"/>
      <c r="V85" s="215"/>
      <c r="X85" s="215"/>
      <c r="Y85" s="242"/>
      <c r="AA85" s="173"/>
      <c r="AB85" s="215"/>
      <c r="AH85" s="215">
        <f t="shared" si="5"/>
        <v>0</v>
      </c>
      <c r="AK85" s="173"/>
      <c r="AO85" s="132">
        <f t="shared" si="6"/>
        <v>0</v>
      </c>
      <c r="AP85" s="250"/>
      <c r="AQ85" s="251">
        <f t="shared" si="7"/>
        <v>0</v>
      </c>
      <c r="AR85" s="215"/>
      <c r="AS85" s="215"/>
      <c r="AT85" s="215"/>
      <c r="AU85" s="215"/>
      <c r="AV85" s="215"/>
      <c r="AW85" s="215"/>
      <c r="AX85" s="215"/>
      <c r="AY85" s="215"/>
      <c r="AZ85" s="215"/>
      <c r="BB85" s="215"/>
    </row>
    <row r="86" s="132" customFormat="1" customHeight="1" spans="3:54">
      <c r="C86" s="219"/>
      <c r="I86" s="230" t="s">
        <v>3357</v>
      </c>
      <c r="J86" s="173">
        <v>275.94</v>
      </c>
      <c r="M86" s="213"/>
      <c r="N86" s="215"/>
      <c r="O86" s="173"/>
      <c r="P86" s="229"/>
      <c r="Q86" s="229"/>
      <c r="R86" s="215"/>
      <c r="S86" s="216"/>
      <c r="T86" s="212"/>
      <c r="U86" s="216"/>
      <c r="V86" s="215"/>
      <c r="X86" s="215"/>
      <c r="Y86" s="242"/>
      <c r="AA86" s="173"/>
      <c r="AB86" s="215"/>
      <c r="AH86" s="215">
        <f t="shared" si="5"/>
        <v>0</v>
      </c>
      <c r="AK86" s="173"/>
      <c r="AO86" s="132">
        <f t="shared" si="6"/>
        <v>0</v>
      </c>
      <c r="AP86" s="250"/>
      <c r="AQ86" s="251">
        <f t="shared" si="7"/>
        <v>0</v>
      </c>
      <c r="AR86" s="215"/>
      <c r="AS86" s="215"/>
      <c r="AT86" s="215"/>
      <c r="AU86" s="215"/>
      <c r="AV86" s="215"/>
      <c r="AW86" s="215"/>
      <c r="AX86" s="215"/>
      <c r="AY86" s="215"/>
      <c r="AZ86" s="215"/>
      <c r="BB86" s="215"/>
    </row>
    <row r="87" s="132" customFormat="1" customHeight="1" spans="3:54">
      <c r="C87" s="219"/>
      <c r="I87" s="228" t="s">
        <v>3358</v>
      </c>
      <c r="J87" s="173">
        <v>35.22</v>
      </c>
      <c r="M87" s="213"/>
      <c r="N87" s="215"/>
      <c r="O87" s="173"/>
      <c r="P87" s="229"/>
      <c r="Q87" s="229"/>
      <c r="R87" s="215"/>
      <c r="S87" s="216"/>
      <c r="T87" s="212"/>
      <c r="U87" s="216"/>
      <c r="V87" s="215"/>
      <c r="X87" s="215"/>
      <c r="Y87" s="242"/>
      <c r="AA87" s="173"/>
      <c r="AB87" s="215"/>
      <c r="AH87" s="215">
        <f t="shared" si="5"/>
        <v>0</v>
      </c>
      <c r="AK87" s="173"/>
      <c r="AO87" s="132">
        <f t="shared" si="6"/>
        <v>0</v>
      </c>
      <c r="AP87" s="250"/>
      <c r="AQ87" s="251">
        <f t="shared" si="7"/>
        <v>0</v>
      </c>
      <c r="AR87" s="215"/>
      <c r="AS87" s="215"/>
      <c r="AT87" s="215"/>
      <c r="AU87" s="215"/>
      <c r="AV87" s="215"/>
      <c r="AW87" s="215"/>
      <c r="AX87" s="215"/>
      <c r="AY87" s="215"/>
      <c r="AZ87" s="215"/>
      <c r="BB87" s="215"/>
    </row>
    <row r="88" s="132" customFormat="1" customHeight="1" spans="3:54">
      <c r="C88" s="219"/>
      <c r="I88" s="230" t="s">
        <v>3359</v>
      </c>
      <c r="J88" s="173">
        <v>34.37</v>
      </c>
      <c r="M88" s="213"/>
      <c r="N88" s="215"/>
      <c r="O88" s="173"/>
      <c r="P88" s="229"/>
      <c r="Q88" s="229"/>
      <c r="R88" s="215"/>
      <c r="S88" s="216"/>
      <c r="T88" s="212"/>
      <c r="U88" s="216"/>
      <c r="V88" s="215"/>
      <c r="X88" s="215"/>
      <c r="Y88" s="242"/>
      <c r="AA88" s="173"/>
      <c r="AB88" s="215"/>
      <c r="AH88" s="215">
        <f t="shared" si="5"/>
        <v>0</v>
      </c>
      <c r="AK88" s="173"/>
      <c r="AO88" s="132">
        <f t="shared" si="6"/>
        <v>0</v>
      </c>
      <c r="AP88" s="250"/>
      <c r="AQ88" s="251">
        <f t="shared" si="7"/>
        <v>0</v>
      </c>
      <c r="AR88" s="215"/>
      <c r="AS88" s="215"/>
      <c r="AT88" s="215"/>
      <c r="AU88" s="215"/>
      <c r="AV88" s="215"/>
      <c r="AW88" s="215"/>
      <c r="AX88" s="215"/>
      <c r="AY88" s="215"/>
      <c r="AZ88" s="215"/>
      <c r="BB88" s="215"/>
    </row>
    <row r="89" s="132" customFormat="1" customHeight="1" spans="3:54">
      <c r="C89" s="219"/>
      <c r="I89" s="228" t="s">
        <v>3360</v>
      </c>
      <c r="J89" s="173">
        <v>34.71</v>
      </c>
      <c r="M89" s="213"/>
      <c r="N89" s="215"/>
      <c r="O89" s="173"/>
      <c r="P89" s="229"/>
      <c r="Q89" s="229"/>
      <c r="R89" s="215"/>
      <c r="S89" s="216"/>
      <c r="T89" s="212"/>
      <c r="U89" s="216"/>
      <c r="V89" s="215"/>
      <c r="X89" s="215"/>
      <c r="Y89" s="242"/>
      <c r="AA89" s="173"/>
      <c r="AB89" s="215"/>
      <c r="AH89" s="215">
        <f t="shared" si="5"/>
        <v>0</v>
      </c>
      <c r="AK89" s="173"/>
      <c r="AO89" s="132">
        <f t="shared" si="6"/>
        <v>0</v>
      </c>
      <c r="AP89" s="250"/>
      <c r="AQ89" s="251">
        <f t="shared" si="7"/>
        <v>0</v>
      </c>
      <c r="AR89" s="215"/>
      <c r="AS89" s="215"/>
      <c r="AT89" s="215"/>
      <c r="AU89" s="215"/>
      <c r="AV89" s="215"/>
      <c r="AW89" s="215"/>
      <c r="AX89" s="215"/>
      <c r="AY89" s="215"/>
      <c r="AZ89" s="215"/>
      <c r="BB89" s="215"/>
    </row>
    <row r="90" s="132" customFormat="1" customHeight="1" spans="3:54">
      <c r="C90" s="219"/>
      <c r="I90" s="230" t="s">
        <v>3361</v>
      </c>
      <c r="J90" s="173">
        <v>29.37</v>
      </c>
      <c r="M90" s="213"/>
      <c r="N90" s="215"/>
      <c r="O90" s="173"/>
      <c r="P90" s="229"/>
      <c r="Q90" s="229"/>
      <c r="R90" s="215"/>
      <c r="S90" s="216"/>
      <c r="T90" s="212"/>
      <c r="U90" s="216"/>
      <c r="V90" s="215"/>
      <c r="X90" s="215"/>
      <c r="Y90" s="242"/>
      <c r="AA90" s="173"/>
      <c r="AB90" s="215"/>
      <c r="AH90" s="215">
        <f t="shared" si="5"/>
        <v>0</v>
      </c>
      <c r="AK90" s="173"/>
      <c r="AO90" s="132">
        <f t="shared" si="6"/>
        <v>0</v>
      </c>
      <c r="AP90" s="250"/>
      <c r="AQ90" s="251">
        <f t="shared" si="7"/>
        <v>0</v>
      </c>
      <c r="AR90" s="215"/>
      <c r="AS90" s="215"/>
      <c r="AT90" s="215"/>
      <c r="AU90" s="215"/>
      <c r="AV90" s="215"/>
      <c r="AW90" s="215"/>
      <c r="AX90" s="215"/>
      <c r="AY90" s="215"/>
      <c r="AZ90" s="215"/>
      <c r="BB90" s="215"/>
    </row>
    <row r="91" s="132" customFormat="1" customHeight="1" spans="3:54">
      <c r="C91" s="219"/>
      <c r="I91" s="230" t="s">
        <v>3362</v>
      </c>
      <c r="J91" s="173">
        <v>20.09</v>
      </c>
      <c r="M91" s="213"/>
      <c r="N91" s="215"/>
      <c r="O91" s="173"/>
      <c r="P91" s="229"/>
      <c r="Q91" s="229"/>
      <c r="R91" s="215"/>
      <c r="S91" s="216"/>
      <c r="T91" s="212"/>
      <c r="U91" s="216"/>
      <c r="V91" s="215"/>
      <c r="X91" s="215"/>
      <c r="Y91" s="242"/>
      <c r="AA91" s="173"/>
      <c r="AB91" s="215"/>
      <c r="AH91" s="215">
        <f t="shared" si="5"/>
        <v>0</v>
      </c>
      <c r="AK91" s="173"/>
      <c r="AO91" s="132">
        <f t="shared" si="6"/>
        <v>0</v>
      </c>
      <c r="AP91" s="250"/>
      <c r="AQ91" s="251">
        <f t="shared" si="7"/>
        <v>0</v>
      </c>
      <c r="AR91" s="215"/>
      <c r="AS91" s="215"/>
      <c r="AT91" s="215"/>
      <c r="AU91" s="215"/>
      <c r="AV91" s="215"/>
      <c r="AW91" s="215"/>
      <c r="AX91" s="215"/>
      <c r="AY91" s="215"/>
      <c r="AZ91" s="215"/>
      <c r="BB91" s="215"/>
    </row>
    <row r="92" s="132" customFormat="1" customHeight="1" spans="3:54">
      <c r="C92" s="219"/>
      <c r="I92" s="230" t="s">
        <v>3363</v>
      </c>
      <c r="J92" s="173">
        <v>15.74</v>
      </c>
      <c r="M92" s="213"/>
      <c r="N92" s="215"/>
      <c r="O92" s="173"/>
      <c r="P92" s="229"/>
      <c r="Q92" s="229"/>
      <c r="R92" s="215"/>
      <c r="S92" s="216"/>
      <c r="T92" s="212"/>
      <c r="U92" s="216"/>
      <c r="V92" s="215"/>
      <c r="X92" s="215"/>
      <c r="Y92" s="242"/>
      <c r="AA92" s="173"/>
      <c r="AB92" s="215"/>
      <c r="AH92" s="215">
        <f t="shared" si="5"/>
        <v>0</v>
      </c>
      <c r="AK92" s="173"/>
      <c r="AO92" s="132">
        <f t="shared" si="6"/>
        <v>0</v>
      </c>
      <c r="AP92" s="250"/>
      <c r="AQ92" s="251">
        <f t="shared" si="7"/>
        <v>0</v>
      </c>
      <c r="AR92" s="215"/>
      <c r="AS92" s="215"/>
      <c r="AT92" s="215"/>
      <c r="AU92" s="215"/>
      <c r="AV92" s="215"/>
      <c r="AW92" s="215"/>
      <c r="AX92" s="215"/>
      <c r="AY92" s="215"/>
      <c r="AZ92" s="215"/>
      <c r="BB92" s="215"/>
    </row>
    <row r="93" s="132" customFormat="1" customHeight="1" spans="3:54">
      <c r="C93" s="219"/>
      <c r="I93" s="230" t="s">
        <v>3364</v>
      </c>
      <c r="J93" s="173">
        <v>13.71</v>
      </c>
      <c r="M93" s="213"/>
      <c r="N93" s="215"/>
      <c r="O93" s="173"/>
      <c r="P93" s="229"/>
      <c r="Q93" s="229"/>
      <c r="R93" s="215"/>
      <c r="S93" s="216"/>
      <c r="T93" s="212"/>
      <c r="U93" s="216"/>
      <c r="V93" s="215"/>
      <c r="X93" s="215"/>
      <c r="Y93" s="242"/>
      <c r="AA93" s="173"/>
      <c r="AB93" s="215"/>
      <c r="AH93" s="215">
        <f t="shared" si="5"/>
        <v>0</v>
      </c>
      <c r="AK93" s="173"/>
      <c r="AO93" s="132">
        <f t="shared" si="6"/>
        <v>0</v>
      </c>
      <c r="AP93" s="250"/>
      <c r="AQ93" s="251">
        <f t="shared" si="7"/>
        <v>0</v>
      </c>
      <c r="AR93" s="215"/>
      <c r="AS93" s="215"/>
      <c r="AT93" s="215"/>
      <c r="AU93" s="215"/>
      <c r="AV93" s="215"/>
      <c r="AW93" s="215"/>
      <c r="AX93" s="215"/>
      <c r="AY93" s="215"/>
      <c r="AZ93" s="215"/>
      <c r="BB93" s="215"/>
    </row>
    <row r="94" s="132" customFormat="1" customHeight="1" spans="3:54">
      <c r="C94" s="219"/>
      <c r="I94" s="230" t="s">
        <v>3365</v>
      </c>
      <c r="J94" s="173">
        <v>16.75</v>
      </c>
      <c r="M94" s="213"/>
      <c r="N94" s="215"/>
      <c r="O94" s="173"/>
      <c r="P94" s="229"/>
      <c r="Q94" s="229"/>
      <c r="R94" s="215"/>
      <c r="S94" s="216"/>
      <c r="T94" s="212"/>
      <c r="U94" s="216"/>
      <c r="V94" s="215"/>
      <c r="X94" s="215"/>
      <c r="Y94" s="242"/>
      <c r="AA94" s="173"/>
      <c r="AB94" s="215"/>
      <c r="AH94" s="215">
        <f t="shared" si="5"/>
        <v>0</v>
      </c>
      <c r="AK94" s="173"/>
      <c r="AO94" s="132">
        <f t="shared" si="6"/>
        <v>0</v>
      </c>
      <c r="AP94" s="250"/>
      <c r="AQ94" s="251">
        <f t="shared" si="7"/>
        <v>0</v>
      </c>
      <c r="AR94" s="215"/>
      <c r="AS94" s="215"/>
      <c r="AT94" s="215"/>
      <c r="AU94" s="215"/>
      <c r="AV94" s="215"/>
      <c r="AW94" s="215"/>
      <c r="AX94" s="215"/>
      <c r="AY94" s="215"/>
      <c r="AZ94" s="215"/>
      <c r="BB94" s="215"/>
    </row>
    <row r="95" s="132" customFormat="1" customHeight="1" spans="3:54">
      <c r="C95" s="219"/>
      <c r="I95" s="230" t="s">
        <v>3366</v>
      </c>
      <c r="J95" s="173">
        <v>9.62</v>
      </c>
      <c r="M95" s="213"/>
      <c r="N95" s="215"/>
      <c r="O95" s="173"/>
      <c r="P95" s="229"/>
      <c r="Q95" s="229"/>
      <c r="R95" s="215"/>
      <c r="S95" s="216"/>
      <c r="T95" s="212"/>
      <c r="U95" s="216"/>
      <c r="V95" s="215"/>
      <c r="X95" s="215"/>
      <c r="Y95" s="242"/>
      <c r="AA95" s="173"/>
      <c r="AB95" s="215"/>
      <c r="AH95" s="215">
        <f t="shared" si="5"/>
        <v>0</v>
      </c>
      <c r="AK95" s="173"/>
      <c r="AO95" s="132">
        <f t="shared" si="6"/>
        <v>0</v>
      </c>
      <c r="AP95" s="250"/>
      <c r="AQ95" s="251">
        <f t="shared" si="7"/>
        <v>0</v>
      </c>
      <c r="AR95" s="215"/>
      <c r="AS95" s="215"/>
      <c r="AT95" s="215"/>
      <c r="AU95" s="215"/>
      <c r="AV95" s="215"/>
      <c r="AW95" s="215"/>
      <c r="AX95" s="215"/>
      <c r="AY95" s="215"/>
      <c r="AZ95" s="215"/>
      <c r="BB95" s="215"/>
    </row>
    <row r="96" s="132" customFormat="1" customHeight="1" spans="3:54">
      <c r="C96" s="219"/>
      <c r="I96" s="230" t="s">
        <v>3367</v>
      </c>
      <c r="J96" s="173">
        <v>17.99</v>
      </c>
      <c r="M96" s="213"/>
      <c r="N96" s="215"/>
      <c r="O96" s="173"/>
      <c r="P96" s="229"/>
      <c r="Q96" s="229"/>
      <c r="R96" s="215"/>
      <c r="S96" s="216"/>
      <c r="T96" s="212"/>
      <c r="U96" s="216"/>
      <c r="V96" s="215"/>
      <c r="X96" s="215"/>
      <c r="Y96" s="242"/>
      <c r="AA96" s="173"/>
      <c r="AB96" s="215"/>
      <c r="AH96" s="215">
        <f t="shared" si="5"/>
        <v>0</v>
      </c>
      <c r="AK96" s="173"/>
      <c r="AO96" s="132">
        <f t="shared" si="6"/>
        <v>0</v>
      </c>
      <c r="AP96" s="250"/>
      <c r="AQ96" s="251">
        <f t="shared" si="7"/>
        <v>0</v>
      </c>
      <c r="AR96" s="215"/>
      <c r="AS96" s="215"/>
      <c r="AT96" s="215"/>
      <c r="AU96" s="215"/>
      <c r="AV96" s="215"/>
      <c r="AW96" s="215"/>
      <c r="AX96" s="215"/>
      <c r="AY96" s="215"/>
      <c r="AZ96" s="215"/>
      <c r="BB96" s="215"/>
    </row>
    <row r="97" s="132" customFormat="1" customHeight="1" spans="3:54">
      <c r="C97" s="219"/>
      <c r="I97" s="230" t="s">
        <v>3368</v>
      </c>
      <c r="J97" s="173">
        <v>65.33</v>
      </c>
      <c r="M97" s="213"/>
      <c r="N97" s="215"/>
      <c r="O97" s="173"/>
      <c r="P97" s="229"/>
      <c r="Q97" s="229"/>
      <c r="R97" s="215"/>
      <c r="S97" s="216"/>
      <c r="T97" s="212"/>
      <c r="U97" s="216"/>
      <c r="V97" s="215"/>
      <c r="X97" s="215"/>
      <c r="Y97" s="242"/>
      <c r="AA97" s="173"/>
      <c r="AB97" s="215"/>
      <c r="AH97" s="215">
        <f t="shared" si="5"/>
        <v>0</v>
      </c>
      <c r="AK97" s="173"/>
      <c r="AO97" s="132">
        <f t="shared" si="6"/>
        <v>0</v>
      </c>
      <c r="AP97" s="250"/>
      <c r="AQ97" s="251">
        <f t="shared" si="7"/>
        <v>0</v>
      </c>
      <c r="AR97" s="215"/>
      <c r="AS97" s="215"/>
      <c r="AT97" s="215"/>
      <c r="AU97" s="215"/>
      <c r="AV97" s="215"/>
      <c r="AW97" s="215"/>
      <c r="AX97" s="215"/>
      <c r="AY97" s="215"/>
      <c r="AZ97" s="215"/>
      <c r="BB97" s="215"/>
    </row>
    <row r="98" s="132" customFormat="1" customHeight="1" spans="3:54">
      <c r="C98" s="219"/>
      <c r="I98" s="230" t="s">
        <v>3369</v>
      </c>
      <c r="J98" s="173">
        <v>160.57</v>
      </c>
      <c r="M98" s="213"/>
      <c r="N98" s="215"/>
      <c r="O98" s="173"/>
      <c r="P98" s="229"/>
      <c r="Q98" s="229"/>
      <c r="R98" s="215"/>
      <c r="S98" s="216"/>
      <c r="T98" s="212"/>
      <c r="U98" s="216"/>
      <c r="V98" s="215"/>
      <c r="X98" s="215"/>
      <c r="Y98" s="242"/>
      <c r="AA98" s="173"/>
      <c r="AB98" s="215"/>
      <c r="AH98" s="215">
        <f t="shared" si="5"/>
        <v>0</v>
      </c>
      <c r="AK98" s="173"/>
      <c r="AO98" s="132">
        <f t="shared" si="6"/>
        <v>0</v>
      </c>
      <c r="AP98" s="250"/>
      <c r="AQ98" s="251">
        <f t="shared" si="7"/>
        <v>0</v>
      </c>
      <c r="AR98" s="215"/>
      <c r="AS98" s="215"/>
      <c r="AT98" s="215"/>
      <c r="AU98" s="215"/>
      <c r="AV98" s="215"/>
      <c r="AW98" s="215"/>
      <c r="AX98" s="215"/>
      <c r="AY98" s="215"/>
      <c r="AZ98" s="215"/>
      <c r="BB98" s="215"/>
    </row>
    <row r="99" s="132" customFormat="1" customHeight="1" spans="3:54">
      <c r="C99" s="219"/>
      <c r="I99" s="230" t="s">
        <v>3370</v>
      </c>
      <c r="J99" s="173">
        <v>156.43</v>
      </c>
      <c r="M99" s="213"/>
      <c r="N99" s="215"/>
      <c r="O99" s="173"/>
      <c r="P99" s="229"/>
      <c r="Q99" s="229"/>
      <c r="R99" s="215"/>
      <c r="S99" s="216"/>
      <c r="T99" s="212"/>
      <c r="U99" s="216"/>
      <c r="V99" s="215"/>
      <c r="X99" s="215"/>
      <c r="Y99" s="242"/>
      <c r="AA99" s="173"/>
      <c r="AB99" s="215"/>
      <c r="AH99" s="215">
        <f t="shared" si="5"/>
        <v>0</v>
      </c>
      <c r="AK99" s="173"/>
      <c r="AO99" s="132">
        <f t="shared" si="6"/>
        <v>0</v>
      </c>
      <c r="AP99" s="250"/>
      <c r="AQ99" s="251">
        <f t="shared" si="7"/>
        <v>0</v>
      </c>
      <c r="AR99" s="215"/>
      <c r="AS99" s="215"/>
      <c r="AT99" s="215"/>
      <c r="AU99" s="215"/>
      <c r="AV99" s="215"/>
      <c r="AW99" s="215"/>
      <c r="AX99" s="215"/>
      <c r="AY99" s="215"/>
      <c r="AZ99" s="215"/>
      <c r="BB99" s="215"/>
    </row>
    <row r="100" s="132" customFormat="1" customHeight="1" spans="3:54">
      <c r="C100" s="219"/>
      <c r="I100" s="230" t="s">
        <v>3371</v>
      </c>
      <c r="J100" s="173">
        <v>64.08</v>
      </c>
      <c r="M100" s="213"/>
      <c r="N100" s="215"/>
      <c r="O100" s="173"/>
      <c r="P100" s="229"/>
      <c r="Q100" s="229"/>
      <c r="R100" s="215"/>
      <c r="S100" s="216"/>
      <c r="T100" s="212"/>
      <c r="U100" s="216"/>
      <c r="V100" s="215"/>
      <c r="X100" s="215"/>
      <c r="Y100" s="242"/>
      <c r="AA100" s="173"/>
      <c r="AB100" s="215"/>
      <c r="AH100" s="215">
        <f t="shared" si="5"/>
        <v>0</v>
      </c>
      <c r="AK100" s="173"/>
      <c r="AO100" s="132">
        <f t="shared" si="6"/>
        <v>0</v>
      </c>
      <c r="AP100" s="250"/>
      <c r="AQ100" s="251">
        <f t="shared" si="7"/>
        <v>0</v>
      </c>
      <c r="AR100" s="215"/>
      <c r="AS100" s="215"/>
      <c r="AT100" s="215"/>
      <c r="AU100" s="215"/>
      <c r="AV100" s="215"/>
      <c r="AW100" s="215"/>
      <c r="AX100" s="215"/>
      <c r="AY100" s="215"/>
      <c r="AZ100" s="215"/>
      <c r="BB100" s="215"/>
    </row>
    <row r="101" s="135" customFormat="1" customHeight="1" spans="1:73">
      <c r="A101" s="220">
        <v>67</v>
      </c>
      <c r="C101" s="164" t="s">
        <v>3372</v>
      </c>
      <c r="D101" s="135">
        <v>20240002219</v>
      </c>
      <c r="F101" s="834" t="s">
        <v>3373</v>
      </c>
      <c r="G101" s="164" t="s">
        <v>3374</v>
      </c>
      <c r="H101" s="834" t="s">
        <v>3375</v>
      </c>
      <c r="I101" s="135" t="s">
        <v>3376</v>
      </c>
      <c r="J101" s="135">
        <v>102.67</v>
      </c>
      <c r="K101" s="135">
        <v>102.67</v>
      </c>
      <c r="L101" s="135">
        <v>4967.37</v>
      </c>
      <c r="M101" s="233">
        <v>510000</v>
      </c>
      <c r="N101" s="184">
        <v>4895</v>
      </c>
      <c r="O101" s="190"/>
      <c r="P101" s="234"/>
      <c r="Q101" s="234"/>
      <c r="R101" s="184"/>
      <c r="S101" s="185"/>
      <c r="T101" s="220"/>
      <c r="U101" s="261" t="s">
        <v>3377</v>
      </c>
      <c r="V101" s="184">
        <f>10000-10000</f>
        <v>0</v>
      </c>
      <c r="W101" s="185" t="s">
        <v>725</v>
      </c>
      <c r="X101" s="184">
        <v>10000</v>
      </c>
      <c r="Y101" s="185" t="s">
        <v>3378</v>
      </c>
      <c r="Z101" s="184">
        <v>143000</v>
      </c>
      <c r="AA101" s="185" t="s">
        <v>3372</v>
      </c>
      <c r="AB101" s="184">
        <v>357000</v>
      </c>
      <c r="AC101" s="185" t="s">
        <v>817</v>
      </c>
      <c r="AH101" s="184">
        <f t="shared" si="5"/>
        <v>510000</v>
      </c>
      <c r="AK101" s="190">
        <f>M101-AH101</f>
        <v>0</v>
      </c>
      <c r="AL101" s="135">
        <v>18799828687</v>
      </c>
      <c r="AO101" s="135">
        <f t="shared" si="6"/>
        <v>510000</v>
      </c>
      <c r="AP101" s="166">
        <f>0.7%+0.04%+0.12%</f>
        <v>0.0086</v>
      </c>
      <c r="AQ101" s="237">
        <f t="shared" si="7"/>
        <v>0</v>
      </c>
      <c r="AR101" s="184"/>
      <c r="AS101" s="184"/>
      <c r="AT101" s="184"/>
      <c r="AU101" s="184"/>
      <c r="AV101" s="184"/>
      <c r="AW101" s="184"/>
      <c r="AX101" s="184"/>
      <c r="AY101" s="184"/>
      <c r="AZ101" s="184"/>
      <c r="BB101" s="184"/>
      <c r="BH101" s="135">
        <v>153000</v>
      </c>
      <c r="BI101" s="135">
        <v>357000</v>
      </c>
      <c r="BT101" s="135" t="s">
        <v>496</v>
      </c>
      <c r="BU101" s="135" t="s">
        <v>506</v>
      </c>
    </row>
    <row r="102" s="132" customFormat="1" customHeight="1" spans="1:54">
      <c r="A102" s="212">
        <v>68</v>
      </c>
      <c r="C102" s="219"/>
      <c r="I102" s="132" t="s">
        <v>3379</v>
      </c>
      <c r="J102" s="132">
        <v>86.14</v>
      </c>
      <c r="M102" s="213"/>
      <c r="N102" s="215">
        <v>4925</v>
      </c>
      <c r="O102" s="173"/>
      <c r="P102" s="229"/>
      <c r="Q102" s="229"/>
      <c r="R102" s="215"/>
      <c r="S102" s="216"/>
      <c r="T102" s="212"/>
      <c r="U102" s="216"/>
      <c r="V102" s="215"/>
      <c r="X102" s="215"/>
      <c r="Y102" s="242"/>
      <c r="AA102" s="173"/>
      <c r="AB102" s="215"/>
      <c r="AH102" s="215">
        <f t="shared" si="5"/>
        <v>0</v>
      </c>
      <c r="AK102" s="173"/>
      <c r="AO102" s="132">
        <f t="shared" si="6"/>
        <v>0</v>
      </c>
      <c r="AP102" s="250"/>
      <c r="AQ102" s="251">
        <f t="shared" si="7"/>
        <v>0</v>
      </c>
      <c r="AR102" s="215"/>
      <c r="AS102" s="215"/>
      <c r="AT102" s="215"/>
      <c r="AU102" s="215"/>
      <c r="AV102" s="215"/>
      <c r="AW102" s="215"/>
      <c r="AX102" s="215"/>
      <c r="AY102" s="215"/>
      <c r="AZ102" s="215"/>
      <c r="BB102" s="215"/>
    </row>
    <row r="103" s="132" customFormat="1" customHeight="1" spans="1:54">
      <c r="A103" s="212">
        <v>69</v>
      </c>
      <c r="C103" s="219"/>
      <c r="I103" s="132" t="s">
        <v>3380</v>
      </c>
      <c r="J103" s="132">
        <v>153.46</v>
      </c>
      <c r="M103" s="213"/>
      <c r="N103" s="215">
        <v>4905</v>
      </c>
      <c r="O103" s="173"/>
      <c r="P103" s="229"/>
      <c r="Q103" s="229"/>
      <c r="R103" s="215"/>
      <c r="S103" s="216"/>
      <c r="T103" s="212"/>
      <c r="U103" s="216"/>
      <c r="V103" s="215"/>
      <c r="X103" s="215"/>
      <c r="Y103" s="242"/>
      <c r="AA103" s="173"/>
      <c r="AB103" s="215"/>
      <c r="AH103" s="215">
        <f t="shared" si="5"/>
        <v>0</v>
      </c>
      <c r="AK103" s="173"/>
      <c r="AO103" s="132">
        <f t="shared" si="6"/>
        <v>0</v>
      </c>
      <c r="AP103" s="250"/>
      <c r="AQ103" s="251">
        <f t="shared" si="7"/>
        <v>0</v>
      </c>
      <c r="AR103" s="215"/>
      <c r="AS103" s="215"/>
      <c r="AT103" s="215"/>
      <c r="AU103" s="215"/>
      <c r="AV103" s="215"/>
      <c r="AW103" s="215"/>
      <c r="AX103" s="215"/>
      <c r="AY103" s="215"/>
      <c r="AZ103" s="215"/>
      <c r="BB103" s="215"/>
    </row>
    <row r="104" s="135" customFormat="1" customHeight="1" spans="1:73">
      <c r="A104" s="220">
        <v>70</v>
      </c>
      <c r="C104" s="191">
        <v>45416</v>
      </c>
      <c r="D104" s="135">
        <v>20240002551</v>
      </c>
      <c r="F104" s="834" t="s">
        <v>3381</v>
      </c>
      <c r="G104" s="135" t="s">
        <v>3382</v>
      </c>
      <c r="H104" s="834" t="s">
        <v>3383</v>
      </c>
      <c r="I104" s="135" t="s">
        <v>3384</v>
      </c>
      <c r="J104" s="135">
        <v>115.78</v>
      </c>
      <c r="K104" s="135">
        <v>115.78</v>
      </c>
      <c r="L104" s="135">
        <v>5052.7</v>
      </c>
      <c r="M104" s="233">
        <v>585000</v>
      </c>
      <c r="N104" s="184">
        <v>4925</v>
      </c>
      <c r="O104" s="190"/>
      <c r="P104" s="234"/>
      <c r="Q104" s="234"/>
      <c r="R104" s="184"/>
      <c r="S104" s="185"/>
      <c r="T104" s="220"/>
      <c r="U104" s="185" t="s">
        <v>709</v>
      </c>
      <c r="V104" s="184">
        <v>20000</v>
      </c>
      <c r="W104" s="185" t="s">
        <v>3385</v>
      </c>
      <c r="X104" s="184">
        <f>115000+170000</f>
        <v>285000</v>
      </c>
      <c r="Y104" s="243" t="s">
        <v>503</v>
      </c>
      <c r="Z104" s="184">
        <v>280000</v>
      </c>
      <c r="AA104" s="185" t="s">
        <v>632</v>
      </c>
      <c r="AB104" s="184"/>
      <c r="AH104" s="184">
        <f t="shared" si="5"/>
        <v>585000</v>
      </c>
      <c r="AK104" s="190">
        <f>M104-AH104</f>
        <v>0</v>
      </c>
      <c r="AL104" s="135">
        <v>19999463937</v>
      </c>
      <c r="AO104" s="135">
        <f t="shared" si="6"/>
        <v>585000</v>
      </c>
      <c r="AP104" s="166">
        <f>0.7%+0.12%</f>
        <v>0.0082</v>
      </c>
      <c r="AQ104" s="237">
        <f t="shared" si="7"/>
        <v>0</v>
      </c>
      <c r="AR104" s="184"/>
      <c r="AS104" s="184"/>
      <c r="AT104" s="184"/>
      <c r="AU104" s="184"/>
      <c r="AV104" s="184"/>
      <c r="AW104" s="184"/>
      <c r="AX104" s="184"/>
      <c r="AY104" s="184"/>
      <c r="AZ104" s="184"/>
      <c r="BB104" s="184"/>
      <c r="BI104" s="135">
        <v>585000</v>
      </c>
      <c r="BT104" s="135" t="s">
        <v>496</v>
      </c>
      <c r="BU104" s="135" t="s">
        <v>506</v>
      </c>
    </row>
    <row r="105" s="135" customFormat="1" customHeight="1" spans="1:54">
      <c r="A105" s="220">
        <v>71</v>
      </c>
      <c r="C105" s="164"/>
      <c r="G105" s="135" t="s">
        <v>3386</v>
      </c>
      <c r="I105" s="135" t="s">
        <v>3387</v>
      </c>
      <c r="J105" s="135">
        <v>86.14</v>
      </c>
      <c r="K105" s="135">
        <v>86.14</v>
      </c>
      <c r="L105" s="135">
        <v>4875.78</v>
      </c>
      <c r="M105" s="233">
        <v>420000</v>
      </c>
      <c r="N105" s="184">
        <v>4875.78</v>
      </c>
      <c r="O105" s="190"/>
      <c r="P105" s="234"/>
      <c r="Q105" s="234"/>
      <c r="R105" s="184"/>
      <c r="S105" s="185"/>
      <c r="T105" s="220"/>
      <c r="U105" s="185" t="s">
        <v>825</v>
      </c>
      <c r="V105" s="184">
        <v>30000</v>
      </c>
      <c r="W105" s="185" t="s">
        <v>3388</v>
      </c>
      <c r="X105" s="184"/>
      <c r="Y105" s="243"/>
      <c r="AA105" s="190"/>
      <c r="AB105" s="184"/>
      <c r="AH105" s="184">
        <f t="shared" si="5"/>
        <v>30000</v>
      </c>
      <c r="AK105" s="190">
        <f>M105-AH105</f>
        <v>390000</v>
      </c>
      <c r="AO105" s="135">
        <f t="shared" si="6"/>
        <v>0</v>
      </c>
      <c r="AP105" s="166">
        <f>0.4%+0.12%</f>
        <v>0.0052</v>
      </c>
      <c r="AQ105" s="237">
        <f t="shared" si="7"/>
        <v>0</v>
      </c>
      <c r="AR105" s="184"/>
      <c r="AS105" s="184"/>
      <c r="AT105" s="184"/>
      <c r="AU105" s="184"/>
      <c r="AV105" s="184"/>
      <c r="AW105" s="184"/>
      <c r="AX105" s="184"/>
      <c r="AY105" s="184"/>
      <c r="AZ105" s="184"/>
      <c r="BB105" s="184"/>
    </row>
    <row r="106" s="135" customFormat="1" customHeight="1" spans="1:79">
      <c r="A106" s="220">
        <v>72</v>
      </c>
      <c r="C106" s="164" t="s">
        <v>3389</v>
      </c>
      <c r="D106" s="135">
        <v>20240003446</v>
      </c>
      <c r="F106" s="834" t="s">
        <v>3390</v>
      </c>
      <c r="G106" s="135" t="s">
        <v>3391</v>
      </c>
      <c r="H106" s="834" t="s">
        <v>3392</v>
      </c>
      <c r="I106" s="135" t="s">
        <v>3393</v>
      </c>
      <c r="J106" s="135">
        <v>153.46</v>
      </c>
      <c r="K106" s="135">
        <v>153.46</v>
      </c>
      <c r="L106" s="135">
        <v>5035</v>
      </c>
      <c r="M106" s="233">
        <v>772671</v>
      </c>
      <c r="N106" s="184">
        <v>4935</v>
      </c>
      <c r="O106" s="190"/>
      <c r="P106" s="234"/>
      <c r="Q106" s="234"/>
      <c r="R106" s="184"/>
      <c r="S106" s="185"/>
      <c r="T106" s="220"/>
      <c r="U106" s="185" t="s">
        <v>590</v>
      </c>
      <c r="V106" s="184">
        <v>10000</v>
      </c>
      <c r="W106" s="185" t="s">
        <v>3394</v>
      </c>
      <c r="X106" s="184">
        <v>112671</v>
      </c>
      <c r="Y106" s="243" t="s">
        <v>3389</v>
      </c>
      <c r="Z106" s="135">
        <v>650000</v>
      </c>
      <c r="AA106" s="190" t="s">
        <v>3395</v>
      </c>
      <c r="AB106" s="184"/>
      <c r="AH106" s="184">
        <f t="shared" si="5"/>
        <v>772671</v>
      </c>
      <c r="AK106" s="190">
        <f>M106-AH106</f>
        <v>0</v>
      </c>
      <c r="AL106" s="135">
        <v>18139079120</v>
      </c>
      <c r="AO106" s="135">
        <f t="shared" si="6"/>
        <v>772671</v>
      </c>
      <c r="AP106" s="166">
        <f>0.7%+0.02%+0.08%</f>
        <v>0.008</v>
      </c>
      <c r="AQ106" s="237">
        <f t="shared" si="7"/>
        <v>0</v>
      </c>
      <c r="AR106" s="184"/>
      <c r="AS106" s="184"/>
      <c r="AT106" s="184"/>
      <c r="AU106" s="184"/>
      <c r="AV106" s="184"/>
      <c r="AW106" s="184"/>
      <c r="AX106" s="184"/>
      <c r="AY106" s="184"/>
      <c r="AZ106" s="184"/>
      <c r="BB106" s="184"/>
      <c r="BJ106" s="135">
        <v>772671</v>
      </c>
      <c r="BT106" s="135" t="s">
        <v>496</v>
      </c>
      <c r="BU106" s="135" t="s">
        <v>506</v>
      </c>
      <c r="CA106" s="135">
        <f>BY106-BZ106</f>
        <v>0</v>
      </c>
    </row>
    <row r="107" s="135" customFormat="1" customHeight="1" spans="1:72">
      <c r="A107" s="220">
        <v>73</v>
      </c>
      <c r="C107" s="164" t="s">
        <v>213</v>
      </c>
      <c r="D107" s="135">
        <v>20240006861</v>
      </c>
      <c r="F107" s="834" t="s">
        <v>3396</v>
      </c>
      <c r="G107" s="135" t="s">
        <v>3397</v>
      </c>
      <c r="H107" s="834" t="s">
        <v>3398</v>
      </c>
      <c r="I107" s="135" t="s">
        <v>3399</v>
      </c>
      <c r="J107" s="135">
        <v>115.78</v>
      </c>
      <c r="K107" s="135">
        <v>115.78</v>
      </c>
      <c r="L107" s="135">
        <v>5068</v>
      </c>
      <c r="M107" s="233">
        <v>586773</v>
      </c>
      <c r="N107" s="184">
        <v>4968</v>
      </c>
      <c r="O107" s="190"/>
      <c r="P107" s="234"/>
      <c r="Q107" s="234"/>
      <c r="R107" s="184">
        <f>28000+101000+340000</f>
        <v>469000</v>
      </c>
      <c r="S107" s="185" t="s">
        <v>3324</v>
      </c>
      <c r="T107" s="844" t="s">
        <v>3400</v>
      </c>
      <c r="U107" s="185" t="s">
        <v>508</v>
      </c>
      <c r="V107" s="184">
        <v>2000</v>
      </c>
      <c r="W107" s="185" t="s">
        <v>1049</v>
      </c>
      <c r="X107" s="184">
        <v>18000</v>
      </c>
      <c r="Y107" s="243" t="s">
        <v>687</v>
      </c>
      <c r="Z107" s="184">
        <v>20000</v>
      </c>
      <c r="AA107" s="185" t="s">
        <v>285</v>
      </c>
      <c r="AB107" s="184">
        <v>47773</v>
      </c>
      <c r="AC107" s="185">
        <v>45550</v>
      </c>
      <c r="AD107" s="184">
        <v>30000</v>
      </c>
      <c r="AE107" s="185" t="s">
        <v>213</v>
      </c>
      <c r="AF107" s="184">
        <f>28000+101000+340000</f>
        <v>469000</v>
      </c>
      <c r="AG107" s="185" t="s">
        <v>3324</v>
      </c>
      <c r="AH107" s="184">
        <f t="shared" si="5"/>
        <v>586773</v>
      </c>
      <c r="AK107" s="190">
        <f>M107-AH107</f>
        <v>0</v>
      </c>
      <c r="AL107" s="135">
        <v>15099483259</v>
      </c>
      <c r="AO107" s="135">
        <f t="shared" si="6"/>
        <v>586773</v>
      </c>
      <c r="AP107" s="166">
        <f>0.4%+0.02%+0.08%+0.03%</f>
        <v>0.0053</v>
      </c>
      <c r="AQ107" s="237">
        <f t="shared" si="7"/>
        <v>0</v>
      </c>
      <c r="AR107" s="184"/>
      <c r="AS107" s="184"/>
      <c r="AT107" s="184"/>
      <c r="AU107" s="184"/>
      <c r="AV107" s="184"/>
      <c r="AW107" s="184"/>
      <c r="AX107" s="184"/>
      <c r="AY107" s="184"/>
      <c r="AZ107" s="184"/>
      <c r="BB107" s="184"/>
      <c r="BO107" s="135">
        <v>117773</v>
      </c>
      <c r="BP107" s="135">
        <v>469000</v>
      </c>
      <c r="BR107" s="135">
        <f>BP107*AP107</f>
        <v>2485.7</v>
      </c>
      <c r="BT107" s="135" t="s">
        <v>496</v>
      </c>
    </row>
    <row r="108" s="135" customFormat="1" customHeight="1" spans="1:73">
      <c r="A108" s="220">
        <v>74</v>
      </c>
      <c r="C108" s="164" t="s">
        <v>1259</v>
      </c>
      <c r="D108" s="135">
        <v>20240001879</v>
      </c>
      <c r="F108" s="834" t="s">
        <v>3401</v>
      </c>
      <c r="G108" s="135" t="s">
        <v>3402</v>
      </c>
      <c r="H108" s="834" t="s">
        <v>3403</v>
      </c>
      <c r="I108" s="135" t="s">
        <v>3404</v>
      </c>
      <c r="J108" s="135">
        <v>86.14</v>
      </c>
      <c r="K108" s="135">
        <v>86.14</v>
      </c>
      <c r="L108" s="135">
        <v>5026.7</v>
      </c>
      <c r="M108" s="233">
        <v>433000</v>
      </c>
      <c r="N108" s="184">
        <v>4998</v>
      </c>
      <c r="O108" s="190"/>
      <c r="P108" s="234"/>
      <c r="Q108" s="234"/>
      <c r="R108" s="184"/>
      <c r="S108" s="185"/>
      <c r="T108" s="220"/>
      <c r="U108" s="185" t="s">
        <v>502</v>
      </c>
      <c r="V108" s="184">
        <v>10000</v>
      </c>
      <c r="W108" s="185" t="s">
        <v>3378</v>
      </c>
      <c r="X108" s="184">
        <v>83000</v>
      </c>
      <c r="Y108" s="185" t="s">
        <v>1259</v>
      </c>
      <c r="Z108" s="135">
        <v>340000</v>
      </c>
      <c r="AA108" s="190" t="s">
        <v>3405</v>
      </c>
      <c r="AB108" s="184"/>
      <c r="AH108" s="184">
        <f t="shared" si="5"/>
        <v>433000</v>
      </c>
      <c r="AK108" s="190">
        <f>M108-AH108</f>
        <v>0</v>
      </c>
      <c r="AL108" s="135">
        <v>19199168756</v>
      </c>
      <c r="AO108" s="135">
        <f t="shared" si="6"/>
        <v>433000</v>
      </c>
      <c r="AP108" s="166">
        <f>0.6%+0.12%</f>
        <v>0.0072</v>
      </c>
      <c r="AQ108" s="237">
        <f t="shared" si="7"/>
        <v>0</v>
      </c>
      <c r="AR108" s="184"/>
      <c r="AS108" s="184"/>
      <c r="AT108" s="184"/>
      <c r="AU108" s="184"/>
      <c r="AV108" s="184"/>
      <c r="AW108" s="184"/>
      <c r="AX108" s="184"/>
      <c r="AY108" s="184"/>
      <c r="AZ108" s="184"/>
      <c r="BB108" s="184"/>
      <c r="BH108" s="135">
        <v>433000</v>
      </c>
      <c r="BT108" s="135" t="s">
        <v>496</v>
      </c>
      <c r="BU108" s="135" t="s">
        <v>506</v>
      </c>
    </row>
    <row r="109" s="135" customFormat="1" customHeight="1" spans="1:73">
      <c r="A109" s="220">
        <v>75</v>
      </c>
      <c r="C109" s="164" t="s">
        <v>3406</v>
      </c>
      <c r="D109" s="135">
        <v>20240000294</v>
      </c>
      <c r="F109" s="834" t="s">
        <v>3407</v>
      </c>
      <c r="G109" s="135" t="s">
        <v>3408</v>
      </c>
      <c r="H109" s="834" t="s">
        <v>3409</v>
      </c>
      <c r="I109" s="135" t="s">
        <v>3410</v>
      </c>
      <c r="J109" s="135">
        <v>153.46</v>
      </c>
      <c r="K109" s="135">
        <v>153.46</v>
      </c>
      <c r="L109" s="135">
        <v>5000</v>
      </c>
      <c r="M109" s="233">
        <v>767300</v>
      </c>
      <c r="N109" s="184">
        <v>4978</v>
      </c>
      <c r="O109" s="190"/>
      <c r="P109" s="234"/>
      <c r="Q109" s="234"/>
      <c r="R109" s="184"/>
      <c r="S109" s="185"/>
      <c r="T109" s="220"/>
      <c r="U109" s="185" t="s">
        <v>524</v>
      </c>
      <c r="V109" s="184">
        <v>20000</v>
      </c>
      <c r="W109" s="185" t="s">
        <v>751</v>
      </c>
      <c r="X109" s="184">
        <v>132300</v>
      </c>
      <c r="Y109" s="243" t="s">
        <v>3406</v>
      </c>
      <c r="Z109" s="135">
        <v>39000</v>
      </c>
      <c r="AA109" s="190" t="s">
        <v>2821</v>
      </c>
      <c r="AB109" s="184">
        <v>576000</v>
      </c>
      <c r="AC109" s="185" t="s">
        <v>630</v>
      </c>
      <c r="AH109" s="184">
        <f t="shared" si="5"/>
        <v>767300</v>
      </c>
      <c r="AK109" s="190">
        <f t="shared" ref="AK109:AK115" si="8">M109-AH109</f>
        <v>0</v>
      </c>
      <c r="AL109" s="135">
        <v>17881704475</v>
      </c>
      <c r="AO109" s="135">
        <f t="shared" si="6"/>
        <v>767300</v>
      </c>
      <c r="AP109" s="166">
        <f>0.7%+0.04%+0.12%</f>
        <v>0.0086</v>
      </c>
      <c r="AQ109" s="237">
        <f t="shared" si="7"/>
        <v>0</v>
      </c>
      <c r="AR109" s="184"/>
      <c r="AS109" s="184"/>
      <c r="AT109" s="184"/>
      <c r="AU109" s="184"/>
      <c r="AV109" s="184"/>
      <c r="AW109" s="184"/>
      <c r="AX109" s="184"/>
      <c r="AY109" s="184"/>
      <c r="AZ109" s="184"/>
      <c r="BB109" s="184"/>
      <c r="BE109" s="135">
        <v>191300</v>
      </c>
      <c r="BG109" s="135">
        <v>576000</v>
      </c>
      <c r="BT109" s="135" t="s">
        <v>496</v>
      </c>
      <c r="BU109" s="135" t="s">
        <v>506</v>
      </c>
    </row>
    <row r="110" s="135" customFormat="1" customHeight="1" spans="1:73">
      <c r="A110" s="220">
        <v>76</v>
      </c>
      <c r="C110" s="164" t="s">
        <v>3411</v>
      </c>
      <c r="D110" s="135">
        <v>20240001102</v>
      </c>
      <c r="F110" s="834" t="s">
        <v>3412</v>
      </c>
      <c r="G110" s="135" t="s">
        <v>3413</v>
      </c>
      <c r="H110" s="834" t="s">
        <v>3414</v>
      </c>
      <c r="I110" s="135" t="s">
        <v>3415</v>
      </c>
      <c r="J110" s="135">
        <v>115.78</v>
      </c>
      <c r="K110" s="135">
        <v>115.78</v>
      </c>
      <c r="L110" s="135">
        <f>M110/K110</f>
        <v>5095.87148039385</v>
      </c>
      <c r="M110" s="233">
        <v>590000</v>
      </c>
      <c r="N110" s="184">
        <v>5004</v>
      </c>
      <c r="O110" s="190"/>
      <c r="P110" s="234"/>
      <c r="Q110" s="234"/>
      <c r="R110" s="184"/>
      <c r="S110" s="185"/>
      <c r="T110" s="220"/>
      <c r="U110" s="185" t="s">
        <v>721</v>
      </c>
      <c r="V110" s="184">
        <v>10000</v>
      </c>
      <c r="W110" s="185" t="s">
        <v>3416</v>
      </c>
      <c r="X110" s="184">
        <v>108000</v>
      </c>
      <c r="Y110" s="185" t="s">
        <v>3411</v>
      </c>
      <c r="Z110" s="135">
        <v>472000</v>
      </c>
      <c r="AA110" s="190" t="s">
        <v>550</v>
      </c>
      <c r="AB110" s="184"/>
      <c r="AH110" s="184">
        <f t="shared" si="5"/>
        <v>590000</v>
      </c>
      <c r="AK110" s="190">
        <f t="shared" si="8"/>
        <v>0</v>
      </c>
      <c r="AL110" s="135">
        <v>13667567161</v>
      </c>
      <c r="AO110" s="135">
        <f t="shared" si="6"/>
        <v>590000</v>
      </c>
      <c r="AP110" s="166">
        <f>0.7%+0.05%+0.14%</f>
        <v>0.0089</v>
      </c>
      <c r="AQ110" s="237">
        <f t="shared" si="7"/>
        <v>0</v>
      </c>
      <c r="AR110" s="184"/>
      <c r="AS110" s="184"/>
      <c r="AT110" s="184"/>
      <c r="AU110" s="184"/>
      <c r="AV110" s="184"/>
      <c r="AW110" s="184"/>
      <c r="AX110" s="184"/>
      <c r="AY110" s="184"/>
      <c r="AZ110" s="184"/>
      <c r="BB110" s="184"/>
      <c r="BG110" s="135">
        <v>590000</v>
      </c>
      <c r="BT110" s="135" t="s">
        <v>496</v>
      </c>
      <c r="BU110" s="135" t="s">
        <v>506</v>
      </c>
    </row>
    <row r="111" s="135" customFormat="1" customHeight="1" spans="1:73">
      <c r="A111" s="220">
        <v>77</v>
      </c>
      <c r="C111" s="191">
        <v>45426</v>
      </c>
      <c r="D111" s="135">
        <v>20240002843</v>
      </c>
      <c r="G111" s="164" t="s">
        <v>3417</v>
      </c>
      <c r="H111" s="135" t="s">
        <v>3418</v>
      </c>
      <c r="I111" s="135" t="s">
        <v>3419</v>
      </c>
      <c r="J111" s="135">
        <v>86.14</v>
      </c>
      <c r="K111" s="135">
        <v>86.14</v>
      </c>
      <c r="L111" s="135">
        <f>M111/K111</f>
        <v>5038.3097283492</v>
      </c>
      <c r="M111" s="233">
        <v>434000</v>
      </c>
      <c r="N111" s="184">
        <v>5034</v>
      </c>
      <c r="O111" s="190"/>
      <c r="P111" s="234"/>
      <c r="Q111" s="234"/>
      <c r="R111" s="184"/>
      <c r="S111" s="185"/>
      <c r="T111" s="220"/>
      <c r="U111" s="185"/>
      <c r="V111" s="184">
        <v>10707</v>
      </c>
      <c r="W111" s="185" t="s">
        <v>3420</v>
      </c>
      <c r="X111" s="184">
        <v>423293</v>
      </c>
      <c r="Y111" s="243" t="s">
        <v>3420</v>
      </c>
      <c r="AA111" s="190"/>
      <c r="AB111" s="184"/>
      <c r="AH111" s="184">
        <f t="shared" si="5"/>
        <v>434000</v>
      </c>
      <c r="AK111" s="190">
        <f t="shared" si="8"/>
        <v>0</v>
      </c>
      <c r="AM111" s="164" t="s">
        <v>3421</v>
      </c>
      <c r="AO111" s="135">
        <f t="shared" si="6"/>
        <v>434000</v>
      </c>
      <c r="AP111" s="166" t="s">
        <v>3422</v>
      </c>
      <c r="AQ111" s="237">
        <f t="shared" si="7"/>
        <v>0</v>
      </c>
      <c r="AR111" s="184"/>
      <c r="AS111" s="184"/>
      <c r="AT111" s="184"/>
      <c r="AU111" s="184"/>
      <c r="AV111" s="184"/>
      <c r="AW111" s="184"/>
      <c r="AX111" s="184"/>
      <c r="AY111" s="184"/>
      <c r="AZ111" s="184"/>
      <c r="BB111" s="184"/>
      <c r="BI111" s="135">
        <v>434000</v>
      </c>
      <c r="BT111" s="135" t="s">
        <v>496</v>
      </c>
      <c r="BU111" s="135" t="s">
        <v>506</v>
      </c>
    </row>
    <row r="112" s="135" customFormat="1" customHeight="1" spans="1:73">
      <c r="A112" s="220">
        <v>78</v>
      </c>
      <c r="C112" s="164" t="s">
        <v>762</v>
      </c>
      <c r="D112" s="135">
        <v>20240000209</v>
      </c>
      <c r="F112" s="834" t="s">
        <v>3423</v>
      </c>
      <c r="G112" s="164" t="s">
        <v>3424</v>
      </c>
      <c r="H112" s="834" t="s">
        <v>3425</v>
      </c>
      <c r="I112" s="135" t="s">
        <v>3426</v>
      </c>
      <c r="J112" s="135">
        <v>132.34</v>
      </c>
      <c r="K112" s="135">
        <v>132.34</v>
      </c>
      <c r="L112" s="135">
        <v>5076.22</v>
      </c>
      <c r="M112" s="233">
        <v>671787</v>
      </c>
      <c r="N112" s="184">
        <v>5014</v>
      </c>
      <c r="O112" s="190"/>
      <c r="P112" s="234"/>
      <c r="Q112" s="234"/>
      <c r="R112" s="184"/>
      <c r="S112" s="185"/>
      <c r="T112" s="845" t="s">
        <v>3427</v>
      </c>
      <c r="U112" s="261" t="s">
        <v>2249</v>
      </c>
      <c r="V112" s="184">
        <v>2000</v>
      </c>
      <c r="W112" s="261" t="s">
        <v>527</v>
      </c>
      <c r="X112" s="184">
        <v>18000</v>
      </c>
      <c r="Y112" s="185" t="s">
        <v>725</v>
      </c>
      <c r="Z112" s="135">
        <v>181787</v>
      </c>
      <c r="AA112" s="190" t="s">
        <v>762</v>
      </c>
      <c r="AB112" s="184">
        <v>470000</v>
      </c>
      <c r="AC112" s="135" t="s">
        <v>889</v>
      </c>
      <c r="AH112" s="184">
        <f t="shared" si="5"/>
        <v>671787</v>
      </c>
      <c r="AK112" s="190">
        <f t="shared" si="8"/>
        <v>0</v>
      </c>
      <c r="AL112" s="135">
        <v>18690680552</v>
      </c>
      <c r="AO112" s="135">
        <f t="shared" si="6"/>
        <v>671787</v>
      </c>
      <c r="AP112" s="166">
        <f>0.4%+0.02%+0.08%</f>
        <v>0.005</v>
      </c>
      <c r="AQ112" s="237">
        <f t="shared" si="7"/>
        <v>0</v>
      </c>
      <c r="AR112" s="184"/>
      <c r="AS112" s="184"/>
      <c r="AT112" s="184"/>
      <c r="AU112" s="184"/>
      <c r="AV112" s="184"/>
      <c r="AW112" s="184"/>
      <c r="AX112" s="184"/>
      <c r="AY112" s="184"/>
      <c r="AZ112" s="184"/>
      <c r="BB112" s="184"/>
      <c r="BE112" s="135">
        <v>671787</v>
      </c>
      <c r="BT112" s="135" t="s">
        <v>496</v>
      </c>
      <c r="BU112" s="135" t="s">
        <v>506</v>
      </c>
    </row>
    <row r="113" s="135" customFormat="1" customHeight="1" spans="1:73">
      <c r="A113" s="220">
        <v>79</v>
      </c>
      <c r="C113" s="164" t="s">
        <v>762</v>
      </c>
      <c r="D113" s="135">
        <v>20240000198</v>
      </c>
      <c r="F113" s="834" t="s">
        <v>3428</v>
      </c>
      <c r="G113" s="135" t="s">
        <v>3429</v>
      </c>
      <c r="H113" s="834" t="s">
        <v>3430</v>
      </c>
      <c r="I113" s="135" t="s">
        <v>3431</v>
      </c>
      <c r="J113" s="135">
        <v>115.78</v>
      </c>
      <c r="K113" s="135">
        <v>115.78</v>
      </c>
      <c r="L113" s="135">
        <v>5110</v>
      </c>
      <c r="M113" s="233">
        <v>591636</v>
      </c>
      <c r="N113" s="184">
        <v>5065</v>
      </c>
      <c r="O113" s="190"/>
      <c r="P113" s="234"/>
      <c r="Q113" s="234"/>
      <c r="R113" s="184"/>
      <c r="S113" s="185"/>
      <c r="T113" s="220"/>
      <c r="U113" s="185" t="s">
        <v>709</v>
      </c>
      <c r="V113" s="184">
        <v>20000</v>
      </c>
      <c r="W113" s="185" t="s">
        <v>767</v>
      </c>
      <c r="X113" s="184">
        <v>161636</v>
      </c>
      <c r="Y113" s="243" t="s">
        <v>762</v>
      </c>
      <c r="Z113" s="135">
        <v>410000</v>
      </c>
      <c r="AA113" s="190" t="s">
        <v>889</v>
      </c>
      <c r="AB113" s="184"/>
      <c r="AH113" s="184">
        <f t="shared" si="5"/>
        <v>591636</v>
      </c>
      <c r="AK113" s="190">
        <f t="shared" si="8"/>
        <v>0</v>
      </c>
      <c r="AL113" s="135">
        <v>18299827379</v>
      </c>
      <c r="AO113" s="135">
        <f t="shared" si="6"/>
        <v>591636</v>
      </c>
      <c r="AP113" s="166">
        <f>0.7%+0.12%</f>
        <v>0.0082</v>
      </c>
      <c r="AQ113" s="237">
        <f t="shared" si="7"/>
        <v>0</v>
      </c>
      <c r="AR113" s="184"/>
      <c r="AS113" s="184"/>
      <c r="AT113" s="184"/>
      <c r="AU113" s="184"/>
      <c r="AV113" s="184"/>
      <c r="AW113" s="184"/>
      <c r="AX113" s="184"/>
      <c r="AY113" s="184"/>
      <c r="AZ113" s="184"/>
      <c r="BB113" s="184"/>
      <c r="BE113" s="135">
        <v>591636</v>
      </c>
      <c r="BT113" s="135" t="s">
        <v>496</v>
      </c>
      <c r="BU113" s="135" t="s">
        <v>506</v>
      </c>
    </row>
    <row r="114" s="135" customFormat="1" customHeight="1" spans="1:73">
      <c r="A114" s="220">
        <v>80</v>
      </c>
      <c r="C114" s="191">
        <v>45401</v>
      </c>
      <c r="D114" s="135">
        <v>20240002198</v>
      </c>
      <c r="F114" s="834" t="s">
        <v>3432</v>
      </c>
      <c r="G114" s="164" t="s">
        <v>3433</v>
      </c>
      <c r="H114" s="834" t="s">
        <v>3434</v>
      </c>
      <c r="I114" s="135" t="s">
        <v>3435</v>
      </c>
      <c r="J114" s="135">
        <v>86.14</v>
      </c>
      <c r="K114" s="135">
        <v>86.14</v>
      </c>
      <c r="L114" s="135">
        <v>5195</v>
      </c>
      <c r="M114" s="233">
        <v>447497</v>
      </c>
      <c r="N114" s="184">
        <v>5095</v>
      </c>
      <c r="O114" s="190"/>
      <c r="P114" s="234"/>
      <c r="Q114" s="234"/>
      <c r="R114" s="184"/>
      <c r="S114" s="185"/>
      <c r="T114" s="262" t="s">
        <v>3436</v>
      </c>
      <c r="U114" s="261" t="s">
        <v>3437</v>
      </c>
      <c r="V114" s="184">
        <f>2000-2000</f>
        <v>0</v>
      </c>
      <c r="W114" s="185" t="s">
        <v>2978</v>
      </c>
      <c r="X114" s="184">
        <v>2000</v>
      </c>
      <c r="Y114" s="185" t="s">
        <v>751</v>
      </c>
      <c r="Z114" s="135">
        <v>18000</v>
      </c>
      <c r="AA114" s="190" t="s">
        <v>3438</v>
      </c>
      <c r="AB114" s="184">
        <v>427497</v>
      </c>
      <c r="AC114" s="185" t="s">
        <v>504</v>
      </c>
      <c r="AH114" s="184">
        <f t="shared" si="5"/>
        <v>447497</v>
      </c>
      <c r="AK114" s="190">
        <f t="shared" si="8"/>
        <v>0</v>
      </c>
      <c r="AL114" s="135">
        <v>13779327826</v>
      </c>
      <c r="AO114" s="135">
        <f t="shared" si="6"/>
        <v>447497</v>
      </c>
      <c r="AP114" s="166">
        <f>0.4%+0.03%+0.12%</f>
        <v>0.0055</v>
      </c>
      <c r="AQ114" s="237">
        <f t="shared" si="7"/>
        <v>0</v>
      </c>
      <c r="AR114" s="184"/>
      <c r="AS114" s="184"/>
      <c r="AT114" s="184"/>
      <c r="AU114" s="184"/>
      <c r="AV114" s="184"/>
      <c r="AW114" s="184"/>
      <c r="AX114" s="184"/>
      <c r="AY114" s="184"/>
      <c r="AZ114" s="184"/>
      <c r="BB114" s="184"/>
      <c r="BH114" s="135">
        <v>447497</v>
      </c>
      <c r="BT114" s="135" t="s">
        <v>496</v>
      </c>
      <c r="BU114" s="135" t="s">
        <v>506</v>
      </c>
    </row>
    <row r="115" s="135" customFormat="1" customHeight="1" spans="1:73">
      <c r="A115" s="220">
        <v>81</v>
      </c>
      <c r="C115" s="191">
        <v>45341</v>
      </c>
      <c r="D115" s="135">
        <v>20240000866</v>
      </c>
      <c r="F115" s="834" t="s">
        <v>3439</v>
      </c>
      <c r="G115" s="135" t="s">
        <v>3440</v>
      </c>
      <c r="H115" s="834" t="s">
        <v>3441</v>
      </c>
      <c r="I115" s="135" t="s">
        <v>3442</v>
      </c>
      <c r="J115" s="135">
        <v>132.34</v>
      </c>
      <c r="K115" s="135">
        <v>132.34</v>
      </c>
      <c r="L115" s="135">
        <v>5123.17</v>
      </c>
      <c r="M115" s="233">
        <v>678000</v>
      </c>
      <c r="N115" s="184">
        <v>5065</v>
      </c>
      <c r="O115" s="190"/>
      <c r="P115" s="234"/>
      <c r="Q115" s="234"/>
      <c r="R115" s="184"/>
      <c r="S115" s="185"/>
      <c r="T115" s="220"/>
      <c r="U115" s="185" t="s">
        <v>524</v>
      </c>
      <c r="V115" s="184">
        <v>20000</v>
      </c>
      <c r="W115" s="185" t="s">
        <v>3268</v>
      </c>
      <c r="X115" s="184">
        <v>118000</v>
      </c>
      <c r="Y115" s="185" t="s">
        <v>3443</v>
      </c>
      <c r="Z115" s="184">
        <v>540000</v>
      </c>
      <c r="AA115" s="185">
        <v>45539</v>
      </c>
      <c r="AB115" s="184"/>
      <c r="AH115" s="184">
        <f t="shared" si="5"/>
        <v>678000</v>
      </c>
      <c r="AK115" s="190">
        <f t="shared" si="8"/>
        <v>0</v>
      </c>
      <c r="AL115" s="135">
        <v>19190819297</v>
      </c>
      <c r="AO115" s="135">
        <f t="shared" si="6"/>
        <v>678000</v>
      </c>
      <c r="AP115" s="166">
        <f>0.7%+0.04%+0.12%</f>
        <v>0.0086</v>
      </c>
      <c r="AQ115" s="237">
        <f t="shared" si="7"/>
        <v>0</v>
      </c>
      <c r="AR115" s="184"/>
      <c r="AS115" s="184"/>
      <c r="AT115" s="184"/>
      <c r="AU115" s="184"/>
      <c r="AV115" s="184"/>
      <c r="AW115" s="184"/>
      <c r="AX115" s="184"/>
      <c r="AY115" s="184"/>
      <c r="AZ115" s="184"/>
      <c r="BB115" s="184"/>
      <c r="BF115" s="135">
        <v>138000</v>
      </c>
      <c r="BM115" s="135">
        <v>540000</v>
      </c>
      <c r="BT115" s="135" t="s">
        <v>496</v>
      </c>
      <c r="BU115" s="135" t="s">
        <v>506</v>
      </c>
    </row>
    <row r="116" s="135" customFormat="1" customHeight="1" spans="1:73">
      <c r="A116" s="220">
        <v>82</v>
      </c>
      <c r="C116" s="164" t="s">
        <v>751</v>
      </c>
      <c r="D116" s="135">
        <v>20240000136</v>
      </c>
      <c r="F116" s="834" t="s">
        <v>3444</v>
      </c>
      <c r="G116" s="135" t="s">
        <v>3445</v>
      </c>
      <c r="H116" s="834" t="s">
        <v>3446</v>
      </c>
      <c r="I116" s="135" t="s">
        <v>3447</v>
      </c>
      <c r="J116" s="135">
        <v>115.78</v>
      </c>
      <c r="K116" s="135">
        <v>115.78</v>
      </c>
      <c r="L116" s="135">
        <v>5182.24</v>
      </c>
      <c r="M116" s="233">
        <v>600000</v>
      </c>
      <c r="N116" s="184">
        <v>5145</v>
      </c>
      <c r="O116" s="190"/>
      <c r="P116" s="234"/>
      <c r="Q116" s="234"/>
      <c r="R116" s="184"/>
      <c r="S116" s="185"/>
      <c r="T116" s="220"/>
      <c r="U116" s="185" t="s">
        <v>502</v>
      </c>
      <c r="V116" s="184">
        <v>20000</v>
      </c>
      <c r="W116" s="185" t="s">
        <v>725</v>
      </c>
      <c r="X116" s="184">
        <f>460000+120000</f>
        <v>580000</v>
      </c>
      <c r="Y116" s="243" t="s">
        <v>751</v>
      </c>
      <c r="AA116" s="190"/>
      <c r="AB116" s="184"/>
      <c r="AH116" s="184">
        <f t="shared" si="5"/>
        <v>600000</v>
      </c>
      <c r="AK116" s="190">
        <f t="shared" ref="AK116:AK124" si="9">M116-AH116</f>
        <v>0</v>
      </c>
      <c r="AL116" s="135">
        <v>15199931388</v>
      </c>
      <c r="AO116" s="135">
        <f t="shared" si="6"/>
        <v>600000</v>
      </c>
      <c r="AP116" s="166">
        <f>0.7%+0.08%</f>
        <v>0.0078</v>
      </c>
      <c r="AQ116" s="237">
        <f t="shared" si="7"/>
        <v>0</v>
      </c>
      <c r="AR116" s="184"/>
      <c r="AS116" s="184"/>
      <c r="AT116" s="184"/>
      <c r="AU116" s="184"/>
      <c r="AV116" s="184"/>
      <c r="AW116" s="184"/>
      <c r="AX116" s="184"/>
      <c r="AY116" s="184"/>
      <c r="AZ116" s="184"/>
      <c r="BB116" s="184"/>
      <c r="BE116" s="135">
        <v>600000</v>
      </c>
      <c r="BT116" s="135" t="s">
        <v>496</v>
      </c>
      <c r="BU116" s="135" t="s">
        <v>506</v>
      </c>
    </row>
    <row r="117" s="135" customFormat="1" customHeight="1" spans="1:73">
      <c r="A117" s="220">
        <v>83</v>
      </c>
      <c r="C117" s="191">
        <v>45414</v>
      </c>
      <c r="D117" s="135">
        <v>20240002487</v>
      </c>
      <c r="F117" s="135" t="s">
        <v>3448</v>
      </c>
      <c r="G117" s="135" t="s">
        <v>3449</v>
      </c>
      <c r="I117" s="135" t="s">
        <v>3450</v>
      </c>
      <c r="J117" s="135">
        <v>86.14</v>
      </c>
      <c r="K117" s="135">
        <v>86.14</v>
      </c>
      <c r="L117" s="135">
        <f>M117/K117</f>
        <v>5224.05386579986</v>
      </c>
      <c r="M117" s="233">
        <v>450000</v>
      </c>
      <c r="N117" s="184">
        <v>5175</v>
      </c>
      <c r="O117" s="190"/>
      <c r="P117" s="234"/>
      <c r="Q117" s="234"/>
      <c r="R117" s="184"/>
      <c r="S117" s="185"/>
      <c r="T117" s="220"/>
      <c r="U117" s="185" t="s">
        <v>1427</v>
      </c>
      <c r="V117" s="184">
        <v>150000</v>
      </c>
      <c r="W117" s="185" t="s">
        <v>3451</v>
      </c>
      <c r="X117" s="184">
        <v>300000</v>
      </c>
      <c r="Y117" s="243" t="s">
        <v>2258</v>
      </c>
      <c r="AA117" s="190"/>
      <c r="AB117" s="184"/>
      <c r="AH117" s="184">
        <f t="shared" si="5"/>
        <v>450000</v>
      </c>
      <c r="AK117" s="190">
        <f t="shared" si="9"/>
        <v>0</v>
      </c>
      <c r="AL117" s="135">
        <v>13565971091</v>
      </c>
      <c r="AO117" s="135">
        <f t="shared" si="6"/>
        <v>450000</v>
      </c>
      <c r="AP117" s="166">
        <f>0.4%+0.02%+0.08%</f>
        <v>0.005</v>
      </c>
      <c r="AQ117" s="237">
        <f t="shared" si="7"/>
        <v>0</v>
      </c>
      <c r="AR117" s="184"/>
      <c r="AS117" s="184"/>
      <c r="AT117" s="184"/>
      <c r="AU117" s="184"/>
      <c r="AV117" s="184"/>
      <c r="AW117" s="184"/>
      <c r="AX117" s="184"/>
      <c r="AY117" s="184"/>
      <c r="AZ117" s="184"/>
      <c r="BB117" s="184"/>
      <c r="BI117" s="135">
        <v>450000</v>
      </c>
      <c r="BT117" s="135" t="s">
        <v>496</v>
      </c>
      <c r="BU117" s="135" t="s">
        <v>506</v>
      </c>
    </row>
    <row r="118" s="135" customFormat="1" ht="44" customHeight="1" spans="1:73">
      <c r="A118" s="220">
        <v>84</v>
      </c>
      <c r="C118" s="164" t="s">
        <v>737</v>
      </c>
      <c r="D118" s="135">
        <v>20230010724</v>
      </c>
      <c r="F118" s="834" t="s">
        <v>3452</v>
      </c>
      <c r="G118" s="135" t="s">
        <v>3453</v>
      </c>
      <c r="H118" s="834" t="s">
        <v>3454</v>
      </c>
      <c r="I118" s="135" t="s">
        <v>3455</v>
      </c>
      <c r="J118" s="135">
        <v>132.34</v>
      </c>
      <c r="K118" s="135">
        <v>132.34</v>
      </c>
      <c r="L118" s="135">
        <v>5200</v>
      </c>
      <c r="M118" s="233">
        <v>688168</v>
      </c>
      <c r="N118" s="184">
        <v>5125</v>
      </c>
      <c r="O118" s="190"/>
      <c r="P118" s="234"/>
      <c r="Q118" s="234"/>
      <c r="R118" s="184"/>
      <c r="S118" s="185"/>
      <c r="T118" s="844" t="s">
        <v>2423</v>
      </c>
      <c r="U118" s="185" t="s">
        <v>515</v>
      </c>
      <c r="V118" s="184">
        <v>10000</v>
      </c>
      <c r="W118" s="185" t="s">
        <v>944</v>
      </c>
      <c r="X118" s="184">
        <v>10000</v>
      </c>
      <c r="Y118" s="185" t="s">
        <v>687</v>
      </c>
      <c r="Z118" s="184">
        <v>48168</v>
      </c>
      <c r="AA118" s="185" t="s">
        <v>725</v>
      </c>
      <c r="AB118" s="184">
        <v>70000</v>
      </c>
      <c r="AC118" s="135" t="s">
        <v>3456</v>
      </c>
      <c r="AD118" s="184">
        <v>550000</v>
      </c>
      <c r="AE118" s="185" t="s">
        <v>3457</v>
      </c>
      <c r="AH118" s="184">
        <f t="shared" si="5"/>
        <v>688168</v>
      </c>
      <c r="AK118" s="190">
        <f t="shared" si="9"/>
        <v>0</v>
      </c>
      <c r="AL118" s="135">
        <v>15276150544</v>
      </c>
      <c r="AO118" s="135">
        <f t="shared" si="6"/>
        <v>688168</v>
      </c>
      <c r="AP118" s="166">
        <f>0.5%+0.02%+0.08%</f>
        <v>0.006</v>
      </c>
      <c r="AQ118" s="237">
        <f t="shared" si="7"/>
        <v>100</v>
      </c>
      <c r="AR118" s="184"/>
      <c r="AS118" s="184"/>
      <c r="AT118" s="184"/>
      <c r="AU118" s="184"/>
      <c r="AV118" s="184"/>
      <c r="AW118" s="184"/>
      <c r="AX118" s="184"/>
      <c r="AY118" s="184">
        <v>100</v>
      </c>
      <c r="AZ118" s="184"/>
      <c r="BB118" s="184"/>
      <c r="BE118" s="135">
        <v>138168</v>
      </c>
      <c r="BG118" s="135">
        <v>550000</v>
      </c>
      <c r="BT118" s="135" t="s">
        <v>496</v>
      </c>
      <c r="BU118" s="135" t="s">
        <v>506</v>
      </c>
    </row>
    <row r="119" s="135" customFormat="1" ht="46" customHeight="1" spans="1:73">
      <c r="A119" s="220">
        <v>85</v>
      </c>
      <c r="C119" s="164" t="s">
        <v>2821</v>
      </c>
      <c r="D119" s="135">
        <v>20240000484</v>
      </c>
      <c r="F119" s="834" t="s">
        <v>3458</v>
      </c>
      <c r="G119" s="164" t="s">
        <v>3459</v>
      </c>
      <c r="I119" s="135" t="s">
        <v>3460</v>
      </c>
      <c r="J119" s="135">
        <v>115.78</v>
      </c>
      <c r="K119" s="135">
        <v>115.78</v>
      </c>
      <c r="L119" s="135">
        <f>M119/K119</f>
        <v>5306.99602694766</v>
      </c>
      <c r="M119" s="233">
        <v>614444</v>
      </c>
      <c r="N119" s="184">
        <v>5207</v>
      </c>
      <c r="O119" s="190"/>
      <c r="P119" s="234"/>
      <c r="Q119" s="234"/>
      <c r="R119" s="184"/>
      <c r="S119" s="185"/>
      <c r="T119" s="845" t="s">
        <v>3461</v>
      </c>
      <c r="U119" s="261" t="s">
        <v>3462</v>
      </c>
      <c r="V119" s="184">
        <f>2000-2000</f>
        <v>0</v>
      </c>
      <c r="W119" s="185" t="s">
        <v>1049</v>
      </c>
      <c r="X119" s="184">
        <v>2000</v>
      </c>
      <c r="Y119" s="185" t="s">
        <v>2275</v>
      </c>
      <c r="Z119" s="184">
        <v>18000</v>
      </c>
      <c r="AA119" s="243" t="s">
        <v>687</v>
      </c>
      <c r="AB119" s="184">
        <v>41444</v>
      </c>
      <c r="AC119" s="185" t="s">
        <v>2687</v>
      </c>
      <c r="AD119" s="135">
        <v>63000</v>
      </c>
      <c r="AE119" s="135" t="s">
        <v>3463</v>
      </c>
      <c r="AF119" s="184">
        <v>490000</v>
      </c>
      <c r="AG119" s="185" t="s">
        <v>1259</v>
      </c>
      <c r="AH119" s="184">
        <f t="shared" si="5"/>
        <v>614444</v>
      </c>
      <c r="AK119" s="190">
        <f t="shared" si="9"/>
        <v>0</v>
      </c>
      <c r="AL119" s="135">
        <v>18690878909</v>
      </c>
      <c r="AO119" s="135">
        <f t="shared" si="6"/>
        <v>614444</v>
      </c>
      <c r="AP119" s="166">
        <f>0.4%+0.08%</f>
        <v>0.0048</v>
      </c>
      <c r="AQ119" s="237">
        <f t="shared" si="7"/>
        <v>0</v>
      </c>
      <c r="AR119" s="184"/>
      <c r="AS119" s="184"/>
      <c r="AT119" s="184"/>
      <c r="AU119" s="184"/>
      <c r="AV119" s="184"/>
      <c r="AW119" s="184"/>
      <c r="AX119" s="184"/>
      <c r="AY119" s="184"/>
      <c r="AZ119" s="184"/>
      <c r="BB119" s="184"/>
      <c r="BE119" s="135">
        <v>124444</v>
      </c>
      <c r="BH119" s="135">
        <v>490000</v>
      </c>
      <c r="BT119" s="135" t="s">
        <v>496</v>
      </c>
      <c r="BU119" s="135" t="s">
        <v>506</v>
      </c>
    </row>
    <row r="120" s="135" customFormat="1" customHeight="1" spans="1:54">
      <c r="A120" s="220">
        <v>86</v>
      </c>
      <c r="C120" s="164"/>
      <c r="F120" s="834" t="s">
        <v>3464</v>
      </c>
      <c r="G120" s="164" t="s">
        <v>3465</v>
      </c>
      <c r="H120" s="834" t="s">
        <v>3466</v>
      </c>
      <c r="I120" s="135" t="s">
        <v>3467</v>
      </c>
      <c r="J120" s="135">
        <v>86.14</v>
      </c>
      <c r="K120" s="135">
        <v>86.14</v>
      </c>
      <c r="L120" s="135">
        <v>5096.35</v>
      </c>
      <c r="M120" s="233">
        <v>439000</v>
      </c>
      <c r="N120" s="233">
        <v>5096.355</v>
      </c>
      <c r="O120" s="190"/>
      <c r="P120" s="234"/>
      <c r="Q120" s="234"/>
      <c r="R120" s="184"/>
      <c r="S120" s="185"/>
      <c r="T120" s="220"/>
      <c r="U120" s="185" t="s">
        <v>524</v>
      </c>
      <c r="V120" s="184">
        <f>10000-10000</f>
        <v>0</v>
      </c>
      <c r="W120" s="185" t="s">
        <v>716</v>
      </c>
      <c r="X120" s="184">
        <v>5000</v>
      </c>
      <c r="Y120" s="185" t="s">
        <v>3389</v>
      </c>
      <c r="Z120" s="135">
        <v>5000</v>
      </c>
      <c r="AA120" s="190" t="s">
        <v>814</v>
      </c>
      <c r="AB120" s="184"/>
      <c r="AH120" s="184">
        <f t="shared" si="5"/>
        <v>10000</v>
      </c>
      <c r="AK120" s="190">
        <f t="shared" si="9"/>
        <v>429000</v>
      </c>
      <c r="AL120" s="135">
        <v>17339900530</v>
      </c>
      <c r="AM120" s="135" t="s">
        <v>3468</v>
      </c>
      <c r="AO120" s="135">
        <f t="shared" si="6"/>
        <v>0</v>
      </c>
      <c r="AP120" s="166">
        <f>0.7%+0.08%</f>
        <v>0.0078</v>
      </c>
      <c r="AQ120" s="237">
        <f t="shared" si="7"/>
        <v>0</v>
      </c>
      <c r="AR120" s="184"/>
      <c r="AS120" s="184"/>
      <c r="AT120" s="184"/>
      <c r="AU120" s="184"/>
      <c r="AV120" s="184"/>
      <c r="AW120" s="184"/>
      <c r="AX120" s="184"/>
      <c r="AY120" s="184"/>
      <c r="AZ120" s="184"/>
      <c r="BB120" s="184"/>
    </row>
    <row r="121" s="135" customFormat="1" customHeight="1" spans="1:73">
      <c r="A121" s="220">
        <v>87</v>
      </c>
      <c r="C121" s="191">
        <v>45417</v>
      </c>
      <c r="D121" s="135">
        <v>20240002610</v>
      </c>
      <c r="F121" s="834" t="s">
        <v>3469</v>
      </c>
      <c r="G121" s="135" t="s">
        <v>3470</v>
      </c>
      <c r="H121" s="834" t="s">
        <v>3471</v>
      </c>
      <c r="I121" s="135" t="s">
        <v>3472</v>
      </c>
      <c r="J121" s="135">
        <v>132.34</v>
      </c>
      <c r="K121" s="135">
        <v>132.34</v>
      </c>
      <c r="L121" s="135">
        <f>M121/K121</f>
        <v>5226.99863986701</v>
      </c>
      <c r="M121" s="233">
        <v>691741</v>
      </c>
      <c r="N121" s="184">
        <v>5177</v>
      </c>
      <c r="O121" s="190"/>
      <c r="P121" s="234"/>
      <c r="Q121" s="234"/>
      <c r="R121" s="184"/>
      <c r="S121" s="185"/>
      <c r="T121" s="220"/>
      <c r="U121" s="185" t="s">
        <v>709</v>
      </c>
      <c r="V121" s="184">
        <v>2000</v>
      </c>
      <c r="W121" s="185" t="s">
        <v>1049</v>
      </c>
      <c r="X121" s="184">
        <v>18000</v>
      </c>
      <c r="Y121" s="185" t="s">
        <v>3473</v>
      </c>
      <c r="Z121" s="184">
        <v>118741</v>
      </c>
      <c r="AA121" s="185" t="s">
        <v>1001</v>
      </c>
      <c r="AB121" s="184">
        <v>553000</v>
      </c>
      <c r="AC121" s="185" t="s">
        <v>1007</v>
      </c>
      <c r="AH121" s="184">
        <f t="shared" si="5"/>
        <v>691741</v>
      </c>
      <c r="AK121" s="190">
        <f t="shared" si="9"/>
        <v>0</v>
      </c>
      <c r="AL121" s="135">
        <v>18199242252</v>
      </c>
      <c r="AO121" s="135">
        <f t="shared" si="6"/>
        <v>691741</v>
      </c>
      <c r="AP121" s="166">
        <f>0.7%+0.12%</f>
        <v>0.0082</v>
      </c>
      <c r="AQ121" s="237">
        <f t="shared" si="7"/>
        <v>0</v>
      </c>
      <c r="AR121" s="184"/>
      <c r="AS121" s="184"/>
      <c r="AT121" s="184"/>
      <c r="AU121" s="184"/>
      <c r="AV121" s="184"/>
      <c r="AW121" s="184"/>
      <c r="AX121" s="184"/>
      <c r="AY121" s="184"/>
      <c r="AZ121" s="184"/>
      <c r="BB121" s="184"/>
      <c r="BI121" s="135">
        <v>138741</v>
      </c>
      <c r="BJ121" s="135">
        <v>553000</v>
      </c>
      <c r="BT121" s="135" t="s">
        <v>496</v>
      </c>
      <c r="BU121" s="135" t="s">
        <v>506</v>
      </c>
    </row>
    <row r="122" s="135" customFormat="1" customHeight="1" spans="1:73">
      <c r="A122" s="220">
        <v>88</v>
      </c>
      <c r="C122" s="164" t="s">
        <v>951</v>
      </c>
      <c r="D122" s="135">
        <v>20240000618</v>
      </c>
      <c r="F122" s="834" t="s">
        <v>3474</v>
      </c>
      <c r="G122" s="135" t="s">
        <v>3475</v>
      </c>
      <c r="H122" s="834" t="s">
        <v>3476</v>
      </c>
      <c r="I122" s="135" t="s">
        <v>3477</v>
      </c>
      <c r="J122" s="135">
        <v>115.78</v>
      </c>
      <c r="K122" s="135">
        <v>115.78</v>
      </c>
      <c r="L122" s="135">
        <v>5268.61</v>
      </c>
      <c r="M122" s="233">
        <v>610000</v>
      </c>
      <c r="N122" s="184">
        <v>5227</v>
      </c>
      <c r="O122" s="190"/>
      <c r="P122" s="234"/>
      <c r="Q122" s="234"/>
      <c r="R122" s="184"/>
      <c r="S122" s="185"/>
      <c r="T122" s="220"/>
      <c r="U122" s="185" t="s">
        <v>524</v>
      </c>
      <c r="V122" s="184">
        <v>10000</v>
      </c>
      <c r="W122" s="185" t="s">
        <v>3463</v>
      </c>
      <c r="X122" s="184">
        <v>600000</v>
      </c>
      <c r="Y122" s="243" t="s">
        <v>951</v>
      </c>
      <c r="AA122" s="190"/>
      <c r="AB122" s="184"/>
      <c r="AH122" s="184">
        <f t="shared" si="5"/>
        <v>610000</v>
      </c>
      <c r="AK122" s="190">
        <f t="shared" si="9"/>
        <v>0</v>
      </c>
      <c r="AL122" s="135">
        <v>19993509038</v>
      </c>
      <c r="AO122" s="135">
        <f t="shared" si="6"/>
        <v>610000</v>
      </c>
      <c r="AP122" s="166">
        <f>0.7%+0.04%+0.12%</f>
        <v>0.0086</v>
      </c>
      <c r="AQ122" s="237">
        <f t="shared" si="7"/>
        <v>0</v>
      </c>
      <c r="AR122" s="184"/>
      <c r="AS122" s="184"/>
      <c r="AT122" s="184"/>
      <c r="AU122" s="184"/>
      <c r="AV122" s="184"/>
      <c r="AW122" s="184"/>
      <c r="AX122" s="184"/>
      <c r="AY122" s="184"/>
      <c r="AZ122" s="184"/>
      <c r="BB122" s="184"/>
      <c r="BE122" s="135">
        <v>610000</v>
      </c>
      <c r="BT122" s="135" t="s">
        <v>496</v>
      </c>
      <c r="BU122" s="135" t="s">
        <v>506</v>
      </c>
    </row>
    <row r="123" s="135" customFormat="1" customHeight="1" spans="1:77">
      <c r="A123" s="220">
        <v>89</v>
      </c>
      <c r="C123" s="164" t="s">
        <v>3478</v>
      </c>
      <c r="D123" s="135">
        <v>20240001139</v>
      </c>
      <c r="F123" s="834" t="s">
        <v>3479</v>
      </c>
      <c r="G123" s="135" t="s">
        <v>3480</v>
      </c>
      <c r="H123" s="834" t="s">
        <v>3481</v>
      </c>
      <c r="I123" s="135" t="s">
        <v>3482</v>
      </c>
      <c r="J123" s="135">
        <v>86.14</v>
      </c>
      <c r="K123" s="135">
        <v>86.14</v>
      </c>
      <c r="L123" s="135">
        <v>5357</v>
      </c>
      <c r="M123" s="233">
        <v>461452</v>
      </c>
      <c r="N123" s="184">
        <v>5257</v>
      </c>
      <c r="O123" s="190"/>
      <c r="P123" s="234"/>
      <c r="Q123" s="234"/>
      <c r="R123" s="184"/>
      <c r="S123" s="185"/>
      <c r="T123" s="220"/>
      <c r="U123" s="185" t="s">
        <v>515</v>
      </c>
      <c r="V123" s="184">
        <v>1452</v>
      </c>
      <c r="W123" s="185" t="s">
        <v>582</v>
      </c>
      <c r="X123" s="184">
        <v>90000</v>
      </c>
      <c r="Y123" s="243" t="s">
        <v>3483</v>
      </c>
      <c r="Z123" s="135">
        <v>30000</v>
      </c>
      <c r="AA123" s="190" t="s">
        <v>2854</v>
      </c>
      <c r="AB123" s="184">
        <v>340000</v>
      </c>
      <c r="AC123" s="185" t="s">
        <v>520</v>
      </c>
      <c r="AH123" s="184">
        <f t="shared" si="5"/>
        <v>461452</v>
      </c>
      <c r="AK123" s="190">
        <f t="shared" si="9"/>
        <v>0</v>
      </c>
      <c r="AL123" s="135">
        <v>19190048233</v>
      </c>
      <c r="AO123" s="135">
        <f t="shared" si="6"/>
        <v>461452</v>
      </c>
      <c r="AP123" s="166">
        <f>0.7%+0.04%+0.12%</f>
        <v>0.0086</v>
      </c>
      <c r="AQ123" s="237">
        <f t="shared" si="7"/>
        <v>0</v>
      </c>
      <c r="AR123" s="184"/>
      <c r="AS123" s="184"/>
      <c r="AT123" s="184"/>
      <c r="AU123" s="184"/>
      <c r="AV123" s="184"/>
      <c r="AW123" s="184"/>
      <c r="AX123" s="184"/>
      <c r="AY123" s="184"/>
      <c r="AZ123" s="184"/>
      <c r="BB123" s="184"/>
      <c r="BG123" s="135">
        <v>121452</v>
      </c>
      <c r="BH123" s="135">
        <v>340000</v>
      </c>
      <c r="BT123" s="135" t="s">
        <v>496</v>
      </c>
      <c r="BU123" s="135" t="s">
        <v>506</v>
      </c>
      <c r="BY123" s="135">
        <f>BW123-BX123</f>
        <v>0</v>
      </c>
    </row>
    <row r="124" s="135" customFormat="1" customHeight="1" spans="1:73">
      <c r="A124" s="220">
        <v>90</v>
      </c>
      <c r="C124" s="164" t="s">
        <v>3478</v>
      </c>
      <c r="D124" s="135">
        <v>20240001135</v>
      </c>
      <c r="F124" s="834" t="s">
        <v>3484</v>
      </c>
      <c r="G124" s="135" t="s">
        <v>3485</v>
      </c>
      <c r="H124" s="834" t="s">
        <v>3486</v>
      </c>
      <c r="I124" s="135" t="s">
        <v>3487</v>
      </c>
      <c r="J124" s="135">
        <v>132.34</v>
      </c>
      <c r="K124" s="135">
        <v>132.34</v>
      </c>
      <c r="L124" s="135">
        <v>5289.4</v>
      </c>
      <c r="M124" s="233">
        <v>700000</v>
      </c>
      <c r="N124" s="184">
        <v>5207</v>
      </c>
      <c r="O124" s="190"/>
      <c r="P124" s="234"/>
      <c r="Q124" s="234"/>
      <c r="R124" s="184"/>
      <c r="S124" s="185"/>
      <c r="T124" s="220"/>
      <c r="U124" s="185" t="s">
        <v>524</v>
      </c>
      <c r="V124" s="184">
        <v>20000</v>
      </c>
      <c r="W124" s="185" t="s">
        <v>586</v>
      </c>
      <c r="X124" s="184">
        <f>140000+240000</f>
        <v>380000</v>
      </c>
      <c r="Y124" s="185" t="s">
        <v>3478</v>
      </c>
      <c r="Z124" s="135">
        <v>300000</v>
      </c>
      <c r="AA124" s="190" t="s">
        <v>3488</v>
      </c>
      <c r="AB124" s="184"/>
      <c r="AH124" s="184">
        <f t="shared" si="5"/>
        <v>700000</v>
      </c>
      <c r="AK124" s="190">
        <f t="shared" si="9"/>
        <v>0</v>
      </c>
      <c r="AL124" s="135">
        <v>13239065687</v>
      </c>
      <c r="AN124" s="135" t="s">
        <v>3489</v>
      </c>
      <c r="AO124" s="135">
        <f t="shared" si="6"/>
        <v>700000</v>
      </c>
      <c r="AP124" s="166">
        <f>0.7%+0.05%+0.12%</f>
        <v>0.0087</v>
      </c>
      <c r="AQ124" s="237">
        <f t="shared" si="7"/>
        <v>0</v>
      </c>
      <c r="AR124" s="184"/>
      <c r="AS124" s="184"/>
      <c r="AT124" s="184"/>
      <c r="AU124" s="184"/>
      <c r="AV124" s="184"/>
      <c r="AW124" s="184"/>
      <c r="AX124" s="184"/>
      <c r="AY124" s="184"/>
      <c r="AZ124" s="184"/>
      <c r="BB124" s="184"/>
      <c r="BG124" s="135">
        <v>700000</v>
      </c>
      <c r="BT124" s="135" t="s">
        <v>496</v>
      </c>
      <c r="BU124" s="135" t="s">
        <v>506</v>
      </c>
    </row>
    <row r="125" s="135" customFormat="1" customHeight="1" spans="1:73">
      <c r="A125" s="220">
        <v>91</v>
      </c>
      <c r="C125" s="164" t="s">
        <v>3456</v>
      </c>
      <c r="D125" s="135">
        <v>20240000347</v>
      </c>
      <c r="F125" s="834" t="s">
        <v>3490</v>
      </c>
      <c r="G125" s="135" t="s">
        <v>3491</v>
      </c>
      <c r="H125" s="834" t="s">
        <v>3492</v>
      </c>
      <c r="I125" s="135" t="s">
        <v>3493</v>
      </c>
      <c r="J125" s="135">
        <v>115.78</v>
      </c>
      <c r="K125" s="135">
        <v>115.78</v>
      </c>
      <c r="L125" s="135">
        <v>5300</v>
      </c>
      <c r="M125" s="233">
        <v>613634</v>
      </c>
      <c r="N125" s="184">
        <v>5265</v>
      </c>
      <c r="O125" s="190"/>
      <c r="P125" s="234"/>
      <c r="Q125" s="234"/>
      <c r="R125" s="184"/>
      <c r="S125" s="185"/>
      <c r="T125" s="844" t="s">
        <v>3494</v>
      </c>
      <c r="U125" s="185" t="s">
        <v>2249</v>
      </c>
      <c r="V125" s="184">
        <v>2000</v>
      </c>
      <c r="W125" s="185" t="s">
        <v>950</v>
      </c>
      <c r="X125" s="184">
        <v>18000</v>
      </c>
      <c r="Y125" s="185" t="s">
        <v>725</v>
      </c>
      <c r="Z125" s="135">
        <v>164634</v>
      </c>
      <c r="AA125" s="190" t="s">
        <v>3495</v>
      </c>
      <c r="AB125" s="184">
        <v>429000</v>
      </c>
      <c r="AC125" s="185" t="s">
        <v>743</v>
      </c>
      <c r="AH125" s="184">
        <f t="shared" si="5"/>
        <v>613634</v>
      </c>
      <c r="AK125" s="190">
        <f t="shared" ref="AK124:AK127" si="10">M125-AH125</f>
        <v>0</v>
      </c>
      <c r="AL125" s="135">
        <v>15899021367</v>
      </c>
      <c r="AO125" s="135">
        <f t="shared" si="6"/>
        <v>613634</v>
      </c>
      <c r="AP125" s="166">
        <f>0.4%+0.02%+0.08%</f>
        <v>0.005</v>
      </c>
      <c r="AQ125" s="237">
        <f t="shared" si="7"/>
        <v>0</v>
      </c>
      <c r="AR125" s="184"/>
      <c r="AS125" s="184"/>
      <c r="AT125" s="184"/>
      <c r="AU125" s="184"/>
      <c r="AV125" s="184"/>
      <c r="AW125" s="184"/>
      <c r="AX125" s="184"/>
      <c r="AY125" s="184"/>
      <c r="AZ125" s="184"/>
      <c r="BB125" s="184"/>
      <c r="BE125" s="135">
        <v>184634</v>
      </c>
      <c r="BF125" s="135">
        <v>429000</v>
      </c>
      <c r="BT125" s="135" t="s">
        <v>496</v>
      </c>
      <c r="BU125" s="135" t="s">
        <v>506</v>
      </c>
    </row>
    <row r="126" s="135" customFormat="1" customHeight="1" spans="1:73">
      <c r="A126" s="220">
        <v>92</v>
      </c>
      <c r="C126" s="191">
        <v>45356</v>
      </c>
      <c r="D126" s="135">
        <v>20240001157</v>
      </c>
      <c r="F126" s="834" t="s">
        <v>3496</v>
      </c>
      <c r="G126" s="135" t="s">
        <v>3497</v>
      </c>
      <c r="H126" s="834" t="s">
        <v>3498</v>
      </c>
      <c r="I126" s="135" t="s">
        <v>3499</v>
      </c>
      <c r="J126" s="135">
        <v>86.14</v>
      </c>
      <c r="K126" s="135">
        <v>86.14</v>
      </c>
      <c r="L126" s="135">
        <v>5395</v>
      </c>
      <c r="M126" s="233">
        <v>464725</v>
      </c>
      <c r="N126" s="184">
        <v>5295</v>
      </c>
      <c r="O126" s="190"/>
      <c r="P126" s="234"/>
      <c r="Q126" s="234"/>
      <c r="R126" s="184"/>
      <c r="S126" s="185"/>
      <c r="T126" s="220"/>
      <c r="U126" s="185" t="s">
        <v>721</v>
      </c>
      <c r="V126" s="184">
        <v>20000</v>
      </c>
      <c r="W126" s="185" t="s">
        <v>725</v>
      </c>
      <c r="X126" s="184">
        <v>194725</v>
      </c>
      <c r="Y126" s="185" t="s">
        <v>848</v>
      </c>
      <c r="Z126" s="135">
        <v>90000</v>
      </c>
      <c r="AA126" s="190" t="s">
        <v>848</v>
      </c>
      <c r="AB126" s="184">
        <v>160000</v>
      </c>
      <c r="AC126" s="185" t="s">
        <v>3500</v>
      </c>
      <c r="AH126" s="184">
        <f t="shared" si="5"/>
        <v>464725</v>
      </c>
      <c r="AK126" s="190">
        <f t="shared" si="10"/>
        <v>0</v>
      </c>
      <c r="AL126" s="135">
        <v>18799835198</v>
      </c>
      <c r="AO126" s="135">
        <f t="shared" si="6"/>
        <v>464725</v>
      </c>
      <c r="AP126" s="166">
        <f>0.4%+0.02%+0.08%</f>
        <v>0.005</v>
      </c>
      <c r="AQ126" s="237">
        <f t="shared" si="7"/>
        <v>0</v>
      </c>
      <c r="AR126" s="184"/>
      <c r="AS126" s="184"/>
      <c r="AT126" s="184"/>
      <c r="AU126" s="184"/>
      <c r="AV126" s="184"/>
      <c r="AW126" s="184"/>
      <c r="AX126" s="184"/>
      <c r="AY126" s="184"/>
      <c r="AZ126" s="184"/>
      <c r="BB126" s="184"/>
      <c r="BG126" s="135">
        <v>304725</v>
      </c>
      <c r="BJ126" s="135">
        <v>160000</v>
      </c>
      <c r="BT126" s="135" t="s">
        <v>496</v>
      </c>
      <c r="BU126" s="135" t="s">
        <v>506</v>
      </c>
    </row>
    <row r="127" s="135" customFormat="1" customHeight="1" spans="1:73">
      <c r="A127" s="220">
        <v>93</v>
      </c>
      <c r="C127" s="164">
        <v>2024.1</v>
      </c>
      <c r="D127" s="135">
        <v>20240000217</v>
      </c>
      <c r="F127" s="834" t="s">
        <v>3501</v>
      </c>
      <c r="G127" s="135" t="s">
        <v>3502</v>
      </c>
      <c r="H127" s="834" t="s">
        <v>3503</v>
      </c>
      <c r="I127" s="135" t="s">
        <v>3504</v>
      </c>
      <c r="J127" s="135">
        <v>132.34</v>
      </c>
      <c r="K127" s="135">
        <v>132.34</v>
      </c>
      <c r="L127" s="135">
        <v>5354</v>
      </c>
      <c r="M127" s="233">
        <v>708548</v>
      </c>
      <c r="N127" s="184">
        <v>5254</v>
      </c>
      <c r="O127" s="190"/>
      <c r="P127" s="234"/>
      <c r="Q127" s="234"/>
      <c r="R127" s="184"/>
      <c r="S127" s="185"/>
      <c r="T127" s="844" t="s">
        <v>3505</v>
      </c>
      <c r="U127" s="185" t="s">
        <v>502</v>
      </c>
      <c r="V127" s="184">
        <v>2000</v>
      </c>
      <c r="W127" s="185" t="s">
        <v>668</v>
      </c>
      <c r="X127" s="184">
        <v>18000</v>
      </c>
      <c r="Y127" s="185" t="s">
        <v>725</v>
      </c>
      <c r="Z127" s="135">
        <v>78548</v>
      </c>
      <c r="AA127" s="190" t="s">
        <v>725</v>
      </c>
      <c r="AB127" s="184">
        <v>50000</v>
      </c>
      <c r="AC127" s="135" t="s">
        <v>517</v>
      </c>
      <c r="AD127" s="184">
        <v>560000</v>
      </c>
      <c r="AE127" s="185" t="s">
        <v>3506</v>
      </c>
      <c r="AH127" s="184">
        <f t="shared" si="5"/>
        <v>708548</v>
      </c>
      <c r="AK127" s="190">
        <f t="shared" ref="AK127:AK133" si="11">M127-AH127</f>
        <v>0</v>
      </c>
      <c r="AL127" s="135">
        <v>18434064590</v>
      </c>
      <c r="AO127" s="135">
        <f t="shared" si="6"/>
        <v>708548</v>
      </c>
      <c r="AP127" s="166">
        <f>0.7%+0.08%</f>
        <v>0.0078</v>
      </c>
      <c r="AQ127" s="237">
        <f t="shared" si="7"/>
        <v>0</v>
      </c>
      <c r="AR127" s="184"/>
      <c r="AS127" s="184"/>
      <c r="AT127" s="184"/>
      <c r="AU127" s="184"/>
      <c r="AV127" s="184"/>
      <c r="AW127" s="184"/>
      <c r="AX127" s="184"/>
      <c r="AY127" s="184"/>
      <c r="AZ127" s="184"/>
      <c r="BB127" s="184"/>
      <c r="BE127" s="135">
        <v>148548</v>
      </c>
      <c r="BG127" s="135">
        <v>560000</v>
      </c>
      <c r="BT127" s="135" t="s">
        <v>496</v>
      </c>
      <c r="BU127" s="135" t="s">
        <v>506</v>
      </c>
    </row>
    <row r="128" s="135" customFormat="1" customHeight="1" spans="1:73">
      <c r="A128" s="220">
        <v>94</v>
      </c>
      <c r="C128" s="164" t="s">
        <v>699</v>
      </c>
      <c r="D128" s="135">
        <v>20240001668</v>
      </c>
      <c r="F128" s="135" t="s">
        <v>3507</v>
      </c>
      <c r="G128" s="135" t="s">
        <v>3508</v>
      </c>
      <c r="H128" s="834" t="s">
        <v>3509</v>
      </c>
      <c r="I128" s="135" t="s">
        <v>3510</v>
      </c>
      <c r="J128" s="135">
        <v>115.78</v>
      </c>
      <c r="K128" s="135">
        <v>115.78</v>
      </c>
      <c r="L128" s="135">
        <v>5397</v>
      </c>
      <c r="M128" s="233">
        <v>624865</v>
      </c>
      <c r="N128" s="184">
        <v>5297</v>
      </c>
      <c r="O128" s="190"/>
      <c r="P128" s="234"/>
      <c r="Q128" s="234"/>
      <c r="R128" s="184"/>
      <c r="S128" s="185"/>
      <c r="T128" s="220"/>
      <c r="U128" s="185" t="s">
        <v>721</v>
      </c>
      <c r="V128" s="184">
        <v>20000</v>
      </c>
      <c r="W128" s="185" t="s">
        <v>3268</v>
      </c>
      <c r="X128" s="184">
        <f>95865+10000</f>
        <v>105865</v>
      </c>
      <c r="Y128" s="185" t="s">
        <v>699</v>
      </c>
      <c r="Z128" s="184">
        <v>499000</v>
      </c>
      <c r="AA128" s="185" t="s">
        <v>3405</v>
      </c>
      <c r="AB128" s="184"/>
      <c r="AH128" s="184">
        <f t="shared" si="5"/>
        <v>624865</v>
      </c>
      <c r="AK128" s="190">
        <f t="shared" si="11"/>
        <v>0</v>
      </c>
      <c r="AL128" s="135">
        <v>13638347657</v>
      </c>
      <c r="AO128" s="135">
        <f t="shared" si="6"/>
        <v>624865</v>
      </c>
      <c r="AP128" s="166">
        <f>0.4%+0.04%+0.12%</f>
        <v>0.0056</v>
      </c>
      <c r="AQ128" s="237">
        <f t="shared" si="7"/>
        <v>0</v>
      </c>
      <c r="AR128" s="184"/>
      <c r="AS128" s="184"/>
      <c r="AT128" s="184"/>
      <c r="AU128" s="184"/>
      <c r="AV128" s="184"/>
      <c r="AW128" s="184"/>
      <c r="AX128" s="184"/>
      <c r="AY128" s="184"/>
      <c r="AZ128" s="184"/>
      <c r="BB128" s="184"/>
      <c r="BG128" s="135">
        <v>125865</v>
      </c>
      <c r="BH128" s="135">
        <v>499000</v>
      </c>
      <c r="BT128" s="135" t="s">
        <v>496</v>
      </c>
      <c r="BU128" s="135" t="s">
        <v>506</v>
      </c>
    </row>
    <row r="129" s="135" customFormat="1" customHeight="1" spans="1:72">
      <c r="A129" s="220">
        <v>95</v>
      </c>
      <c r="B129" s="135"/>
      <c r="C129" s="164" t="s">
        <v>252</v>
      </c>
      <c r="D129" s="135">
        <v>20240005803</v>
      </c>
      <c r="F129" s="834" t="s">
        <v>253</v>
      </c>
      <c r="G129" s="135" t="s">
        <v>254</v>
      </c>
      <c r="H129" s="834" t="s">
        <v>3511</v>
      </c>
      <c r="I129" s="135" t="s">
        <v>3512</v>
      </c>
      <c r="J129" s="135">
        <v>86.14</v>
      </c>
      <c r="K129" s="135">
        <v>86.14</v>
      </c>
      <c r="L129" s="135">
        <v>5224.05</v>
      </c>
      <c r="M129" s="233">
        <v>450000</v>
      </c>
      <c r="N129" s="184">
        <v>5224.05</v>
      </c>
      <c r="O129" s="190"/>
      <c r="P129" s="234"/>
      <c r="Q129" s="234"/>
      <c r="R129" s="184"/>
      <c r="S129" s="185"/>
      <c r="T129" s="220"/>
      <c r="U129" s="185" t="s">
        <v>842</v>
      </c>
      <c r="V129" s="184">
        <v>10000</v>
      </c>
      <c r="W129" s="185">
        <v>45559</v>
      </c>
      <c r="X129" s="184">
        <v>220000</v>
      </c>
      <c r="Y129" s="185" t="s">
        <v>252</v>
      </c>
      <c r="Z129" s="184">
        <v>220000</v>
      </c>
      <c r="AA129" s="185" t="s">
        <v>344</v>
      </c>
      <c r="AB129" s="184"/>
      <c r="AH129" s="184">
        <f t="shared" si="5"/>
        <v>450000</v>
      </c>
      <c r="AK129" s="190">
        <f t="shared" si="11"/>
        <v>0</v>
      </c>
      <c r="AL129" s="135">
        <v>15739825490</v>
      </c>
      <c r="AM129" s="135" t="s">
        <v>3513</v>
      </c>
      <c r="AO129" s="135">
        <f t="shared" si="6"/>
        <v>450000</v>
      </c>
      <c r="AP129" s="166">
        <f>0.5%+0.04%+0.1%</f>
        <v>0.0064</v>
      </c>
      <c r="AQ129" s="237">
        <f t="shared" si="7"/>
        <v>0</v>
      </c>
      <c r="AR129" s="184"/>
      <c r="AS129" s="184"/>
      <c r="AT129" s="184"/>
      <c r="AU129" s="184"/>
      <c r="AV129" s="184"/>
      <c r="AW129" s="184"/>
      <c r="AX129" s="184"/>
      <c r="AY129" s="184"/>
      <c r="AZ129" s="184"/>
      <c r="BB129" s="184"/>
      <c r="BN129" s="135">
        <v>230000</v>
      </c>
      <c r="BO129" s="135">
        <v>220000</v>
      </c>
      <c r="BT129" s="135" t="s">
        <v>496</v>
      </c>
    </row>
    <row r="130" s="135" customFormat="1" customHeight="1" spans="1:73">
      <c r="A130" s="220">
        <v>96</v>
      </c>
      <c r="C130" s="164" t="s">
        <v>688</v>
      </c>
      <c r="D130" s="135">
        <v>20240000554</v>
      </c>
      <c r="F130" s="834" t="s">
        <v>3514</v>
      </c>
      <c r="G130" s="135" t="s">
        <v>3515</v>
      </c>
      <c r="H130" s="834" t="s">
        <v>3516</v>
      </c>
      <c r="I130" s="135" t="s">
        <v>3517</v>
      </c>
      <c r="J130" s="135">
        <v>132.34</v>
      </c>
      <c r="K130" s="135">
        <v>132.34</v>
      </c>
      <c r="L130" s="135">
        <v>5387</v>
      </c>
      <c r="M130" s="233">
        <v>712916</v>
      </c>
      <c r="N130" s="184">
        <v>5287</v>
      </c>
      <c r="O130" s="190"/>
      <c r="P130" s="234"/>
      <c r="Q130" s="234"/>
      <c r="R130" s="184"/>
      <c r="S130" s="185"/>
      <c r="T130" s="220"/>
      <c r="U130" s="185" t="s">
        <v>515</v>
      </c>
      <c r="V130" s="184">
        <v>20000</v>
      </c>
      <c r="W130" s="185" t="s">
        <v>2687</v>
      </c>
      <c r="X130" s="184">
        <f>160000+2916</f>
        <v>162916</v>
      </c>
      <c r="Y130" s="243" t="s">
        <v>688</v>
      </c>
      <c r="Z130" s="184">
        <v>530000</v>
      </c>
      <c r="AA130" s="185" t="s">
        <v>3457</v>
      </c>
      <c r="AB130" s="184"/>
      <c r="AH130" s="184">
        <f t="shared" si="5"/>
        <v>712916</v>
      </c>
      <c r="AK130" s="190">
        <f t="shared" si="11"/>
        <v>0</v>
      </c>
      <c r="AL130" s="135">
        <v>19399210813</v>
      </c>
      <c r="AO130" s="135">
        <f t="shared" si="6"/>
        <v>712916</v>
      </c>
      <c r="AP130" s="166">
        <f>0.7%+0.03%+0.12%</f>
        <v>0.0085</v>
      </c>
      <c r="AQ130" s="237">
        <f t="shared" si="7"/>
        <v>0</v>
      </c>
      <c r="AR130" s="184"/>
      <c r="AS130" s="184"/>
      <c r="AT130" s="184"/>
      <c r="AU130" s="184"/>
      <c r="AV130" s="184"/>
      <c r="AW130" s="184"/>
      <c r="AX130" s="184"/>
      <c r="AY130" s="184"/>
      <c r="AZ130" s="184"/>
      <c r="BB130" s="184"/>
      <c r="BE130" s="135">
        <v>182916</v>
      </c>
      <c r="BG130" s="135">
        <v>530000</v>
      </c>
      <c r="BT130" s="135" t="s">
        <v>496</v>
      </c>
      <c r="BU130" s="135" t="s">
        <v>506</v>
      </c>
    </row>
    <row r="131" s="135" customFormat="1" customHeight="1" spans="1:72">
      <c r="A131" s="220">
        <v>97</v>
      </c>
      <c r="C131" s="191">
        <v>45401</v>
      </c>
      <c r="D131" s="135">
        <v>20240002180</v>
      </c>
      <c r="F131" s="834" t="s">
        <v>3518</v>
      </c>
      <c r="G131" s="164" t="s">
        <v>3519</v>
      </c>
      <c r="H131" s="834" t="s">
        <v>3520</v>
      </c>
      <c r="I131" s="135" t="s">
        <v>3521</v>
      </c>
      <c r="J131" s="135">
        <v>115.78</v>
      </c>
      <c r="K131" s="135">
        <v>115.78</v>
      </c>
      <c r="L131" s="135">
        <v>5383.8</v>
      </c>
      <c r="M131" s="233">
        <v>623338</v>
      </c>
      <c r="N131" s="184">
        <v>5327</v>
      </c>
      <c r="O131" s="190"/>
      <c r="P131" s="234"/>
      <c r="Q131" s="234"/>
      <c r="R131" s="184"/>
      <c r="S131" s="185"/>
      <c r="T131" s="262" t="s">
        <v>3522</v>
      </c>
      <c r="U131" s="261" t="s">
        <v>3523</v>
      </c>
      <c r="V131" s="184">
        <f>2000-2000</f>
        <v>0</v>
      </c>
      <c r="W131" s="185" t="s">
        <v>2978</v>
      </c>
      <c r="X131" s="184">
        <v>20000</v>
      </c>
      <c r="Y131" s="185" t="s">
        <v>767</v>
      </c>
      <c r="Z131" s="184">
        <f>115338+88000</f>
        <v>203338</v>
      </c>
      <c r="AA131" s="185" t="s">
        <v>504</v>
      </c>
      <c r="AB131" s="184">
        <v>400000</v>
      </c>
      <c r="AC131" s="185" t="s">
        <v>236</v>
      </c>
      <c r="AH131" s="184">
        <f t="shared" si="5"/>
        <v>623338</v>
      </c>
      <c r="AK131" s="190">
        <f t="shared" si="11"/>
        <v>0</v>
      </c>
      <c r="AL131" s="135">
        <v>13565004173</v>
      </c>
      <c r="AO131" s="135">
        <f t="shared" si="6"/>
        <v>623338</v>
      </c>
      <c r="AP131" s="166">
        <f>0.7%+0.03%+0.12%</f>
        <v>0.0085</v>
      </c>
      <c r="AQ131" s="237">
        <f t="shared" si="7"/>
        <v>0</v>
      </c>
      <c r="AR131" s="184"/>
      <c r="AS131" s="184"/>
      <c r="AT131" s="184"/>
      <c r="AU131" s="184"/>
      <c r="AV131" s="184"/>
      <c r="AW131" s="184"/>
      <c r="AX131" s="184"/>
      <c r="AY131" s="184"/>
      <c r="AZ131" s="184"/>
      <c r="BB131" s="184"/>
      <c r="BK131" s="135">
        <v>623338</v>
      </c>
      <c r="BT131" s="135" t="s">
        <v>496</v>
      </c>
    </row>
    <row r="132" s="135" customFormat="1" customHeight="1" spans="1:72">
      <c r="A132" s="220">
        <v>98</v>
      </c>
      <c r="C132" s="191">
        <v>45465</v>
      </c>
      <c r="D132" s="135">
        <v>20240003574</v>
      </c>
      <c r="F132" s="834" t="s">
        <v>3524</v>
      </c>
      <c r="G132" s="135" t="s">
        <v>3525</v>
      </c>
      <c r="H132" s="834" t="s">
        <v>3526</v>
      </c>
      <c r="I132" s="135" t="s">
        <v>3527</v>
      </c>
      <c r="J132" s="135">
        <v>86.14</v>
      </c>
      <c r="K132" s="135">
        <v>86.14</v>
      </c>
      <c r="L132" s="135">
        <v>5130</v>
      </c>
      <c r="M132" s="233">
        <v>441899</v>
      </c>
      <c r="N132" s="184">
        <v>5130</v>
      </c>
      <c r="O132" s="190"/>
      <c r="P132" s="234"/>
      <c r="Q132" s="234"/>
      <c r="R132" s="184"/>
      <c r="S132" s="185"/>
      <c r="T132" s="220"/>
      <c r="U132" s="185" t="s">
        <v>508</v>
      </c>
      <c r="V132" s="184">
        <v>10000</v>
      </c>
      <c r="W132" s="185" t="s">
        <v>681</v>
      </c>
      <c r="X132" s="184">
        <v>1899</v>
      </c>
      <c r="Y132" s="243" t="s">
        <v>3528</v>
      </c>
      <c r="Z132" s="184">
        <v>430000</v>
      </c>
      <c r="AA132" s="185" t="s">
        <v>3529</v>
      </c>
      <c r="AB132" s="184"/>
      <c r="AH132" s="184">
        <f t="shared" si="5"/>
        <v>441899</v>
      </c>
      <c r="AK132" s="190">
        <f t="shared" si="11"/>
        <v>0</v>
      </c>
      <c r="AL132" s="135">
        <v>13999013808</v>
      </c>
      <c r="AM132" s="135" t="s">
        <v>3468</v>
      </c>
      <c r="AO132" s="135">
        <f t="shared" si="6"/>
        <v>441899</v>
      </c>
      <c r="AP132" s="166">
        <f>0.4%+0.02%+0.08%</f>
        <v>0.005</v>
      </c>
      <c r="AQ132" s="237">
        <f t="shared" si="7"/>
        <v>0</v>
      </c>
      <c r="AR132" s="184"/>
      <c r="AS132" s="184"/>
      <c r="AT132" s="184"/>
      <c r="AU132" s="184"/>
      <c r="AV132" s="184"/>
      <c r="AW132" s="184"/>
      <c r="AX132" s="184"/>
      <c r="AY132" s="184"/>
      <c r="AZ132" s="184"/>
      <c r="BB132" s="184"/>
      <c r="BK132" s="135">
        <v>441899</v>
      </c>
      <c r="BT132" s="135" t="s">
        <v>496</v>
      </c>
    </row>
    <row r="133" s="135" customFormat="1" customHeight="1" spans="1:73">
      <c r="A133" s="220">
        <v>99</v>
      </c>
      <c r="C133" s="164" t="s">
        <v>3478</v>
      </c>
      <c r="D133" s="135">
        <v>20240001144</v>
      </c>
      <c r="F133" s="834" t="s">
        <v>3530</v>
      </c>
      <c r="G133" s="135" t="s">
        <v>3531</v>
      </c>
      <c r="H133" s="834" t="s">
        <v>3532</v>
      </c>
      <c r="I133" s="135" t="s">
        <v>3533</v>
      </c>
      <c r="J133" s="135">
        <v>132.34</v>
      </c>
      <c r="K133" s="135">
        <v>132.34</v>
      </c>
      <c r="L133" s="135">
        <v>5387.64</v>
      </c>
      <c r="M133" s="233">
        <v>713000</v>
      </c>
      <c r="N133" s="184">
        <v>5324</v>
      </c>
      <c r="O133" s="190"/>
      <c r="P133" s="234"/>
      <c r="Q133" s="234"/>
      <c r="R133" s="184"/>
      <c r="S133" s="185"/>
      <c r="T133" s="220"/>
      <c r="U133" s="185" t="s">
        <v>2249</v>
      </c>
      <c r="V133" s="184">
        <v>20000</v>
      </c>
      <c r="W133" s="185" t="s">
        <v>3534</v>
      </c>
      <c r="X133" s="184">
        <v>123000</v>
      </c>
      <c r="Y133" s="185" t="s">
        <v>3478</v>
      </c>
      <c r="Z133" s="135">
        <v>570000</v>
      </c>
      <c r="AA133" s="190" t="s">
        <v>3488</v>
      </c>
      <c r="AB133" s="184"/>
      <c r="AH133" s="184">
        <f t="shared" ref="AH133:AH196" si="12">V133+X133+Z133+AB133+AD133+AF133</f>
        <v>713000</v>
      </c>
      <c r="AK133" s="190">
        <f t="shared" si="11"/>
        <v>0</v>
      </c>
      <c r="AL133" s="135">
        <v>15739382222</v>
      </c>
      <c r="AO133" s="135">
        <f t="shared" ref="AO133:AO196" si="13">SUM(AZ133:BQ133)</f>
        <v>713000</v>
      </c>
      <c r="AP133" s="166">
        <f>0.7%+0.04%+0.14%</f>
        <v>0.0088</v>
      </c>
      <c r="AQ133" s="237">
        <f t="shared" ref="AQ133:AQ196" si="14">AR133+AS133+AT133+AU133+AV133+AW133+AX133+AY133</f>
        <v>0</v>
      </c>
      <c r="AR133" s="184"/>
      <c r="AS133" s="184"/>
      <c r="AT133" s="184"/>
      <c r="AU133" s="184"/>
      <c r="AV133" s="184"/>
      <c r="AW133" s="184"/>
      <c r="AX133" s="184"/>
      <c r="AY133" s="184"/>
      <c r="AZ133" s="184"/>
      <c r="BB133" s="184"/>
      <c r="BG133" s="135">
        <v>713000</v>
      </c>
      <c r="BT133" s="135" t="s">
        <v>496</v>
      </c>
      <c r="BU133" s="135" t="s">
        <v>506</v>
      </c>
    </row>
    <row r="134" s="135" customFormat="1" customHeight="1" spans="1:73">
      <c r="A134" s="220">
        <v>100</v>
      </c>
      <c r="C134" s="164" t="s">
        <v>762</v>
      </c>
      <c r="D134" s="135">
        <v>20240000214</v>
      </c>
      <c r="F134" s="834" t="s">
        <v>3535</v>
      </c>
      <c r="G134" s="135" t="s">
        <v>3536</v>
      </c>
      <c r="H134" s="834" t="s">
        <v>3537</v>
      </c>
      <c r="I134" s="135" t="s">
        <v>3538</v>
      </c>
      <c r="J134" s="135">
        <v>115.78</v>
      </c>
      <c r="K134" s="135">
        <v>115.78</v>
      </c>
      <c r="L134" s="135">
        <v>5397.23</v>
      </c>
      <c r="M134" s="233">
        <v>625000</v>
      </c>
      <c r="N134" s="184">
        <v>5342</v>
      </c>
      <c r="O134" s="190"/>
      <c r="P134" s="234"/>
      <c r="Q134" s="234"/>
      <c r="R134" s="184"/>
      <c r="S134" s="185"/>
      <c r="T134" s="844" t="s">
        <v>3539</v>
      </c>
      <c r="U134" s="185" t="s">
        <v>502</v>
      </c>
      <c r="V134" s="184">
        <v>2000</v>
      </c>
      <c r="W134" s="185" t="s">
        <v>741</v>
      </c>
      <c r="X134" s="184">
        <v>18000</v>
      </c>
      <c r="Y134" s="243" t="s">
        <v>687</v>
      </c>
      <c r="Z134" s="184">
        <v>605000</v>
      </c>
      <c r="AA134" s="185" t="s">
        <v>762</v>
      </c>
      <c r="AB134" s="184"/>
      <c r="AH134" s="184">
        <f t="shared" si="12"/>
        <v>625000</v>
      </c>
      <c r="AK134" s="190">
        <f t="shared" ref="AK134:AK137" si="15">M134-AH134</f>
        <v>0</v>
      </c>
      <c r="AL134" s="135">
        <v>17699963907</v>
      </c>
      <c r="AO134" s="135">
        <f t="shared" si="13"/>
        <v>625000</v>
      </c>
      <c r="AP134" s="166">
        <f>0.7%+0.08%</f>
        <v>0.0078</v>
      </c>
      <c r="AQ134" s="237">
        <f t="shared" si="14"/>
        <v>0</v>
      </c>
      <c r="AR134" s="184"/>
      <c r="AS134" s="184"/>
      <c r="AT134" s="184"/>
      <c r="AU134" s="184"/>
      <c r="AV134" s="184"/>
      <c r="AW134" s="184"/>
      <c r="AX134" s="184"/>
      <c r="AY134" s="184"/>
      <c r="AZ134" s="184"/>
      <c r="BB134" s="184"/>
      <c r="BE134" s="135">
        <v>625000</v>
      </c>
      <c r="BT134" s="135" t="s">
        <v>496</v>
      </c>
      <c r="BU134" s="135" t="s">
        <v>506</v>
      </c>
    </row>
    <row r="135" s="135" customFormat="1" customHeight="1" spans="1:73">
      <c r="A135" s="220">
        <v>101</v>
      </c>
      <c r="C135" s="164" t="s">
        <v>1567</v>
      </c>
      <c r="D135" s="135">
        <v>20240000427</v>
      </c>
      <c r="F135" s="834" t="s">
        <v>3540</v>
      </c>
      <c r="G135" s="135" t="s">
        <v>3541</v>
      </c>
      <c r="H135" s="834" t="s">
        <v>3542</v>
      </c>
      <c r="I135" s="135" t="s">
        <v>3543</v>
      </c>
      <c r="J135" s="135">
        <v>86.14</v>
      </c>
      <c r="K135" s="135">
        <v>86.14</v>
      </c>
      <c r="L135" s="135">
        <f>M135/K135</f>
        <v>5481.99442767588</v>
      </c>
      <c r="M135" s="233">
        <v>472219</v>
      </c>
      <c r="N135" s="184">
        <v>5372</v>
      </c>
      <c r="O135" s="190"/>
      <c r="P135" s="234"/>
      <c r="Q135" s="234"/>
      <c r="R135" s="184"/>
      <c r="S135" s="185"/>
      <c r="T135" s="844" t="s">
        <v>3544</v>
      </c>
      <c r="U135" s="185" t="s">
        <v>590</v>
      </c>
      <c r="V135" s="184">
        <v>2000</v>
      </c>
      <c r="W135" s="185" t="s">
        <v>527</v>
      </c>
      <c r="X135" s="184">
        <v>18000</v>
      </c>
      <c r="Y135" s="185" t="s">
        <v>725</v>
      </c>
      <c r="Z135" s="135">
        <f>55219+20000</f>
        <v>75219</v>
      </c>
      <c r="AA135" s="190" t="s">
        <v>1567</v>
      </c>
      <c r="AB135" s="184">
        <v>377000</v>
      </c>
      <c r="AC135" s="185" t="s">
        <v>3506</v>
      </c>
      <c r="AH135" s="184">
        <f t="shared" si="12"/>
        <v>472219</v>
      </c>
      <c r="AK135" s="190">
        <f t="shared" si="15"/>
        <v>0</v>
      </c>
      <c r="AL135" s="135">
        <v>15739844740</v>
      </c>
      <c r="AO135" s="135">
        <f t="shared" si="13"/>
        <v>472219</v>
      </c>
      <c r="AP135" s="166">
        <f>0.4%+0.03%+0.08%</f>
        <v>0.0051</v>
      </c>
      <c r="AQ135" s="237">
        <f t="shared" si="14"/>
        <v>0</v>
      </c>
      <c r="AR135" s="184"/>
      <c r="AS135" s="184"/>
      <c r="AT135" s="184"/>
      <c r="AU135" s="184"/>
      <c r="AV135" s="184"/>
      <c r="AW135" s="184"/>
      <c r="AX135" s="184"/>
      <c r="AY135" s="184"/>
      <c r="AZ135" s="184"/>
      <c r="BB135" s="184"/>
      <c r="BE135" s="135">
        <v>95219</v>
      </c>
      <c r="BG135" s="135">
        <v>377000</v>
      </c>
      <c r="BT135" s="135" t="s">
        <v>496</v>
      </c>
      <c r="BU135" s="135" t="s">
        <v>506</v>
      </c>
    </row>
    <row r="136" s="135" customFormat="1" customHeight="1" spans="1:73">
      <c r="A136" s="220">
        <v>102</v>
      </c>
      <c r="C136" s="164" t="s">
        <v>582</v>
      </c>
      <c r="D136" s="135">
        <v>20240001117</v>
      </c>
      <c r="F136" s="834" t="s">
        <v>3545</v>
      </c>
      <c r="G136" s="164" t="s">
        <v>3546</v>
      </c>
      <c r="H136" s="834" t="s">
        <v>3547</v>
      </c>
      <c r="I136" s="135" t="s">
        <v>3548</v>
      </c>
      <c r="J136" s="135">
        <v>132.34</v>
      </c>
      <c r="K136" s="135">
        <v>132.34</v>
      </c>
      <c r="L136" s="135">
        <v>5440.5</v>
      </c>
      <c r="M136" s="233">
        <v>720000</v>
      </c>
      <c r="N136" s="184">
        <v>5352</v>
      </c>
      <c r="O136" s="190"/>
      <c r="P136" s="234"/>
      <c r="Q136" s="234"/>
      <c r="R136" s="184"/>
      <c r="S136" s="185"/>
      <c r="T136" s="164" t="s">
        <v>3549</v>
      </c>
      <c r="U136" s="261" t="s">
        <v>502</v>
      </c>
      <c r="V136" s="184">
        <f>2000-2000</f>
        <v>0</v>
      </c>
      <c r="W136" s="185" t="s">
        <v>3550</v>
      </c>
      <c r="X136" s="184">
        <v>20000</v>
      </c>
      <c r="Y136" s="185" t="s">
        <v>3551</v>
      </c>
      <c r="Z136" s="184">
        <v>94000</v>
      </c>
      <c r="AA136" s="185" t="s">
        <v>582</v>
      </c>
      <c r="AB136" s="184">
        <v>30000</v>
      </c>
      <c r="AC136" s="135" t="s">
        <v>3552</v>
      </c>
      <c r="AD136" s="184">
        <v>576000</v>
      </c>
      <c r="AE136" s="185" t="s">
        <v>520</v>
      </c>
      <c r="AH136" s="184">
        <f t="shared" si="12"/>
        <v>720000</v>
      </c>
      <c r="AK136" s="190">
        <f t="shared" si="15"/>
        <v>0</v>
      </c>
      <c r="AL136" s="135">
        <v>17386245330</v>
      </c>
      <c r="AO136" s="135">
        <f t="shared" si="13"/>
        <v>720000</v>
      </c>
      <c r="AP136" s="166">
        <f>0.5%+0.14%</f>
        <v>0.0064</v>
      </c>
      <c r="AQ136" s="237">
        <f t="shared" si="14"/>
        <v>0</v>
      </c>
      <c r="AR136" s="184"/>
      <c r="AS136" s="184"/>
      <c r="AT136" s="184"/>
      <c r="AU136" s="184"/>
      <c r="AV136" s="184"/>
      <c r="AW136" s="184"/>
      <c r="AX136" s="184"/>
      <c r="AY136" s="184"/>
      <c r="AZ136" s="184"/>
      <c r="BB136" s="184"/>
      <c r="BG136" s="135">
        <v>144000</v>
      </c>
      <c r="BH136" s="135">
        <v>576000</v>
      </c>
      <c r="BT136" s="135" t="s">
        <v>496</v>
      </c>
      <c r="BU136" s="135" t="s">
        <v>506</v>
      </c>
    </row>
    <row r="137" s="135" customFormat="1" customHeight="1" spans="1:73">
      <c r="A137" s="220">
        <v>103</v>
      </c>
      <c r="C137" s="191">
        <v>45329</v>
      </c>
      <c r="D137" s="135">
        <v>20240000806</v>
      </c>
      <c r="F137" s="834" t="s">
        <v>3553</v>
      </c>
      <c r="G137" s="135" t="s">
        <v>3554</v>
      </c>
      <c r="H137" s="834" t="s">
        <v>3555</v>
      </c>
      <c r="I137" s="135" t="s">
        <v>3556</v>
      </c>
      <c r="J137" s="135">
        <v>115.78</v>
      </c>
      <c r="K137" s="135">
        <v>115.78</v>
      </c>
      <c r="L137" s="135">
        <v>5441.35</v>
      </c>
      <c r="M137" s="233">
        <v>630000</v>
      </c>
      <c r="N137" s="184">
        <v>5362</v>
      </c>
      <c r="O137" s="190"/>
      <c r="P137" s="234"/>
      <c r="Q137" s="234"/>
      <c r="R137" s="184"/>
      <c r="S137" s="185"/>
      <c r="T137" s="220"/>
      <c r="U137" s="185" t="s">
        <v>524</v>
      </c>
      <c r="V137" s="184">
        <v>10000</v>
      </c>
      <c r="W137" s="185" t="s">
        <v>3557</v>
      </c>
      <c r="X137" s="184">
        <v>200000</v>
      </c>
      <c r="Y137" s="243" t="s">
        <v>807</v>
      </c>
      <c r="Z137" s="135">
        <v>270000</v>
      </c>
      <c r="AA137" s="190" t="s">
        <v>550</v>
      </c>
      <c r="AB137" s="184">
        <v>150000</v>
      </c>
      <c r="AC137" s="135" t="s">
        <v>3488</v>
      </c>
      <c r="AH137" s="184">
        <f t="shared" si="12"/>
        <v>630000</v>
      </c>
      <c r="AK137" s="190">
        <f t="shared" si="15"/>
        <v>0</v>
      </c>
      <c r="AL137" s="135">
        <v>13999615045</v>
      </c>
      <c r="AO137" s="135">
        <f t="shared" si="13"/>
        <v>630000</v>
      </c>
      <c r="AP137" s="166">
        <f>0.7%+0.05%+0.14%</f>
        <v>0.0089</v>
      </c>
      <c r="AQ137" s="237">
        <f t="shared" si="14"/>
        <v>0</v>
      </c>
      <c r="AR137" s="184"/>
      <c r="AS137" s="184"/>
      <c r="AT137" s="184"/>
      <c r="AU137" s="184"/>
      <c r="AV137" s="184"/>
      <c r="AW137" s="184"/>
      <c r="AX137" s="184"/>
      <c r="AY137" s="184"/>
      <c r="AZ137" s="184"/>
      <c r="BB137" s="184"/>
      <c r="BG137" s="135">
        <v>630000</v>
      </c>
      <c r="BT137" s="135" t="s">
        <v>496</v>
      </c>
      <c r="BU137" s="135" t="s">
        <v>506</v>
      </c>
    </row>
    <row r="138" s="132" customFormat="1" customHeight="1" spans="1:54">
      <c r="A138" s="212">
        <v>104</v>
      </c>
      <c r="C138" s="219"/>
      <c r="I138" s="132" t="s">
        <v>3558</v>
      </c>
      <c r="J138" s="132">
        <v>86.14</v>
      </c>
      <c r="M138" s="213"/>
      <c r="N138" s="215">
        <v>5392</v>
      </c>
      <c r="O138" s="173"/>
      <c r="P138" s="229"/>
      <c r="Q138" s="229"/>
      <c r="R138" s="215"/>
      <c r="S138" s="216"/>
      <c r="T138" s="212"/>
      <c r="U138" s="216"/>
      <c r="V138" s="215"/>
      <c r="X138" s="215"/>
      <c r="Y138" s="242"/>
      <c r="AA138" s="173"/>
      <c r="AB138" s="215"/>
      <c r="AH138" s="215">
        <f t="shared" si="12"/>
        <v>0</v>
      </c>
      <c r="AK138" s="173"/>
      <c r="AO138" s="132">
        <f t="shared" si="13"/>
        <v>0</v>
      </c>
      <c r="AP138" s="250"/>
      <c r="AQ138" s="251">
        <f t="shared" si="14"/>
        <v>0</v>
      </c>
      <c r="AR138" s="215"/>
      <c r="AS138" s="215"/>
      <c r="AT138" s="215"/>
      <c r="AU138" s="215"/>
      <c r="AV138" s="215"/>
      <c r="AW138" s="215"/>
      <c r="AX138" s="215"/>
      <c r="AY138" s="215"/>
      <c r="AZ138" s="215"/>
      <c r="BB138" s="215"/>
    </row>
    <row r="139" s="135" customFormat="1" customHeight="1" spans="1:76">
      <c r="A139" s="220">
        <v>105</v>
      </c>
      <c r="C139" s="164" t="s">
        <v>716</v>
      </c>
      <c r="D139" s="135">
        <v>20240001786</v>
      </c>
      <c r="F139" s="846" t="s">
        <v>3559</v>
      </c>
      <c r="G139" s="164" t="s">
        <v>3560</v>
      </c>
      <c r="H139" s="164"/>
      <c r="I139" s="135" t="s">
        <v>3561</v>
      </c>
      <c r="J139" s="135">
        <v>132.34</v>
      </c>
      <c r="K139" s="135">
        <v>132.34</v>
      </c>
      <c r="L139" s="135">
        <v>5440.53</v>
      </c>
      <c r="M139" s="233">
        <v>720000</v>
      </c>
      <c r="N139" s="184">
        <v>5377</v>
      </c>
      <c r="O139" s="190"/>
      <c r="P139" s="234"/>
      <c r="Q139" s="234"/>
      <c r="R139" s="184"/>
      <c r="S139" s="185"/>
      <c r="T139" s="220"/>
      <c r="U139" s="185" t="s">
        <v>709</v>
      </c>
      <c r="V139" s="184">
        <v>20000</v>
      </c>
      <c r="W139" s="243" t="s">
        <v>3562</v>
      </c>
      <c r="X139" s="184">
        <f>100000</f>
        <v>100000</v>
      </c>
      <c r="Y139" s="185" t="s">
        <v>716</v>
      </c>
      <c r="Z139" s="135">
        <v>24000</v>
      </c>
      <c r="AA139" s="190" t="s">
        <v>716</v>
      </c>
      <c r="AB139" s="184">
        <v>576000</v>
      </c>
      <c r="AC139" s="135" t="s">
        <v>669</v>
      </c>
      <c r="AH139" s="184">
        <f t="shared" si="12"/>
        <v>720000</v>
      </c>
      <c r="AK139" s="190">
        <f t="shared" ref="AK139:AK144" si="16">M139-AH139</f>
        <v>0</v>
      </c>
      <c r="AO139" s="135">
        <f t="shared" si="13"/>
        <v>720000</v>
      </c>
      <c r="AP139" s="166">
        <f>0.5%+0.14%</f>
        <v>0.0064</v>
      </c>
      <c r="AQ139" s="237">
        <f t="shared" si="14"/>
        <v>0</v>
      </c>
      <c r="AR139" s="184"/>
      <c r="AS139" s="184"/>
      <c r="AT139" s="184"/>
      <c r="AU139" s="184"/>
      <c r="AV139" s="184"/>
      <c r="AW139" s="184"/>
      <c r="AX139" s="184"/>
      <c r="AY139" s="184"/>
      <c r="AZ139" s="184"/>
      <c r="BB139" s="184"/>
      <c r="BH139" s="135">
        <v>720000</v>
      </c>
      <c r="BT139" s="135" t="s">
        <v>496</v>
      </c>
      <c r="BU139" s="135" t="s">
        <v>506</v>
      </c>
      <c r="BX139" s="135">
        <f>BV139-BW139</f>
        <v>0</v>
      </c>
    </row>
    <row r="140" s="135" customFormat="1" customHeight="1" spans="1:73">
      <c r="A140" s="220">
        <v>106</v>
      </c>
      <c r="C140" s="135" t="s">
        <v>3562</v>
      </c>
      <c r="D140" s="263" t="s">
        <v>3563</v>
      </c>
      <c r="F140" s="264" t="s">
        <v>3564</v>
      </c>
      <c r="G140" s="220" t="s">
        <v>3565</v>
      </c>
      <c r="H140" s="844" t="s">
        <v>3566</v>
      </c>
      <c r="I140" s="135" t="s">
        <v>3567</v>
      </c>
      <c r="J140" s="135">
        <v>115.78</v>
      </c>
      <c r="K140" s="135">
        <v>115.78</v>
      </c>
      <c r="L140" s="234">
        <f>M140/K140</f>
        <v>5449.99136292969</v>
      </c>
      <c r="M140" s="233">
        <v>631000</v>
      </c>
      <c r="N140" s="184">
        <v>5372</v>
      </c>
      <c r="O140" s="190"/>
      <c r="P140" s="234"/>
      <c r="Q140" s="234"/>
      <c r="R140" s="184"/>
      <c r="S140" s="185"/>
      <c r="T140" s="185"/>
      <c r="U140" s="185" t="s">
        <v>508</v>
      </c>
      <c r="V140" s="184">
        <v>20000</v>
      </c>
      <c r="W140" s="185" t="s">
        <v>3534</v>
      </c>
      <c r="X140" s="184">
        <v>181000</v>
      </c>
      <c r="Y140" s="243" t="s">
        <v>3562</v>
      </c>
      <c r="Z140" s="184">
        <v>100000</v>
      </c>
      <c r="AA140" s="185" t="s">
        <v>586</v>
      </c>
      <c r="AB140" s="184">
        <v>330000</v>
      </c>
      <c r="AC140" s="135" t="s">
        <v>700</v>
      </c>
      <c r="AH140" s="184">
        <f t="shared" si="12"/>
        <v>631000</v>
      </c>
      <c r="AK140" s="190">
        <f t="shared" si="16"/>
        <v>0</v>
      </c>
      <c r="AL140" s="264" t="s">
        <v>3568</v>
      </c>
      <c r="AO140" s="135">
        <f t="shared" si="13"/>
        <v>631000</v>
      </c>
      <c r="AP140" s="166">
        <f>0.6%+0.05%+0.14%</f>
        <v>0.0079</v>
      </c>
      <c r="AQ140" s="237">
        <f t="shared" si="14"/>
        <v>0</v>
      </c>
      <c r="AR140" s="184"/>
      <c r="AS140" s="184"/>
      <c r="AT140" s="184"/>
      <c r="AU140" s="184"/>
      <c r="AV140" s="184"/>
      <c r="AW140" s="184"/>
      <c r="AX140" s="184"/>
      <c r="AY140" s="184"/>
      <c r="AZ140" s="184"/>
      <c r="BB140" s="184"/>
      <c r="BG140" s="135">
        <v>631000</v>
      </c>
      <c r="BT140" s="135" t="s">
        <v>496</v>
      </c>
      <c r="BU140" s="135" t="s">
        <v>506</v>
      </c>
    </row>
    <row r="141" s="132" customFormat="1" customHeight="1" spans="1:54">
      <c r="A141" s="212">
        <v>107</v>
      </c>
      <c r="C141" s="219"/>
      <c r="E141" s="132" t="s">
        <v>3569</v>
      </c>
      <c r="I141" s="132" t="s">
        <v>3570</v>
      </c>
      <c r="J141" s="132">
        <v>86.14</v>
      </c>
      <c r="M141" s="213"/>
      <c r="N141" s="215">
        <v>5402</v>
      </c>
      <c r="O141" s="173"/>
      <c r="P141" s="229"/>
      <c r="Q141" s="229"/>
      <c r="R141" s="215"/>
      <c r="S141" s="216"/>
      <c r="T141" s="212"/>
      <c r="U141" s="216"/>
      <c r="V141" s="215"/>
      <c r="X141" s="215"/>
      <c r="Y141" s="242"/>
      <c r="AA141" s="173"/>
      <c r="AB141" s="215"/>
      <c r="AH141" s="215">
        <f t="shared" si="12"/>
        <v>0</v>
      </c>
      <c r="AK141" s="173"/>
      <c r="AO141" s="132">
        <f t="shared" si="13"/>
        <v>0</v>
      </c>
      <c r="AP141" s="250"/>
      <c r="AQ141" s="251">
        <f t="shared" si="14"/>
        <v>0</v>
      </c>
      <c r="AR141" s="215"/>
      <c r="AS141" s="215"/>
      <c r="AT141" s="215"/>
      <c r="AU141" s="215"/>
      <c r="AV141" s="215"/>
      <c r="AW141" s="215"/>
      <c r="AX141" s="215"/>
      <c r="AY141" s="215"/>
      <c r="AZ141" s="215"/>
      <c r="BB141" s="215"/>
    </row>
    <row r="142" s="135" customFormat="1" customHeight="1" spans="1:54">
      <c r="A142" s="220">
        <v>108</v>
      </c>
      <c r="B142" s="135">
        <v>1</v>
      </c>
      <c r="C142" s="164"/>
      <c r="F142" s="834" t="s">
        <v>3571</v>
      </c>
      <c r="G142" s="164" t="s">
        <v>3572</v>
      </c>
      <c r="H142" s="834" t="s">
        <v>3573</v>
      </c>
      <c r="I142" s="135" t="s">
        <v>3574</v>
      </c>
      <c r="J142" s="135">
        <v>132.34</v>
      </c>
      <c r="K142" s="135">
        <v>132.34</v>
      </c>
      <c r="L142" s="135">
        <v>5286.66</v>
      </c>
      <c r="M142" s="233">
        <v>699636</v>
      </c>
      <c r="N142" s="184">
        <v>5397</v>
      </c>
      <c r="O142" s="190"/>
      <c r="P142" s="234"/>
      <c r="Q142" s="234"/>
      <c r="R142" s="184">
        <v>20000</v>
      </c>
      <c r="S142" s="185" t="s">
        <v>177</v>
      </c>
      <c r="T142" s="220"/>
      <c r="U142" s="185" t="s">
        <v>508</v>
      </c>
      <c r="V142" s="184">
        <v>20000</v>
      </c>
      <c r="W142" s="185" t="s">
        <v>177</v>
      </c>
      <c r="X142" s="184"/>
      <c r="Y142" s="243"/>
      <c r="AA142" s="190"/>
      <c r="AB142" s="184"/>
      <c r="AH142" s="184">
        <f t="shared" si="12"/>
        <v>20000</v>
      </c>
      <c r="AK142" s="190">
        <f>M142-AH142</f>
        <v>679636</v>
      </c>
      <c r="AL142" s="135">
        <v>18709965374</v>
      </c>
      <c r="AM142" s="135" t="s">
        <v>3254</v>
      </c>
      <c r="AO142" s="135">
        <f t="shared" si="13"/>
        <v>0</v>
      </c>
      <c r="AP142" s="166">
        <f>0.6%+0.04%+0.12%+0.03%</f>
        <v>0.0079</v>
      </c>
      <c r="AQ142" s="237">
        <f t="shared" si="14"/>
        <v>0</v>
      </c>
      <c r="AR142" s="184"/>
      <c r="AS142" s="184"/>
      <c r="AT142" s="184"/>
      <c r="AU142" s="184"/>
      <c r="AV142" s="184"/>
      <c r="AW142" s="184"/>
      <c r="AX142" s="184"/>
      <c r="AY142" s="184"/>
      <c r="AZ142" s="184"/>
      <c r="BB142" s="184"/>
    </row>
    <row r="143" s="135" customFormat="1" customHeight="1" spans="1:73">
      <c r="A143" s="220">
        <v>109</v>
      </c>
      <c r="C143" s="164" t="s">
        <v>3388</v>
      </c>
      <c r="D143" s="135">
        <v>20240001718</v>
      </c>
      <c r="F143" s="834" t="s">
        <v>3575</v>
      </c>
      <c r="G143" s="135" t="s">
        <v>3576</v>
      </c>
      <c r="I143" s="135" t="s">
        <v>3577</v>
      </c>
      <c r="J143" s="135">
        <v>115.78</v>
      </c>
      <c r="K143" s="135">
        <v>115.78</v>
      </c>
      <c r="L143" s="135">
        <v>5354.98</v>
      </c>
      <c r="M143" s="233">
        <v>620000</v>
      </c>
      <c r="N143" s="184">
        <v>5354.98</v>
      </c>
      <c r="O143" s="190"/>
      <c r="P143" s="234"/>
      <c r="Q143" s="234"/>
      <c r="R143" s="184"/>
      <c r="S143" s="185"/>
      <c r="T143" s="220"/>
      <c r="U143" s="185" t="s">
        <v>508</v>
      </c>
      <c r="V143" s="184">
        <v>124000</v>
      </c>
      <c r="W143" s="185" t="s">
        <v>3388</v>
      </c>
      <c r="X143" s="184">
        <v>496000</v>
      </c>
      <c r="Y143" s="185" t="s">
        <v>669</v>
      </c>
      <c r="AA143" s="190"/>
      <c r="AB143" s="184"/>
      <c r="AH143" s="184">
        <f t="shared" si="12"/>
        <v>620000</v>
      </c>
      <c r="AK143" s="190">
        <f t="shared" si="16"/>
        <v>0</v>
      </c>
      <c r="AL143" s="135">
        <v>18690237014</v>
      </c>
      <c r="AO143" s="135">
        <f t="shared" si="13"/>
        <v>620000</v>
      </c>
      <c r="AP143" s="166">
        <f>0.7%+0.05%+0.12%</f>
        <v>0.0087</v>
      </c>
      <c r="AQ143" s="237">
        <f t="shared" si="14"/>
        <v>0</v>
      </c>
      <c r="AR143" s="184"/>
      <c r="AS143" s="184"/>
      <c r="AT143" s="184"/>
      <c r="AU143" s="184"/>
      <c r="AV143" s="184"/>
      <c r="AW143" s="184"/>
      <c r="AX143" s="184"/>
      <c r="AY143" s="184"/>
      <c r="AZ143" s="184"/>
      <c r="BB143" s="184"/>
      <c r="BG143" s="135">
        <v>124000</v>
      </c>
      <c r="BH143" s="135">
        <v>496000</v>
      </c>
      <c r="BT143" s="135" t="s">
        <v>496</v>
      </c>
      <c r="BU143" s="135" t="s">
        <v>506</v>
      </c>
    </row>
    <row r="144" s="135" customFormat="1" customHeight="1" spans="1:54">
      <c r="A144" s="220">
        <v>110</v>
      </c>
      <c r="C144" s="164"/>
      <c r="E144" s="135" t="s">
        <v>3578</v>
      </c>
      <c r="G144" s="135" t="s">
        <v>3579</v>
      </c>
      <c r="I144" s="135" t="s">
        <v>3580</v>
      </c>
      <c r="J144" s="135">
        <v>86.14</v>
      </c>
      <c r="K144" s="135">
        <v>86.14</v>
      </c>
      <c r="M144" s="233">
        <v>495946</v>
      </c>
      <c r="N144" s="184">
        <v>5412</v>
      </c>
      <c r="O144" s="190"/>
      <c r="P144" s="234"/>
      <c r="Q144" s="234"/>
      <c r="R144" s="184"/>
      <c r="S144" s="185"/>
      <c r="T144" s="220"/>
      <c r="U144" s="185"/>
      <c r="V144" s="184">
        <v>495946</v>
      </c>
      <c r="W144" s="185" t="s">
        <v>735</v>
      </c>
      <c r="X144" s="184"/>
      <c r="Y144" s="243"/>
      <c r="AA144" s="190"/>
      <c r="AB144" s="184"/>
      <c r="AH144" s="184">
        <f t="shared" si="12"/>
        <v>495946</v>
      </c>
      <c r="AK144" s="190">
        <f t="shared" si="16"/>
        <v>0</v>
      </c>
      <c r="AO144" s="135">
        <f t="shared" si="13"/>
        <v>0</v>
      </c>
      <c r="AP144" s="166"/>
      <c r="AQ144" s="237">
        <f t="shared" si="14"/>
        <v>0</v>
      </c>
      <c r="AR144" s="184"/>
      <c r="AS144" s="184"/>
      <c r="AT144" s="184"/>
      <c r="AU144" s="184"/>
      <c r="AV144" s="184"/>
      <c r="AW144" s="184"/>
      <c r="AX144" s="184"/>
      <c r="AY144" s="184"/>
      <c r="AZ144" s="184"/>
      <c r="BB144" s="184"/>
    </row>
    <row r="145" s="135" customFormat="1" ht="48" customHeight="1" spans="1:73">
      <c r="A145" s="220">
        <v>111</v>
      </c>
      <c r="C145" s="191">
        <v>45455</v>
      </c>
      <c r="D145" s="135">
        <v>20240003437</v>
      </c>
      <c r="F145" s="834" t="s">
        <v>3581</v>
      </c>
      <c r="G145" s="164" t="s">
        <v>3582</v>
      </c>
      <c r="H145" s="834" t="s">
        <v>3583</v>
      </c>
      <c r="I145" s="135" t="s">
        <v>3584</v>
      </c>
      <c r="J145" s="135">
        <v>132.34</v>
      </c>
      <c r="K145" s="135">
        <v>132.34</v>
      </c>
      <c r="L145" s="135">
        <v>5138.28</v>
      </c>
      <c r="M145" s="233">
        <v>680000</v>
      </c>
      <c r="N145" s="184">
        <v>5138.28</v>
      </c>
      <c r="O145" s="190"/>
      <c r="P145" s="234"/>
      <c r="Q145" s="234"/>
      <c r="R145" s="184"/>
      <c r="S145" s="185"/>
      <c r="T145" s="220"/>
      <c r="U145" s="185" t="s">
        <v>524</v>
      </c>
      <c r="V145" s="184">
        <f>7000-7000</f>
        <v>0</v>
      </c>
      <c r="W145" s="185" t="s">
        <v>993</v>
      </c>
      <c r="X145" s="184">
        <v>20000</v>
      </c>
      <c r="Y145" s="185" t="s">
        <v>3394</v>
      </c>
      <c r="Z145" s="135">
        <v>280000</v>
      </c>
      <c r="AA145" s="190" t="s">
        <v>3389</v>
      </c>
      <c r="AB145" s="184">
        <v>380000</v>
      </c>
      <c r="AC145" s="135" t="s">
        <v>1007</v>
      </c>
      <c r="AH145" s="184">
        <f t="shared" si="12"/>
        <v>680000</v>
      </c>
      <c r="AK145" s="190">
        <f t="shared" ref="AK145:AK148" si="17">M145-AH145</f>
        <v>0</v>
      </c>
      <c r="AL145" s="135">
        <v>13993510131</v>
      </c>
      <c r="AM145" s="135" t="s">
        <v>3468</v>
      </c>
      <c r="AO145" s="135">
        <f t="shared" si="13"/>
        <v>680000</v>
      </c>
      <c r="AP145" s="166">
        <f>0.7%+0.08%</f>
        <v>0.0078</v>
      </c>
      <c r="AQ145" s="237">
        <f t="shared" si="14"/>
        <v>0</v>
      </c>
      <c r="AR145" s="184"/>
      <c r="AS145" s="184"/>
      <c r="AT145" s="184"/>
      <c r="AU145" s="184"/>
      <c r="AV145" s="184"/>
      <c r="AW145" s="184"/>
      <c r="AX145" s="184"/>
      <c r="AY145" s="184"/>
      <c r="AZ145" s="184"/>
      <c r="BB145" s="184"/>
      <c r="BJ145" s="135">
        <v>680000</v>
      </c>
      <c r="BT145" s="135" t="s">
        <v>496</v>
      </c>
      <c r="BU145" s="135" t="s">
        <v>506</v>
      </c>
    </row>
    <row r="146" s="135" customFormat="1" customHeight="1" spans="1:73">
      <c r="A146" s="220">
        <v>112</v>
      </c>
      <c r="C146" s="191">
        <v>45381</v>
      </c>
      <c r="D146" s="135">
        <v>20240001761</v>
      </c>
      <c r="F146" s="834" t="s">
        <v>3585</v>
      </c>
      <c r="G146" s="135" t="s">
        <v>3586</v>
      </c>
      <c r="H146" s="834" t="s">
        <v>3587</v>
      </c>
      <c r="I146" s="135" t="s">
        <v>3588</v>
      </c>
      <c r="J146" s="135">
        <v>115.78</v>
      </c>
      <c r="K146" s="135">
        <v>115.78</v>
      </c>
      <c r="L146" s="135">
        <v>5009.5</v>
      </c>
      <c r="M146" s="233">
        <v>580000</v>
      </c>
      <c r="N146" s="184">
        <v>4978</v>
      </c>
      <c r="O146" s="190"/>
      <c r="P146" s="234"/>
      <c r="Q146" s="234"/>
      <c r="R146" s="184"/>
      <c r="S146" s="185"/>
      <c r="T146" s="220"/>
      <c r="U146" s="185" t="s">
        <v>842</v>
      </c>
      <c r="V146" s="184">
        <v>20000</v>
      </c>
      <c r="W146" s="185" t="s">
        <v>3552</v>
      </c>
      <c r="X146" s="184">
        <v>380000</v>
      </c>
      <c r="Y146" s="243" t="s">
        <v>525</v>
      </c>
      <c r="Z146" s="184">
        <v>150000</v>
      </c>
      <c r="AA146" s="185" t="s">
        <v>503</v>
      </c>
      <c r="AB146" s="184">
        <v>30000</v>
      </c>
      <c r="AC146" s="135" t="s">
        <v>3405</v>
      </c>
      <c r="AH146" s="184">
        <f t="shared" si="12"/>
        <v>580000</v>
      </c>
      <c r="AK146" s="190">
        <f t="shared" si="17"/>
        <v>0</v>
      </c>
      <c r="AL146" s="135">
        <v>18609965679</v>
      </c>
      <c r="AO146" s="135">
        <f t="shared" si="13"/>
        <v>580000</v>
      </c>
      <c r="AP146" s="166">
        <f>0.4%+0.03%+0.12%</f>
        <v>0.0055</v>
      </c>
      <c r="AQ146" s="237">
        <f t="shared" si="14"/>
        <v>0</v>
      </c>
      <c r="AR146" s="184"/>
      <c r="AS146" s="184"/>
      <c r="AT146" s="184"/>
      <c r="AU146" s="184"/>
      <c r="AV146" s="184"/>
      <c r="AW146" s="184"/>
      <c r="AX146" s="184"/>
      <c r="AY146" s="184"/>
      <c r="AZ146" s="184"/>
      <c r="BB146" s="184"/>
      <c r="BH146" s="135">
        <v>580000</v>
      </c>
      <c r="BT146" s="135" t="s">
        <v>496</v>
      </c>
      <c r="BU146" s="135" t="s">
        <v>506</v>
      </c>
    </row>
    <row r="147" s="132" customFormat="1" customHeight="1" spans="1:54">
      <c r="A147" s="212">
        <v>113</v>
      </c>
      <c r="C147" s="219"/>
      <c r="E147" s="132" t="s">
        <v>3589</v>
      </c>
      <c r="I147" s="132" t="s">
        <v>3590</v>
      </c>
      <c r="J147" s="132">
        <v>86.14</v>
      </c>
      <c r="M147" s="213"/>
      <c r="N147" s="215">
        <v>5008</v>
      </c>
      <c r="O147" s="173"/>
      <c r="P147" s="229"/>
      <c r="Q147" s="229"/>
      <c r="R147" s="215"/>
      <c r="S147" s="216"/>
      <c r="T147" s="212"/>
      <c r="U147" s="216"/>
      <c r="V147" s="215"/>
      <c r="X147" s="215"/>
      <c r="Y147" s="242"/>
      <c r="AA147" s="173"/>
      <c r="AB147" s="215"/>
      <c r="AH147" s="215">
        <f t="shared" si="12"/>
        <v>0</v>
      </c>
      <c r="AK147" s="173"/>
      <c r="AO147" s="132">
        <f t="shared" si="13"/>
        <v>0</v>
      </c>
      <c r="AP147" s="250"/>
      <c r="AQ147" s="251">
        <f t="shared" si="14"/>
        <v>0</v>
      </c>
      <c r="AR147" s="215"/>
      <c r="AS147" s="215"/>
      <c r="AT147" s="215"/>
      <c r="AU147" s="215"/>
      <c r="AV147" s="215"/>
      <c r="AW147" s="215"/>
      <c r="AX147" s="215"/>
      <c r="AY147" s="215"/>
      <c r="AZ147" s="215"/>
      <c r="BB147" s="215"/>
    </row>
    <row r="148" s="135" customFormat="1" customHeight="1" spans="1:73">
      <c r="A148" s="220">
        <v>114</v>
      </c>
      <c r="C148" s="191">
        <v>45414</v>
      </c>
      <c r="D148" s="135">
        <v>20240002494</v>
      </c>
      <c r="F148" s="834" t="s">
        <v>3591</v>
      </c>
      <c r="G148" s="135" t="s">
        <v>3592</v>
      </c>
      <c r="H148" s="834" t="s">
        <v>3593</v>
      </c>
      <c r="I148" s="135" t="s">
        <v>3594</v>
      </c>
      <c r="J148" s="135">
        <v>132.34</v>
      </c>
      <c r="K148" s="135">
        <v>132.34</v>
      </c>
      <c r="L148" s="135">
        <v>5088</v>
      </c>
      <c r="M148" s="233">
        <v>673348</v>
      </c>
      <c r="N148" s="184">
        <v>4988</v>
      </c>
      <c r="O148" s="190"/>
      <c r="P148" s="234"/>
      <c r="Q148" s="234"/>
      <c r="R148" s="184"/>
      <c r="S148" s="185"/>
      <c r="T148" s="220"/>
      <c r="U148" s="185" t="s">
        <v>721</v>
      </c>
      <c r="V148" s="184">
        <v>20000</v>
      </c>
      <c r="W148" s="185" t="s">
        <v>669</v>
      </c>
      <c r="X148" s="184">
        <v>115348</v>
      </c>
      <c r="Y148" s="185" t="s">
        <v>3451</v>
      </c>
      <c r="Z148" s="184">
        <v>538000</v>
      </c>
      <c r="AA148" s="185" t="s">
        <v>3595</v>
      </c>
      <c r="AB148" s="184"/>
      <c r="AH148" s="184">
        <f t="shared" si="12"/>
        <v>673348</v>
      </c>
      <c r="AK148" s="190">
        <f t="shared" si="17"/>
        <v>0</v>
      </c>
      <c r="AL148" s="135">
        <v>19609961341</v>
      </c>
      <c r="AO148" s="135">
        <f t="shared" si="13"/>
        <v>673348</v>
      </c>
      <c r="AP148" s="166">
        <f>0.7%+0.05%+0.12%</f>
        <v>0.0087</v>
      </c>
      <c r="AQ148" s="237">
        <f t="shared" si="14"/>
        <v>0</v>
      </c>
      <c r="AR148" s="184"/>
      <c r="AS148" s="184"/>
      <c r="AT148" s="184"/>
      <c r="AU148" s="184"/>
      <c r="AV148" s="184"/>
      <c r="AW148" s="184"/>
      <c r="AX148" s="184"/>
      <c r="AY148" s="184"/>
      <c r="AZ148" s="184"/>
      <c r="BB148" s="184"/>
      <c r="BI148" s="135">
        <v>135348</v>
      </c>
      <c r="BJ148" s="135">
        <v>538000</v>
      </c>
      <c r="BT148" s="135" t="s">
        <v>496</v>
      </c>
      <c r="BU148" s="135" t="s">
        <v>506</v>
      </c>
    </row>
    <row r="149" s="132" customFormat="1" customHeight="1" spans="1:54">
      <c r="A149" s="212"/>
      <c r="C149" s="219"/>
      <c r="H149" s="132" t="s">
        <v>3596</v>
      </c>
      <c r="I149" s="132" t="s">
        <v>3597</v>
      </c>
      <c r="J149" s="132"/>
      <c r="M149" s="213"/>
      <c r="N149" s="215"/>
      <c r="O149" s="173"/>
      <c r="P149" s="229"/>
      <c r="Q149" s="229"/>
      <c r="R149" s="215"/>
      <c r="S149" s="216"/>
      <c r="T149" s="212"/>
      <c r="U149" s="216"/>
      <c r="V149" s="215"/>
      <c r="X149" s="215"/>
      <c r="Y149" s="242"/>
      <c r="AA149" s="173"/>
      <c r="AB149" s="215"/>
      <c r="AH149" s="215">
        <f t="shared" si="12"/>
        <v>0</v>
      </c>
      <c r="AK149" s="173"/>
      <c r="AO149" s="132">
        <f t="shared" si="13"/>
        <v>0</v>
      </c>
      <c r="AP149" s="250"/>
      <c r="AQ149" s="251">
        <f t="shared" si="14"/>
        <v>0</v>
      </c>
      <c r="AR149" s="215"/>
      <c r="AS149" s="215"/>
      <c r="AT149" s="215"/>
      <c r="AU149" s="215"/>
      <c r="AV149" s="215"/>
      <c r="AW149" s="215"/>
      <c r="AX149" s="215"/>
      <c r="AY149" s="215"/>
      <c r="AZ149" s="215"/>
      <c r="BB149" s="215"/>
    </row>
    <row r="150" s="132" customFormat="1" customHeight="1" spans="1:54">
      <c r="A150" s="212"/>
      <c r="C150" s="219"/>
      <c r="I150" s="132" t="s">
        <v>3598</v>
      </c>
      <c r="J150" s="132">
        <v>0</v>
      </c>
      <c r="M150" s="213"/>
      <c r="N150" s="215"/>
      <c r="O150" s="173"/>
      <c r="P150" s="229"/>
      <c r="Q150" s="229"/>
      <c r="R150" s="215"/>
      <c r="S150" s="216"/>
      <c r="T150" s="212"/>
      <c r="U150" s="216"/>
      <c r="V150" s="215"/>
      <c r="X150" s="215"/>
      <c r="Y150" s="242"/>
      <c r="AA150" s="173"/>
      <c r="AB150" s="215"/>
      <c r="AH150" s="215">
        <f t="shared" si="12"/>
        <v>0</v>
      </c>
      <c r="AK150" s="173"/>
      <c r="AO150" s="132">
        <f t="shared" si="13"/>
        <v>0</v>
      </c>
      <c r="AP150" s="250"/>
      <c r="AQ150" s="251">
        <f t="shared" si="14"/>
        <v>0</v>
      </c>
      <c r="AR150" s="215"/>
      <c r="AS150" s="215"/>
      <c r="AT150" s="215"/>
      <c r="AU150" s="215"/>
      <c r="AV150" s="215"/>
      <c r="AW150" s="215"/>
      <c r="AX150" s="215"/>
      <c r="AY150" s="215"/>
      <c r="AZ150" s="215"/>
      <c r="BB150" s="215"/>
    </row>
    <row r="151" s="135" customFormat="1" customHeight="1" spans="1:54">
      <c r="A151" s="220">
        <v>115</v>
      </c>
      <c r="C151" s="164"/>
      <c r="G151" s="135" t="s">
        <v>3599</v>
      </c>
      <c r="H151" s="834" t="s">
        <v>3600</v>
      </c>
      <c r="I151" s="135" t="s">
        <v>3601</v>
      </c>
      <c r="J151" s="135">
        <v>146.29</v>
      </c>
      <c r="K151" s="135">
        <v>146.29</v>
      </c>
      <c r="L151" s="135">
        <v>5058.445</v>
      </c>
      <c r="M151" s="233">
        <v>740000</v>
      </c>
      <c r="N151" s="184">
        <v>5018</v>
      </c>
      <c r="O151" s="190"/>
      <c r="P151" s="234"/>
      <c r="Q151" s="234"/>
      <c r="R151" s="184"/>
      <c r="S151" s="185"/>
      <c r="T151" s="220"/>
      <c r="U151" s="185" t="s">
        <v>508</v>
      </c>
      <c r="V151" s="184">
        <v>10000</v>
      </c>
      <c r="W151" s="185" t="s">
        <v>3602</v>
      </c>
      <c r="X151" s="184">
        <v>60000</v>
      </c>
      <c r="Y151" s="185" t="s">
        <v>3603</v>
      </c>
      <c r="AA151" s="190"/>
      <c r="AB151" s="184"/>
      <c r="AH151" s="184">
        <f t="shared" si="12"/>
        <v>70000</v>
      </c>
      <c r="AK151" s="190">
        <f>M151-AH151</f>
        <v>670000</v>
      </c>
      <c r="AL151" s="135">
        <v>13779339862</v>
      </c>
      <c r="AO151" s="135">
        <f t="shared" si="13"/>
        <v>0</v>
      </c>
      <c r="AP151" s="166">
        <f>0.7%+0.05%+0.12%</f>
        <v>0.0087</v>
      </c>
      <c r="AQ151" s="237">
        <f t="shared" si="14"/>
        <v>0</v>
      </c>
      <c r="AR151" s="184"/>
      <c r="AS151" s="184"/>
      <c r="AT151" s="184"/>
      <c r="AU151" s="184"/>
      <c r="AV151" s="184"/>
      <c r="AW151" s="184"/>
      <c r="AX151" s="184"/>
      <c r="AY151" s="184"/>
      <c r="AZ151" s="184"/>
      <c r="BB151" s="184"/>
    </row>
    <row r="152" s="135" customFormat="1" customHeight="1" spans="1:72">
      <c r="A152" s="220">
        <v>116</v>
      </c>
      <c r="C152" s="191">
        <v>45532</v>
      </c>
      <c r="D152" s="135">
        <v>20240004924</v>
      </c>
      <c r="F152" s="834" t="s">
        <v>3604</v>
      </c>
      <c r="G152" s="135" t="s">
        <v>3605</v>
      </c>
      <c r="H152" s="834" t="s">
        <v>3606</v>
      </c>
      <c r="I152" s="135" t="s">
        <v>3607</v>
      </c>
      <c r="J152" s="135">
        <v>153.46</v>
      </c>
      <c r="K152" s="135">
        <v>153.46</v>
      </c>
      <c r="L152" s="135">
        <v>4887.27</v>
      </c>
      <c r="M152" s="233">
        <v>750000</v>
      </c>
      <c r="N152" s="184">
        <v>4887.27</v>
      </c>
      <c r="O152" s="190"/>
      <c r="P152" s="234"/>
      <c r="Q152" s="234"/>
      <c r="R152" s="184"/>
      <c r="S152" s="185"/>
      <c r="T152" s="220"/>
      <c r="U152" s="185" t="s">
        <v>590</v>
      </c>
      <c r="V152" s="184">
        <v>20000</v>
      </c>
      <c r="W152" s="185" t="s">
        <v>824</v>
      </c>
      <c r="X152" s="184">
        <v>130000</v>
      </c>
      <c r="Y152" s="243" t="s">
        <v>1145</v>
      </c>
      <c r="Z152" s="184">
        <v>600000</v>
      </c>
      <c r="AA152" s="185" t="s">
        <v>3608</v>
      </c>
      <c r="AB152" s="184"/>
      <c r="AH152" s="184">
        <f t="shared" si="12"/>
        <v>750000</v>
      </c>
      <c r="AK152" s="190">
        <f>M152-AH152</f>
        <v>0</v>
      </c>
      <c r="AL152" s="135">
        <v>19109969555</v>
      </c>
      <c r="AO152" s="135">
        <f t="shared" si="13"/>
        <v>750000</v>
      </c>
      <c r="AP152" s="166">
        <f>0.4%+0.02%+0.08%</f>
        <v>0.005</v>
      </c>
      <c r="AQ152" s="237">
        <f t="shared" si="14"/>
        <v>0</v>
      </c>
      <c r="AR152" s="184"/>
      <c r="AS152" s="184"/>
      <c r="AT152" s="184"/>
      <c r="AU152" s="184"/>
      <c r="AV152" s="184"/>
      <c r="AW152" s="184"/>
      <c r="AX152" s="184"/>
      <c r="AY152" s="184"/>
      <c r="AZ152" s="184"/>
      <c r="BB152" s="184"/>
      <c r="BL152" s="135">
        <v>150000</v>
      </c>
      <c r="BN152" s="135">
        <v>600000</v>
      </c>
      <c r="BT152" s="135" t="s">
        <v>496</v>
      </c>
    </row>
    <row r="153" s="135" customFormat="1" customHeight="1" spans="1:54">
      <c r="A153" s="220">
        <v>117</v>
      </c>
      <c r="C153" s="164"/>
      <c r="E153" s="135" t="s">
        <v>3609</v>
      </c>
      <c r="G153" s="135" t="s">
        <v>3610</v>
      </c>
      <c r="I153" s="135" t="s">
        <v>3611</v>
      </c>
      <c r="J153" s="135">
        <v>86.14</v>
      </c>
      <c r="K153" s="135">
        <v>86.14</v>
      </c>
      <c r="L153" s="135">
        <f>M153/K153</f>
        <v>4643.60343626654</v>
      </c>
      <c r="M153" s="233">
        <v>400000</v>
      </c>
      <c r="N153" s="184">
        <v>4965</v>
      </c>
      <c r="O153" s="190"/>
      <c r="P153" s="234"/>
      <c r="Q153" s="234"/>
      <c r="R153" s="184">
        <v>100000</v>
      </c>
      <c r="S153" s="185" t="s">
        <v>3324</v>
      </c>
      <c r="T153" s="220"/>
      <c r="U153" s="185"/>
      <c r="V153" s="184">
        <v>200000</v>
      </c>
      <c r="W153" s="185" t="s">
        <v>671</v>
      </c>
      <c r="X153" s="184">
        <v>37000</v>
      </c>
      <c r="Y153" s="243" t="s">
        <v>797</v>
      </c>
      <c r="Z153" s="184">
        <v>63000</v>
      </c>
      <c r="AA153" s="185" t="s">
        <v>3612</v>
      </c>
      <c r="AB153" s="184">
        <v>100000</v>
      </c>
      <c r="AC153" s="185" t="s">
        <v>3324</v>
      </c>
      <c r="AH153" s="184">
        <f t="shared" si="12"/>
        <v>400000</v>
      </c>
      <c r="AK153" s="190">
        <f>M153-AH153</f>
        <v>0</v>
      </c>
      <c r="AO153" s="135">
        <f t="shared" si="13"/>
        <v>0</v>
      </c>
      <c r="AP153" s="166"/>
      <c r="AQ153" s="237">
        <f t="shared" si="14"/>
        <v>0</v>
      </c>
      <c r="AR153" s="184"/>
      <c r="AS153" s="184"/>
      <c r="AT153" s="184"/>
      <c r="AU153" s="184"/>
      <c r="AV153" s="184"/>
      <c r="AW153" s="184"/>
      <c r="AX153" s="184"/>
      <c r="AY153" s="184"/>
      <c r="AZ153" s="184"/>
      <c r="BB153" s="184"/>
    </row>
    <row r="154" s="135" customFormat="1" customHeight="1" spans="1:73">
      <c r="A154" s="220">
        <v>118</v>
      </c>
      <c r="C154" s="191">
        <v>45419</v>
      </c>
      <c r="D154" s="135">
        <v>20240002660</v>
      </c>
      <c r="F154" s="834" t="s">
        <v>3613</v>
      </c>
      <c r="G154" s="135" t="s">
        <v>3614</v>
      </c>
      <c r="H154" s="834" t="s">
        <v>3615</v>
      </c>
      <c r="I154" s="135" t="s">
        <v>3616</v>
      </c>
      <c r="J154" s="135">
        <v>146.29</v>
      </c>
      <c r="K154" s="135">
        <v>146.29</v>
      </c>
      <c r="L154" s="135">
        <v>5092</v>
      </c>
      <c r="M154" s="233">
        <v>745000</v>
      </c>
      <c r="N154" s="184">
        <v>4955</v>
      </c>
      <c r="O154" s="190"/>
      <c r="P154" s="234"/>
      <c r="Q154" s="234"/>
      <c r="R154" s="184"/>
      <c r="S154" s="185"/>
      <c r="T154" s="220"/>
      <c r="U154" s="185" t="s">
        <v>721</v>
      </c>
      <c r="V154" s="184">
        <v>20000</v>
      </c>
      <c r="W154" s="185" t="s">
        <v>3617</v>
      </c>
      <c r="X154" s="184">
        <v>325000</v>
      </c>
      <c r="Y154" s="185" t="s">
        <v>3618</v>
      </c>
      <c r="AA154" s="190"/>
      <c r="AB154" s="184"/>
      <c r="AH154" s="184">
        <f t="shared" si="12"/>
        <v>345000</v>
      </c>
      <c r="AK154" s="190">
        <f>M154-AH154</f>
        <v>400000</v>
      </c>
      <c r="AL154" s="135">
        <v>13699332517</v>
      </c>
      <c r="AO154" s="135">
        <f t="shared" si="13"/>
        <v>345000</v>
      </c>
      <c r="AP154" s="166">
        <f>0.7%+0.05%+0.12%</f>
        <v>0.0087</v>
      </c>
      <c r="AQ154" s="237">
        <f t="shared" si="14"/>
        <v>0</v>
      </c>
      <c r="AR154" s="184"/>
      <c r="AS154" s="184"/>
      <c r="AT154" s="184"/>
      <c r="AU154" s="184"/>
      <c r="AV154" s="184"/>
      <c r="AW154" s="184"/>
      <c r="AX154" s="184"/>
      <c r="AY154" s="184"/>
      <c r="AZ154" s="184"/>
      <c r="BB154" s="184"/>
      <c r="BI154" s="135">
        <v>345000</v>
      </c>
      <c r="BT154" s="135" t="s">
        <v>496</v>
      </c>
      <c r="BU154" s="135" t="s">
        <v>506</v>
      </c>
    </row>
    <row r="155" s="135" customFormat="1" customHeight="1" spans="1:73">
      <c r="A155" s="220">
        <v>119</v>
      </c>
      <c r="C155" s="191">
        <v>45356</v>
      </c>
      <c r="D155" s="135">
        <v>20240001155</v>
      </c>
      <c r="F155" s="135" t="s">
        <v>3619</v>
      </c>
      <c r="G155" s="135" t="s">
        <v>3620</v>
      </c>
      <c r="H155" s="834" t="s">
        <v>3621</v>
      </c>
      <c r="I155" s="135" t="s">
        <v>3622</v>
      </c>
      <c r="J155" s="135">
        <v>153.46</v>
      </c>
      <c r="K155" s="135">
        <v>153.46</v>
      </c>
      <c r="L155" s="135">
        <v>5017.59</v>
      </c>
      <c r="M155" s="233">
        <v>770000</v>
      </c>
      <c r="N155" s="184">
        <v>4988</v>
      </c>
      <c r="O155" s="190"/>
      <c r="P155" s="234"/>
      <c r="Q155" s="234"/>
      <c r="R155" s="184"/>
      <c r="S155" s="185"/>
      <c r="T155" s="220"/>
      <c r="U155" s="185" t="s">
        <v>524</v>
      </c>
      <c r="V155" s="184">
        <v>10000</v>
      </c>
      <c r="W155" s="185" t="s">
        <v>586</v>
      </c>
      <c r="X155" s="184">
        <v>200000</v>
      </c>
      <c r="Y155" s="243" t="s">
        <v>586</v>
      </c>
      <c r="Z155" s="135">
        <v>560000</v>
      </c>
      <c r="AA155" s="190" t="s">
        <v>3411</v>
      </c>
      <c r="AB155" s="184"/>
      <c r="AH155" s="184">
        <f t="shared" si="12"/>
        <v>770000</v>
      </c>
      <c r="AK155" s="190">
        <f>M155-AH155</f>
        <v>0</v>
      </c>
      <c r="AL155" s="135">
        <v>15739828181</v>
      </c>
      <c r="AO155" s="135">
        <f t="shared" si="13"/>
        <v>770000</v>
      </c>
      <c r="AP155" s="166">
        <f>0.7%+0.05%+0.14%</f>
        <v>0.0089</v>
      </c>
      <c r="AQ155" s="237">
        <f t="shared" si="14"/>
        <v>0</v>
      </c>
      <c r="AR155" s="184"/>
      <c r="AS155" s="184"/>
      <c r="AT155" s="184"/>
      <c r="AU155" s="184"/>
      <c r="AV155" s="184"/>
      <c r="AW155" s="184"/>
      <c r="AX155" s="184"/>
      <c r="AY155" s="184"/>
      <c r="AZ155" s="184"/>
      <c r="BB155" s="184"/>
      <c r="BG155" s="135">
        <v>770000</v>
      </c>
      <c r="BT155" s="135" t="s">
        <v>496</v>
      </c>
      <c r="BU155" s="135" t="s">
        <v>506</v>
      </c>
    </row>
    <row r="156" s="135" customFormat="1" ht="36" customHeight="1" spans="1:73">
      <c r="A156" s="220">
        <v>120</v>
      </c>
      <c r="C156" s="191">
        <v>45465</v>
      </c>
      <c r="D156" s="135">
        <v>20240003572</v>
      </c>
      <c r="F156" s="834" t="s">
        <v>3623</v>
      </c>
      <c r="G156" s="164" t="s">
        <v>3624</v>
      </c>
      <c r="H156" s="834" t="s">
        <v>3625</v>
      </c>
      <c r="I156" s="135" t="s">
        <v>3626</v>
      </c>
      <c r="J156" s="135">
        <v>86.14</v>
      </c>
      <c r="K156" s="135">
        <v>86.14</v>
      </c>
      <c r="L156" s="190">
        <f>M156/K156</f>
        <v>4875.78360807987</v>
      </c>
      <c r="M156" s="233">
        <v>420000</v>
      </c>
      <c r="N156" s="184">
        <v>4875.78</v>
      </c>
      <c r="O156" s="190"/>
      <c r="P156" s="234"/>
      <c r="Q156" s="234"/>
      <c r="R156" s="184"/>
      <c r="S156" s="185"/>
      <c r="T156" s="220"/>
      <c r="U156" s="185" t="s">
        <v>1427</v>
      </c>
      <c r="V156" s="184">
        <v>20000</v>
      </c>
      <c r="W156" s="185" t="s">
        <v>3269</v>
      </c>
      <c r="X156" s="184">
        <v>64000</v>
      </c>
      <c r="Y156" s="243" t="s">
        <v>3603</v>
      </c>
      <c r="Z156" s="184">
        <v>336000</v>
      </c>
      <c r="AA156" s="185" t="s">
        <v>3612</v>
      </c>
      <c r="AB156" s="184"/>
      <c r="AH156" s="184">
        <f t="shared" si="12"/>
        <v>420000</v>
      </c>
      <c r="AK156" s="190">
        <f t="shared" ref="AK156:AK160" si="18">M156-AH156</f>
        <v>0</v>
      </c>
      <c r="AL156" s="135">
        <v>15999164022</v>
      </c>
      <c r="AM156" s="135" t="s">
        <v>3468</v>
      </c>
      <c r="AO156" s="135">
        <f t="shared" si="13"/>
        <v>420000</v>
      </c>
      <c r="AP156" s="166">
        <f>0.4%+0.02%+0.08%</f>
        <v>0.005</v>
      </c>
      <c r="AQ156" s="237">
        <f t="shared" si="14"/>
        <v>0</v>
      </c>
      <c r="AR156" s="184"/>
      <c r="AS156" s="184"/>
      <c r="AT156" s="184"/>
      <c r="AU156" s="184"/>
      <c r="AV156" s="184"/>
      <c r="AW156" s="184"/>
      <c r="AX156" s="184"/>
      <c r="AY156" s="184"/>
      <c r="AZ156" s="184"/>
      <c r="BB156" s="184"/>
      <c r="BJ156" s="135">
        <v>84000</v>
      </c>
      <c r="BL156" s="135">
        <v>336000</v>
      </c>
      <c r="BT156" s="135" t="s">
        <v>496</v>
      </c>
      <c r="BU156" s="135" t="s">
        <v>506</v>
      </c>
    </row>
    <row r="157" s="135" customFormat="1" customHeight="1" spans="1:73">
      <c r="A157" s="220">
        <v>121</v>
      </c>
      <c r="C157" s="191">
        <v>45401</v>
      </c>
      <c r="D157" s="135">
        <v>20240002189</v>
      </c>
      <c r="F157" s="834" t="s">
        <v>3627</v>
      </c>
      <c r="G157" s="135" t="s">
        <v>3628</v>
      </c>
      <c r="I157" s="135" t="s">
        <v>3629</v>
      </c>
      <c r="J157" s="135">
        <v>146.29</v>
      </c>
      <c r="K157" s="135">
        <v>146.29</v>
      </c>
      <c r="L157" s="135">
        <v>5000</v>
      </c>
      <c r="M157" s="233">
        <v>731450</v>
      </c>
      <c r="N157" s="184">
        <v>4998</v>
      </c>
      <c r="O157" s="190"/>
      <c r="P157" s="234"/>
      <c r="Q157" s="234"/>
      <c r="R157" s="184"/>
      <c r="S157" s="185"/>
      <c r="T157" s="220"/>
      <c r="U157" s="185" t="s">
        <v>524</v>
      </c>
      <c r="V157" s="184">
        <v>20000</v>
      </c>
      <c r="W157" s="185" t="s">
        <v>630</v>
      </c>
      <c r="X157" s="184">
        <v>151450</v>
      </c>
      <c r="Y157" s="185" t="s">
        <v>504</v>
      </c>
      <c r="Z157" s="184">
        <v>560000</v>
      </c>
      <c r="AA157" s="185" t="s">
        <v>3630</v>
      </c>
      <c r="AB157" s="184"/>
      <c r="AH157" s="184">
        <f t="shared" si="12"/>
        <v>731450</v>
      </c>
      <c r="AK157" s="190">
        <f t="shared" si="18"/>
        <v>0</v>
      </c>
      <c r="AL157" s="135">
        <v>18742874110</v>
      </c>
      <c r="AO157" s="135">
        <f t="shared" si="13"/>
        <v>731450</v>
      </c>
      <c r="AP157" s="166">
        <f>0.7%+0.05%+0.12%</f>
        <v>0.0087</v>
      </c>
      <c r="AQ157" s="237">
        <f t="shared" si="14"/>
        <v>0</v>
      </c>
      <c r="AR157" s="184"/>
      <c r="AS157" s="184"/>
      <c r="AT157" s="184"/>
      <c r="AU157" s="184"/>
      <c r="AV157" s="184"/>
      <c r="AW157" s="184"/>
      <c r="AX157" s="184"/>
      <c r="AY157" s="184"/>
      <c r="AZ157" s="184"/>
      <c r="BB157" s="184"/>
      <c r="BH157" s="135">
        <v>171450</v>
      </c>
      <c r="BK157" s="135">
        <v>560000</v>
      </c>
      <c r="BT157" s="135" t="s">
        <v>496</v>
      </c>
      <c r="BU157" s="135" t="s">
        <v>506</v>
      </c>
    </row>
    <row r="158" s="135" customFormat="1" customHeight="1" spans="1:73">
      <c r="A158" s="220">
        <v>122</v>
      </c>
      <c r="C158" s="164" t="s">
        <v>3463</v>
      </c>
      <c r="D158" s="135">
        <v>20240000535</v>
      </c>
      <c r="F158" s="135" t="s">
        <v>3631</v>
      </c>
      <c r="G158" s="135" t="s">
        <v>3632</v>
      </c>
      <c r="H158" s="834" t="s">
        <v>3633</v>
      </c>
      <c r="I158" s="135" t="s">
        <v>3634</v>
      </c>
      <c r="J158" s="135">
        <v>132.34</v>
      </c>
      <c r="K158" s="135">
        <v>132.34</v>
      </c>
      <c r="L158" s="135">
        <v>5124</v>
      </c>
      <c r="M158" s="233">
        <v>678110</v>
      </c>
      <c r="N158" s="184">
        <v>5024</v>
      </c>
      <c r="O158" s="190"/>
      <c r="P158" s="234"/>
      <c r="Q158" s="234"/>
      <c r="R158" s="184"/>
      <c r="S158" s="185"/>
      <c r="T158" s="844" t="s">
        <v>3635</v>
      </c>
      <c r="U158" s="185" t="s">
        <v>590</v>
      </c>
      <c r="V158" s="184">
        <v>2000</v>
      </c>
      <c r="W158" s="185" t="s">
        <v>1049</v>
      </c>
      <c r="X158" s="184">
        <v>18000</v>
      </c>
      <c r="Y158" s="185" t="s">
        <v>725</v>
      </c>
      <c r="Z158" s="184">
        <f>21000+37110+60000</f>
        <v>118110</v>
      </c>
      <c r="AA158" s="190" t="s">
        <v>3463</v>
      </c>
      <c r="AB158" s="184">
        <v>540000</v>
      </c>
      <c r="AC158" s="185" t="s">
        <v>699</v>
      </c>
      <c r="AH158" s="184">
        <f t="shared" si="12"/>
        <v>678110</v>
      </c>
      <c r="AK158" s="190">
        <f t="shared" si="18"/>
        <v>0</v>
      </c>
      <c r="AL158" s="135">
        <v>15099220882</v>
      </c>
      <c r="AO158" s="135">
        <f t="shared" si="13"/>
        <v>678110</v>
      </c>
      <c r="AP158" s="166">
        <f>0.4%+0.03%+0.08%</f>
        <v>0.0051</v>
      </c>
      <c r="AQ158" s="237">
        <f t="shared" si="14"/>
        <v>0</v>
      </c>
      <c r="AR158" s="184"/>
      <c r="AS158" s="184"/>
      <c r="AT158" s="184"/>
      <c r="AU158" s="184"/>
      <c r="AV158" s="184"/>
      <c r="AW158" s="184"/>
      <c r="AX158" s="184"/>
      <c r="AY158" s="184"/>
      <c r="AZ158" s="184"/>
      <c r="BB158" s="184"/>
      <c r="BE158" s="135">
        <v>138110</v>
      </c>
      <c r="BG158" s="135">
        <v>540000</v>
      </c>
      <c r="BT158" s="135" t="s">
        <v>496</v>
      </c>
      <c r="BU158" s="135" t="s">
        <v>506</v>
      </c>
    </row>
    <row r="159" s="135" customFormat="1" customHeight="1" spans="1:73">
      <c r="A159" s="220">
        <v>123</v>
      </c>
      <c r="C159" s="164" t="s">
        <v>3602</v>
      </c>
      <c r="D159" s="135">
        <v>20240001643</v>
      </c>
      <c r="F159" s="834" t="s">
        <v>3636</v>
      </c>
      <c r="G159" s="135" t="s">
        <v>3637</v>
      </c>
      <c r="I159" s="135" t="s">
        <v>3638</v>
      </c>
      <c r="J159" s="135">
        <v>86.14</v>
      </c>
      <c r="K159" s="135">
        <v>86.14</v>
      </c>
      <c r="L159" s="135">
        <f>M159/K159</f>
        <v>5107.9637798932</v>
      </c>
      <c r="M159" s="233">
        <v>440000</v>
      </c>
      <c r="N159" s="184">
        <v>5044</v>
      </c>
      <c r="O159" s="190"/>
      <c r="P159" s="234"/>
      <c r="Q159" s="234"/>
      <c r="R159" s="184"/>
      <c r="S159" s="185"/>
      <c r="T159" s="220"/>
      <c r="U159" s="185"/>
      <c r="V159" s="184">
        <f>56800-56800</f>
        <v>0</v>
      </c>
      <c r="W159" s="261" t="s">
        <v>525</v>
      </c>
      <c r="X159" s="220">
        <v>28000</v>
      </c>
      <c r="Y159" s="243" t="s">
        <v>3602</v>
      </c>
      <c r="Z159" s="184">
        <v>62000</v>
      </c>
      <c r="AA159" s="185" t="s">
        <v>3639</v>
      </c>
      <c r="AB159" s="184">
        <v>350000</v>
      </c>
      <c r="AC159" s="185" t="s">
        <v>717</v>
      </c>
      <c r="AH159" s="184">
        <f t="shared" si="12"/>
        <v>440000</v>
      </c>
      <c r="AK159" s="190">
        <f t="shared" si="18"/>
        <v>0</v>
      </c>
      <c r="AL159" s="135">
        <v>17399136763</v>
      </c>
      <c r="AO159" s="135">
        <f t="shared" si="13"/>
        <v>440000</v>
      </c>
      <c r="AP159" s="166">
        <f>0.7%+0.05%+0.12%</f>
        <v>0.0087</v>
      </c>
      <c r="AQ159" s="237">
        <f t="shared" si="14"/>
        <v>0</v>
      </c>
      <c r="AR159" s="184"/>
      <c r="AS159" s="184"/>
      <c r="AT159" s="184"/>
      <c r="AU159" s="184"/>
      <c r="AV159" s="184"/>
      <c r="AW159" s="184"/>
      <c r="AX159" s="184"/>
      <c r="AY159" s="184"/>
      <c r="AZ159" s="184"/>
      <c r="BB159" s="184"/>
      <c r="BH159" s="135">
        <v>90000</v>
      </c>
      <c r="BI159" s="135">
        <v>350000</v>
      </c>
      <c r="BT159" s="135" t="s">
        <v>496</v>
      </c>
      <c r="BU159" s="135" t="s">
        <v>506</v>
      </c>
    </row>
    <row r="160" s="135" customFormat="1" ht="51" customHeight="1" spans="1:73">
      <c r="A160" s="220">
        <v>124</v>
      </c>
      <c r="C160" s="164" t="s">
        <v>3463</v>
      </c>
      <c r="D160" s="135">
        <v>20240000533</v>
      </c>
      <c r="F160" s="834" t="s">
        <v>3640</v>
      </c>
      <c r="G160" s="164" t="s">
        <v>3641</v>
      </c>
      <c r="H160" s="834" t="s">
        <v>3642</v>
      </c>
      <c r="I160" s="135" t="s">
        <v>3643</v>
      </c>
      <c r="J160" s="135">
        <v>126.97</v>
      </c>
      <c r="K160" s="135">
        <v>126.97</v>
      </c>
      <c r="L160" s="135">
        <v>5158.69</v>
      </c>
      <c r="M160" s="233">
        <v>655000</v>
      </c>
      <c r="N160" s="184">
        <v>5034</v>
      </c>
      <c r="O160" s="190"/>
      <c r="P160" s="234"/>
      <c r="Q160" s="234"/>
      <c r="R160" s="184"/>
      <c r="S160" s="185"/>
      <c r="T160" s="262" t="s">
        <v>3644</v>
      </c>
      <c r="U160" s="261" t="s">
        <v>3645</v>
      </c>
      <c r="V160" s="184">
        <f>2000-2000</f>
        <v>0</v>
      </c>
      <c r="W160" s="185" t="s">
        <v>527</v>
      </c>
      <c r="X160" s="184">
        <v>20000</v>
      </c>
      <c r="Y160" s="185" t="s">
        <v>1567</v>
      </c>
      <c r="Z160" s="135">
        <v>45000</v>
      </c>
      <c r="AA160" s="190" t="s">
        <v>3463</v>
      </c>
      <c r="AB160" s="184">
        <v>240000</v>
      </c>
      <c r="AC160" s="135" t="s">
        <v>3463</v>
      </c>
      <c r="AD160" s="184">
        <v>350000</v>
      </c>
      <c r="AE160" s="185" t="s">
        <v>962</v>
      </c>
      <c r="AH160" s="184">
        <f t="shared" si="12"/>
        <v>655000</v>
      </c>
      <c r="AK160" s="190">
        <f t="shared" si="18"/>
        <v>0</v>
      </c>
      <c r="AL160" s="135">
        <v>13345457989</v>
      </c>
      <c r="AO160" s="135">
        <f t="shared" si="13"/>
        <v>655000</v>
      </c>
      <c r="AP160" s="166">
        <f>0.7%+0.04%+0.12%</f>
        <v>0.0086</v>
      </c>
      <c r="AQ160" s="237">
        <f t="shared" si="14"/>
        <v>0</v>
      </c>
      <c r="AR160" s="184"/>
      <c r="AS160" s="184"/>
      <c r="AT160" s="184"/>
      <c r="AU160" s="184"/>
      <c r="AV160" s="184"/>
      <c r="AW160" s="184"/>
      <c r="AX160" s="184"/>
      <c r="AY160" s="184"/>
      <c r="AZ160" s="184"/>
      <c r="BB160" s="184"/>
      <c r="BE160" s="135">
        <v>305000</v>
      </c>
      <c r="BF160" s="135">
        <v>350000</v>
      </c>
      <c r="BT160" s="135" t="s">
        <v>496</v>
      </c>
      <c r="BU160" s="135" t="s">
        <v>506</v>
      </c>
    </row>
    <row r="161" s="135" customFormat="1" customHeight="1" spans="1:73">
      <c r="A161" s="220">
        <v>125</v>
      </c>
      <c r="C161" s="191">
        <v>45293</v>
      </c>
      <c r="D161" s="135">
        <v>20240000015</v>
      </c>
      <c r="F161" s="834" t="s">
        <v>3646</v>
      </c>
      <c r="G161" s="135" t="s">
        <v>3647</v>
      </c>
      <c r="H161" s="834" t="s">
        <v>3648</v>
      </c>
      <c r="I161" s="135" t="s">
        <v>3649</v>
      </c>
      <c r="J161" s="135">
        <v>132.34</v>
      </c>
      <c r="K161" s="135">
        <v>132.34</v>
      </c>
      <c r="L161" s="135">
        <v>5175</v>
      </c>
      <c r="M161" s="233">
        <v>684860</v>
      </c>
      <c r="N161" s="184">
        <v>5075</v>
      </c>
      <c r="O161" s="190"/>
      <c r="P161" s="234"/>
      <c r="Q161" s="234"/>
      <c r="R161" s="184"/>
      <c r="S161" s="185"/>
      <c r="T161" s="844" t="s">
        <v>2440</v>
      </c>
      <c r="U161" s="185" t="s">
        <v>721</v>
      </c>
      <c r="V161" s="184">
        <v>10000</v>
      </c>
      <c r="W161" s="185" t="s">
        <v>661</v>
      </c>
      <c r="X161" s="184">
        <v>340000</v>
      </c>
      <c r="Y161" s="185" t="s">
        <v>732</v>
      </c>
      <c r="AA161" s="190"/>
      <c r="AB161" s="184"/>
      <c r="AH161" s="184">
        <f t="shared" si="12"/>
        <v>350000</v>
      </c>
      <c r="AK161" s="190">
        <f t="shared" ref="AK161:AK166" si="19">M161-AH161</f>
        <v>334860</v>
      </c>
      <c r="AL161" s="135">
        <v>19999465615</v>
      </c>
      <c r="AO161" s="135">
        <f t="shared" si="13"/>
        <v>0</v>
      </c>
      <c r="AP161" s="166">
        <f>0.4%+0.02%+0.08%</f>
        <v>0.005</v>
      </c>
      <c r="AQ161" s="237">
        <f t="shared" si="14"/>
        <v>0</v>
      </c>
      <c r="AR161" s="184"/>
      <c r="AS161" s="184"/>
      <c r="AT161" s="184"/>
      <c r="AU161" s="184"/>
      <c r="AV161" s="184"/>
      <c r="AW161" s="184"/>
      <c r="AX161" s="184"/>
      <c r="AY161" s="184"/>
      <c r="AZ161" s="184"/>
      <c r="BB161" s="184"/>
      <c r="BT161" s="135" t="s">
        <v>496</v>
      </c>
      <c r="BU161" s="135" t="s">
        <v>506</v>
      </c>
    </row>
    <row r="162" s="135" customFormat="1" customHeight="1" spans="1:73">
      <c r="A162" s="220">
        <v>126</v>
      </c>
      <c r="C162" s="164" t="s">
        <v>3443</v>
      </c>
      <c r="D162" s="135">
        <v>20240000869</v>
      </c>
      <c r="F162" s="834" t="s">
        <v>3650</v>
      </c>
      <c r="G162" s="135" t="s">
        <v>3651</v>
      </c>
      <c r="I162" s="135" t="s">
        <v>3652</v>
      </c>
      <c r="J162" s="135">
        <v>86.14</v>
      </c>
      <c r="K162" s="135">
        <v>86.14</v>
      </c>
      <c r="L162" s="135">
        <v>5205</v>
      </c>
      <c r="M162" s="233">
        <v>448359</v>
      </c>
      <c r="N162" s="184">
        <v>5105</v>
      </c>
      <c r="O162" s="190"/>
      <c r="P162" s="234"/>
      <c r="Q162" s="234"/>
      <c r="R162" s="184"/>
      <c r="S162" s="185"/>
      <c r="T162" s="844" t="s">
        <v>3653</v>
      </c>
      <c r="U162" s="185" t="s">
        <v>508</v>
      </c>
      <c r="V162" s="184">
        <v>2000</v>
      </c>
      <c r="W162" s="185" t="s">
        <v>806</v>
      </c>
      <c r="X162" s="184">
        <v>18000</v>
      </c>
      <c r="Y162" s="243" t="s">
        <v>687</v>
      </c>
      <c r="Z162" s="184">
        <v>128359</v>
      </c>
      <c r="AA162" s="185" t="s">
        <v>3443</v>
      </c>
      <c r="AB162" s="184">
        <v>200000</v>
      </c>
      <c r="AC162" s="135" t="s">
        <v>993</v>
      </c>
      <c r="AD162" s="184">
        <v>100000</v>
      </c>
      <c r="AE162" s="185" t="s">
        <v>3654</v>
      </c>
      <c r="AH162" s="184">
        <f t="shared" si="12"/>
        <v>448359</v>
      </c>
      <c r="AK162" s="190">
        <f t="shared" si="19"/>
        <v>0</v>
      </c>
      <c r="AL162" s="135">
        <v>18699679191</v>
      </c>
      <c r="AO162" s="135">
        <f t="shared" si="13"/>
        <v>448359</v>
      </c>
      <c r="AP162" s="166">
        <f>0.4%+0.02%+0.08%</f>
        <v>0.005</v>
      </c>
      <c r="AQ162" s="237">
        <f t="shared" si="14"/>
        <v>0</v>
      </c>
      <c r="AR162" s="184"/>
      <c r="AS162" s="184"/>
      <c r="AT162" s="184"/>
      <c r="AU162" s="184"/>
      <c r="AV162" s="184"/>
      <c r="AW162" s="184"/>
      <c r="AX162" s="184"/>
      <c r="AY162" s="184"/>
      <c r="AZ162" s="184"/>
      <c r="BB162" s="184"/>
      <c r="BF162" s="135">
        <v>348359</v>
      </c>
      <c r="BG162" s="135">
        <v>100000</v>
      </c>
      <c r="BT162" s="135" t="s">
        <v>496</v>
      </c>
      <c r="BU162" s="135" t="s">
        <v>506</v>
      </c>
    </row>
    <row r="163" s="135" customFormat="1" customHeight="1" spans="1:73">
      <c r="A163" s="220">
        <v>127</v>
      </c>
      <c r="C163" s="191">
        <v>45374</v>
      </c>
      <c r="D163" s="135">
        <v>20240001570</v>
      </c>
      <c r="F163" s="834" t="s">
        <v>3655</v>
      </c>
      <c r="G163" s="135" t="s">
        <v>3656</v>
      </c>
      <c r="H163" s="834" t="s">
        <v>3657</v>
      </c>
      <c r="I163" s="135" t="s">
        <v>3658</v>
      </c>
      <c r="J163" s="135">
        <v>126.97</v>
      </c>
      <c r="K163" s="135">
        <v>126.97</v>
      </c>
      <c r="L163" s="135">
        <v>5198</v>
      </c>
      <c r="M163" s="233">
        <v>660000</v>
      </c>
      <c r="N163" s="184">
        <v>5085</v>
      </c>
      <c r="O163" s="190"/>
      <c r="P163" s="234"/>
      <c r="Q163" s="234"/>
      <c r="R163" s="184"/>
      <c r="S163" s="185"/>
      <c r="T163" s="220"/>
      <c r="U163" s="185" t="s">
        <v>524</v>
      </c>
      <c r="V163" s="184">
        <v>10000</v>
      </c>
      <c r="W163" s="185" t="s">
        <v>3659</v>
      </c>
      <c r="X163" s="184">
        <v>3000</v>
      </c>
      <c r="Y163" s="243" t="s">
        <v>1109</v>
      </c>
      <c r="Z163" s="184">
        <v>147000</v>
      </c>
      <c r="AA163" s="185" t="s">
        <v>795</v>
      </c>
      <c r="AB163" s="184">
        <v>500000</v>
      </c>
      <c r="AC163" s="185" t="s">
        <v>717</v>
      </c>
      <c r="AH163" s="184">
        <f t="shared" si="12"/>
        <v>660000</v>
      </c>
      <c r="AK163" s="190">
        <f t="shared" si="19"/>
        <v>0</v>
      </c>
      <c r="AL163" s="135">
        <v>13399968391</v>
      </c>
      <c r="AO163" s="135">
        <f t="shared" si="13"/>
        <v>660000</v>
      </c>
      <c r="AP163" s="166">
        <f>0.7%+0.05%+0.12%</f>
        <v>0.0087</v>
      </c>
      <c r="AQ163" s="237">
        <f t="shared" si="14"/>
        <v>0</v>
      </c>
      <c r="AR163" s="184"/>
      <c r="AS163" s="184"/>
      <c r="AT163" s="184"/>
      <c r="AU163" s="184"/>
      <c r="AV163" s="184"/>
      <c r="AW163" s="184"/>
      <c r="AX163" s="184"/>
      <c r="AY163" s="184"/>
      <c r="AZ163" s="184"/>
      <c r="BB163" s="184"/>
      <c r="BH163" s="135">
        <v>160000</v>
      </c>
      <c r="BI163" s="135">
        <v>500000</v>
      </c>
      <c r="BT163" s="135" t="s">
        <v>496</v>
      </c>
      <c r="BU163" s="135" t="s">
        <v>506</v>
      </c>
    </row>
    <row r="164" s="135" customFormat="1" customHeight="1" spans="1:73">
      <c r="A164" s="220">
        <v>128</v>
      </c>
      <c r="C164" s="164" t="s">
        <v>752</v>
      </c>
      <c r="D164" s="135">
        <v>20240000614</v>
      </c>
      <c r="F164" s="834" t="s">
        <v>3660</v>
      </c>
      <c r="G164" s="135" t="s">
        <v>3661</v>
      </c>
      <c r="H164" s="834" t="s">
        <v>3662</v>
      </c>
      <c r="I164" s="135" t="s">
        <v>3663</v>
      </c>
      <c r="J164" s="135">
        <v>132.34</v>
      </c>
      <c r="K164" s="135">
        <v>132.34</v>
      </c>
      <c r="L164" s="135">
        <v>5235</v>
      </c>
      <c r="M164" s="233">
        <v>692800</v>
      </c>
      <c r="N164" s="184">
        <v>5135</v>
      </c>
      <c r="O164" s="190"/>
      <c r="P164" s="234"/>
      <c r="Q164" s="234"/>
      <c r="R164" s="184"/>
      <c r="S164" s="185"/>
      <c r="T164" s="220"/>
      <c r="U164" s="185"/>
      <c r="V164" s="184">
        <v>20000</v>
      </c>
      <c r="W164" s="185" t="s">
        <v>732</v>
      </c>
      <c r="X164" s="184">
        <v>122800</v>
      </c>
      <c r="Y164" s="243" t="s">
        <v>752</v>
      </c>
      <c r="Z164" s="184">
        <v>20000</v>
      </c>
      <c r="AA164" s="185" t="s">
        <v>630</v>
      </c>
      <c r="AB164" s="184">
        <v>530000</v>
      </c>
      <c r="AC164" s="185" t="s">
        <v>503</v>
      </c>
      <c r="AH164" s="184">
        <f t="shared" si="12"/>
        <v>692800</v>
      </c>
      <c r="AK164" s="190">
        <f t="shared" si="19"/>
        <v>0</v>
      </c>
      <c r="AL164" s="135">
        <v>19999761588</v>
      </c>
      <c r="AO164" s="135">
        <f t="shared" si="13"/>
        <v>692800</v>
      </c>
      <c r="AP164" s="166">
        <f>0.6%+0.12%</f>
        <v>0.0072</v>
      </c>
      <c r="AQ164" s="237">
        <f t="shared" si="14"/>
        <v>0</v>
      </c>
      <c r="AR164" s="184"/>
      <c r="AS164" s="184"/>
      <c r="AT164" s="184"/>
      <c r="AU164" s="184"/>
      <c r="AV164" s="184"/>
      <c r="AW164" s="184"/>
      <c r="AX164" s="184"/>
      <c r="AY164" s="184"/>
      <c r="AZ164" s="184"/>
      <c r="BB164" s="184"/>
      <c r="BE164" s="135">
        <v>142800</v>
      </c>
      <c r="BH164" s="135">
        <v>550000</v>
      </c>
      <c r="BT164" s="135" t="s">
        <v>496</v>
      </c>
      <c r="BU164" s="135" t="s">
        <v>506</v>
      </c>
    </row>
    <row r="165" s="135" customFormat="1" customHeight="1" spans="1:73">
      <c r="A165" s="220">
        <v>129</v>
      </c>
      <c r="C165" s="164" t="s">
        <v>3664</v>
      </c>
      <c r="D165" s="135">
        <v>20240001771</v>
      </c>
      <c r="F165" s="834" t="s">
        <v>3665</v>
      </c>
      <c r="G165" s="135" t="s">
        <v>3666</v>
      </c>
      <c r="I165" s="135" t="s">
        <v>3667</v>
      </c>
      <c r="J165" s="135">
        <v>86.14</v>
      </c>
      <c r="K165" s="135">
        <v>86.14</v>
      </c>
      <c r="L165" s="135">
        <v>5282.099</v>
      </c>
      <c r="M165" s="233">
        <v>455000</v>
      </c>
      <c r="N165" s="184">
        <v>5185</v>
      </c>
      <c r="O165" s="190"/>
      <c r="P165" s="234"/>
      <c r="Q165" s="234"/>
      <c r="R165" s="184"/>
      <c r="S165" s="185"/>
      <c r="T165" s="220"/>
      <c r="U165" s="185" t="s">
        <v>524</v>
      </c>
      <c r="V165" s="184">
        <v>5000</v>
      </c>
      <c r="W165" s="185" t="s">
        <v>716</v>
      </c>
      <c r="X165" s="184">
        <v>450000</v>
      </c>
      <c r="Y165" s="243" t="s">
        <v>3668</v>
      </c>
      <c r="AA165" s="190"/>
      <c r="AB165" s="184"/>
      <c r="AH165" s="184">
        <f t="shared" si="12"/>
        <v>455000</v>
      </c>
      <c r="AK165" s="190">
        <f t="shared" si="19"/>
        <v>0</v>
      </c>
      <c r="AL165" s="135">
        <v>15099469395</v>
      </c>
      <c r="AO165" s="135">
        <f t="shared" si="13"/>
        <v>455000</v>
      </c>
      <c r="AP165" s="166">
        <f>0.7%+0.05%+0.12%</f>
        <v>0.0087</v>
      </c>
      <c r="AQ165" s="237">
        <f t="shared" si="14"/>
        <v>0</v>
      </c>
      <c r="AR165" s="184"/>
      <c r="AS165" s="184"/>
      <c r="AT165" s="184"/>
      <c r="AU165" s="184"/>
      <c r="AV165" s="184"/>
      <c r="AW165" s="184"/>
      <c r="AX165" s="184"/>
      <c r="AY165" s="184"/>
      <c r="AZ165" s="184"/>
      <c r="BB165" s="184"/>
      <c r="BH165" s="135">
        <v>455000</v>
      </c>
      <c r="BT165" s="135" t="s">
        <v>496</v>
      </c>
      <c r="BU165" s="135" t="s">
        <v>506</v>
      </c>
    </row>
    <row r="166" s="135" customFormat="1" customHeight="1" spans="1:73">
      <c r="A166" s="220">
        <v>130</v>
      </c>
      <c r="C166" s="191">
        <v>45355</v>
      </c>
      <c r="D166" s="135">
        <v>20240001126</v>
      </c>
      <c r="F166" s="834" t="s">
        <v>3669</v>
      </c>
      <c r="G166" s="135" t="s">
        <v>3670</v>
      </c>
      <c r="H166" s="834" t="s">
        <v>3671</v>
      </c>
      <c r="I166" s="135" t="s">
        <v>3672</v>
      </c>
      <c r="J166" s="135">
        <v>126.97</v>
      </c>
      <c r="K166" s="135">
        <v>126.97</v>
      </c>
      <c r="L166" s="135">
        <v>5235</v>
      </c>
      <c r="M166" s="233">
        <v>664688</v>
      </c>
      <c r="N166" s="184">
        <v>5145</v>
      </c>
      <c r="O166" s="190"/>
      <c r="P166" s="234"/>
      <c r="Q166" s="234"/>
      <c r="R166" s="184"/>
      <c r="S166" s="185"/>
      <c r="T166" s="220"/>
      <c r="U166" s="185" t="s">
        <v>502</v>
      </c>
      <c r="V166" s="184">
        <v>20000</v>
      </c>
      <c r="W166" s="185" t="s">
        <v>962</v>
      </c>
      <c r="X166" s="184">
        <v>244688</v>
      </c>
      <c r="Y166" s="185" t="s">
        <v>3478</v>
      </c>
      <c r="Z166" s="184">
        <v>400000</v>
      </c>
      <c r="AA166" s="185" t="s">
        <v>1259</v>
      </c>
      <c r="AB166" s="184"/>
      <c r="AH166" s="184">
        <f t="shared" si="12"/>
        <v>664688</v>
      </c>
      <c r="AK166" s="190">
        <f t="shared" si="19"/>
        <v>0</v>
      </c>
      <c r="AL166" s="135">
        <v>15099495165</v>
      </c>
      <c r="AO166" s="135">
        <f t="shared" si="13"/>
        <v>664688</v>
      </c>
      <c r="AP166" s="166">
        <f>0.5%+0.14%</f>
        <v>0.0064</v>
      </c>
      <c r="AQ166" s="237">
        <f t="shared" si="14"/>
        <v>0</v>
      </c>
      <c r="AR166" s="184"/>
      <c r="AS166" s="184"/>
      <c r="AT166" s="184"/>
      <c r="AU166" s="184"/>
      <c r="AV166" s="184"/>
      <c r="AW166" s="184"/>
      <c r="AX166" s="184"/>
      <c r="AY166" s="184"/>
      <c r="AZ166" s="184"/>
      <c r="BB166" s="184"/>
      <c r="BG166" s="135">
        <v>264688</v>
      </c>
      <c r="BH166" s="135">
        <v>400000</v>
      </c>
      <c r="BT166" s="135" t="s">
        <v>496</v>
      </c>
      <c r="BU166" s="135" t="s">
        <v>506</v>
      </c>
    </row>
    <row r="167" s="135" customFormat="1" customHeight="1" spans="1:73">
      <c r="A167" s="220">
        <v>131</v>
      </c>
      <c r="C167" s="164" t="s">
        <v>3495</v>
      </c>
      <c r="D167" s="135">
        <v>20240000357</v>
      </c>
      <c r="F167" s="834" t="s">
        <v>3673</v>
      </c>
      <c r="G167" s="135" t="s">
        <v>3674</v>
      </c>
      <c r="H167" s="834" t="s">
        <v>3675</v>
      </c>
      <c r="I167" s="135" t="s">
        <v>3676</v>
      </c>
      <c r="J167" s="135">
        <v>132.34</v>
      </c>
      <c r="K167" s="135">
        <v>132.34</v>
      </c>
      <c r="L167" s="135">
        <v>5237</v>
      </c>
      <c r="M167" s="233">
        <v>693065</v>
      </c>
      <c r="N167" s="184">
        <v>5187</v>
      </c>
      <c r="O167" s="190"/>
      <c r="P167" s="234"/>
      <c r="Q167" s="234"/>
      <c r="R167" s="184"/>
      <c r="S167" s="185"/>
      <c r="T167" s="844" t="s">
        <v>3677</v>
      </c>
      <c r="U167" s="185" t="s">
        <v>2249</v>
      </c>
      <c r="V167" s="184">
        <v>2000</v>
      </c>
      <c r="W167" s="185" t="s">
        <v>2072</v>
      </c>
      <c r="X167" s="184">
        <v>18000</v>
      </c>
      <c r="Y167" s="185" t="s">
        <v>687</v>
      </c>
      <c r="Z167" s="184">
        <v>170065</v>
      </c>
      <c r="AA167" s="185" t="s">
        <v>3495</v>
      </c>
      <c r="AB167" s="184">
        <v>10000</v>
      </c>
      <c r="AC167" s="135" t="s">
        <v>3678</v>
      </c>
      <c r="AD167" s="184">
        <v>493000</v>
      </c>
      <c r="AE167" s="185" t="s">
        <v>630</v>
      </c>
      <c r="AH167" s="184">
        <f t="shared" si="12"/>
        <v>693065</v>
      </c>
      <c r="AK167" s="190">
        <f t="shared" ref="AK167:AK172" si="20">M167-AH167</f>
        <v>0</v>
      </c>
      <c r="AL167" s="135">
        <v>17609941943</v>
      </c>
      <c r="AO167" s="135">
        <f t="shared" si="13"/>
        <v>693065</v>
      </c>
      <c r="AP167" s="166">
        <f>0.4%+0.02%+0.08%</f>
        <v>0.005</v>
      </c>
      <c r="AQ167" s="237">
        <f t="shared" si="14"/>
        <v>0</v>
      </c>
      <c r="AR167" s="184"/>
      <c r="AS167" s="184"/>
      <c r="AT167" s="184"/>
      <c r="AU167" s="184"/>
      <c r="AV167" s="184"/>
      <c r="AW167" s="184"/>
      <c r="AX167" s="184"/>
      <c r="AY167" s="184"/>
      <c r="AZ167" s="184"/>
      <c r="BB167" s="184"/>
      <c r="BE167" s="135">
        <v>200065</v>
      </c>
      <c r="BG167" s="135">
        <v>493000</v>
      </c>
      <c r="BT167" s="135" t="s">
        <v>496</v>
      </c>
      <c r="BU167" s="135" t="s">
        <v>506</v>
      </c>
    </row>
    <row r="168" s="135" customFormat="1" customHeight="1" spans="1:73">
      <c r="A168" s="220">
        <v>132</v>
      </c>
      <c r="C168" s="191">
        <v>45345</v>
      </c>
      <c r="D168" s="135">
        <v>20240000937</v>
      </c>
      <c r="F168" s="834" t="s">
        <v>3679</v>
      </c>
      <c r="G168" s="135" t="s">
        <v>3680</v>
      </c>
      <c r="H168" s="834" t="s">
        <v>3681</v>
      </c>
      <c r="I168" s="135" t="s">
        <v>3682</v>
      </c>
      <c r="J168" s="135">
        <v>86.14</v>
      </c>
      <c r="K168" s="135">
        <v>86.14</v>
      </c>
      <c r="L168" s="135">
        <v>5340.14</v>
      </c>
      <c r="M168" s="233">
        <v>460000</v>
      </c>
      <c r="N168" s="184">
        <v>5247</v>
      </c>
      <c r="O168" s="190"/>
      <c r="P168" s="234"/>
      <c r="Q168" s="234"/>
      <c r="R168" s="184"/>
      <c r="S168" s="185"/>
      <c r="T168" s="220"/>
      <c r="U168" s="185" t="s">
        <v>508</v>
      </c>
      <c r="V168" s="184">
        <v>20000</v>
      </c>
      <c r="W168" s="185" t="s">
        <v>962</v>
      </c>
      <c r="X168" s="184">
        <v>280000</v>
      </c>
      <c r="Y168" s="243" t="s">
        <v>3683</v>
      </c>
      <c r="Z168" s="184">
        <v>160000</v>
      </c>
      <c r="AA168" s="185" t="s">
        <v>1109</v>
      </c>
      <c r="AB168" s="184"/>
      <c r="AH168" s="184">
        <f t="shared" si="12"/>
        <v>460000</v>
      </c>
      <c r="AK168" s="190">
        <f t="shared" si="20"/>
        <v>0</v>
      </c>
      <c r="AL168" s="135">
        <v>16609967350</v>
      </c>
      <c r="AO168" s="135">
        <f t="shared" si="13"/>
        <v>460000</v>
      </c>
      <c r="AP168" s="166">
        <f>0.6%+0.05%+0.14%</f>
        <v>0.0079</v>
      </c>
      <c r="AQ168" s="237">
        <f t="shared" si="14"/>
        <v>0</v>
      </c>
      <c r="AR168" s="184"/>
      <c r="AS168" s="184"/>
      <c r="AT168" s="184"/>
      <c r="AU168" s="184"/>
      <c r="AV168" s="184"/>
      <c r="AW168" s="184"/>
      <c r="AX168" s="184"/>
      <c r="AY168" s="184"/>
      <c r="AZ168" s="184"/>
      <c r="BB168" s="184"/>
      <c r="BG168" s="135">
        <v>460000</v>
      </c>
      <c r="BT168" s="135" t="s">
        <v>496</v>
      </c>
      <c r="BU168" s="135" t="s">
        <v>506</v>
      </c>
    </row>
    <row r="169" s="135" customFormat="1" customHeight="1" spans="1:73">
      <c r="A169" s="220">
        <v>133</v>
      </c>
      <c r="C169" s="164" t="s">
        <v>1109</v>
      </c>
      <c r="D169" s="135">
        <v>20240001569</v>
      </c>
      <c r="F169" s="834" t="s">
        <v>3684</v>
      </c>
      <c r="G169" s="135" t="s">
        <v>3685</v>
      </c>
      <c r="H169" s="834" t="s">
        <v>3686</v>
      </c>
      <c r="I169" s="135" t="s">
        <v>3687</v>
      </c>
      <c r="J169" s="135">
        <v>126.97</v>
      </c>
      <c r="K169" s="135">
        <v>126.97</v>
      </c>
      <c r="L169" s="135">
        <v>5261.05</v>
      </c>
      <c r="M169" s="233">
        <v>668000</v>
      </c>
      <c r="N169" s="184">
        <v>5197</v>
      </c>
      <c r="O169" s="190"/>
      <c r="P169" s="234"/>
      <c r="Q169" s="234"/>
      <c r="R169" s="184"/>
      <c r="S169" s="185"/>
      <c r="T169" s="220"/>
      <c r="U169" s="185" t="s">
        <v>709</v>
      </c>
      <c r="V169" s="184">
        <v>20000</v>
      </c>
      <c r="W169" s="185" t="s">
        <v>3688</v>
      </c>
      <c r="X169" s="184">
        <v>188000</v>
      </c>
      <c r="Y169" s="243" t="s">
        <v>1109</v>
      </c>
      <c r="Z169" s="184">
        <v>130000</v>
      </c>
      <c r="AA169" s="185" t="s">
        <v>3689</v>
      </c>
      <c r="AB169" s="184">
        <v>330000</v>
      </c>
      <c r="AC169" s="135" t="s">
        <v>504</v>
      </c>
      <c r="AH169" s="184">
        <f t="shared" si="12"/>
        <v>668000</v>
      </c>
      <c r="AK169" s="190">
        <f t="shared" si="20"/>
        <v>0</v>
      </c>
      <c r="AL169" s="135">
        <v>13709956017</v>
      </c>
      <c r="AO169" s="135">
        <f t="shared" si="13"/>
        <v>668000</v>
      </c>
      <c r="AP169" s="166">
        <f>0.4%+0.12%</f>
        <v>0.0052</v>
      </c>
      <c r="AQ169" s="237">
        <f t="shared" si="14"/>
        <v>0</v>
      </c>
      <c r="AR169" s="184"/>
      <c r="AS169" s="184"/>
      <c r="AT169" s="184"/>
      <c r="AU169" s="184"/>
      <c r="AV169" s="184"/>
      <c r="AW169" s="184"/>
      <c r="AX169" s="184"/>
      <c r="AY169" s="184"/>
      <c r="AZ169" s="184"/>
      <c r="BB169" s="184"/>
      <c r="BH169" s="135">
        <v>668000</v>
      </c>
      <c r="BT169" s="135" t="s">
        <v>496</v>
      </c>
      <c r="BU169" s="135" t="s">
        <v>506</v>
      </c>
    </row>
    <row r="170" s="135" customFormat="1" customHeight="1" spans="1:73">
      <c r="A170" s="220">
        <v>134</v>
      </c>
      <c r="C170" s="164" t="s">
        <v>3690</v>
      </c>
      <c r="D170" s="135">
        <v>20240000403</v>
      </c>
      <c r="F170" s="834" t="s">
        <v>3691</v>
      </c>
      <c r="G170" s="135" t="s">
        <v>3692</v>
      </c>
      <c r="H170" s="834" t="s">
        <v>3693</v>
      </c>
      <c r="I170" s="135" t="s">
        <v>3694</v>
      </c>
      <c r="J170" s="135">
        <v>132.34</v>
      </c>
      <c r="K170" s="135">
        <v>132.34</v>
      </c>
      <c r="L170" s="135">
        <v>5236.51</v>
      </c>
      <c r="M170" s="233">
        <v>693000</v>
      </c>
      <c r="N170" s="184">
        <v>5217</v>
      </c>
      <c r="O170" s="190"/>
      <c r="P170" s="234"/>
      <c r="Q170" s="234"/>
      <c r="R170" s="184"/>
      <c r="S170" s="185"/>
      <c r="T170" s="220"/>
      <c r="U170" s="185" t="s">
        <v>515</v>
      </c>
      <c r="V170" s="184">
        <v>20000</v>
      </c>
      <c r="W170" s="185" t="s">
        <v>687</v>
      </c>
      <c r="X170" s="184">
        <v>203000</v>
      </c>
      <c r="Y170" s="185" t="s">
        <v>3690</v>
      </c>
      <c r="Z170" s="135">
        <v>80000</v>
      </c>
      <c r="AA170" s="190" t="s">
        <v>3695</v>
      </c>
      <c r="AB170" s="184">
        <v>390000</v>
      </c>
      <c r="AC170" s="185" t="s">
        <v>700</v>
      </c>
      <c r="AH170" s="184">
        <f t="shared" si="12"/>
        <v>693000</v>
      </c>
      <c r="AK170" s="190">
        <f t="shared" si="20"/>
        <v>0</v>
      </c>
      <c r="AL170" s="135">
        <v>18793106742</v>
      </c>
      <c r="AO170" s="135">
        <f t="shared" si="13"/>
        <v>693000</v>
      </c>
      <c r="AP170" s="166">
        <f>0.5%+0.02%+0.08%</f>
        <v>0.006</v>
      </c>
      <c r="AQ170" s="237">
        <f t="shared" si="14"/>
        <v>0</v>
      </c>
      <c r="AR170" s="184"/>
      <c r="AS170" s="184"/>
      <c r="AT170" s="184"/>
      <c r="AU170" s="184"/>
      <c r="AV170" s="184"/>
      <c r="AW170" s="184"/>
      <c r="AX170" s="184"/>
      <c r="AY170" s="184"/>
      <c r="AZ170" s="184"/>
      <c r="BB170" s="184"/>
      <c r="BE170" s="135">
        <v>303000</v>
      </c>
      <c r="BG170" s="135">
        <v>390000</v>
      </c>
      <c r="BT170" s="135" t="s">
        <v>496</v>
      </c>
      <c r="BU170" s="135" t="s">
        <v>506</v>
      </c>
    </row>
    <row r="171" s="135" customFormat="1" customHeight="1" spans="1:54">
      <c r="A171" s="220">
        <v>135</v>
      </c>
      <c r="C171" s="164"/>
      <c r="G171" s="164" t="s">
        <v>3696</v>
      </c>
      <c r="H171" s="164" t="s">
        <v>3697</v>
      </c>
      <c r="I171" s="135" t="s">
        <v>3698</v>
      </c>
      <c r="J171" s="135">
        <v>86.14</v>
      </c>
      <c r="K171" s="135">
        <v>86.14</v>
      </c>
      <c r="L171" s="135">
        <f>M171/K171</f>
        <v>5456.23403761319</v>
      </c>
      <c r="M171" s="233">
        <f>251070+218930</f>
        <v>470000</v>
      </c>
      <c r="N171" s="184">
        <v>5267</v>
      </c>
      <c r="O171" s="190"/>
      <c r="P171" s="234"/>
      <c r="Q171" s="234"/>
      <c r="R171" s="184"/>
      <c r="S171" s="185"/>
      <c r="T171" s="220"/>
      <c r="U171" s="185"/>
      <c r="V171" s="184">
        <f>243576+218930</f>
        <v>462506</v>
      </c>
      <c r="W171" s="185" t="s">
        <v>681</v>
      </c>
      <c r="X171" s="184">
        <v>7494</v>
      </c>
      <c r="Y171" s="243" t="s">
        <v>681</v>
      </c>
      <c r="AA171" s="190"/>
      <c r="AB171" s="184"/>
      <c r="AH171" s="184">
        <f t="shared" si="12"/>
        <v>470000</v>
      </c>
      <c r="AK171" s="190">
        <f t="shared" si="20"/>
        <v>0</v>
      </c>
      <c r="AO171" s="135">
        <f t="shared" si="13"/>
        <v>0</v>
      </c>
      <c r="AP171" s="166"/>
      <c r="AQ171" s="237">
        <f t="shared" si="14"/>
        <v>0</v>
      </c>
      <c r="AR171" s="184"/>
      <c r="AS171" s="184"/>
      <c r="AT171" s="184"/>
      <c r="AU171" s="184"/>
      <c r="AV171" s="184"/>
      <c r="AW171" s="184"/>
      <c r="AX171" s="184"/>
      <c r="AY171" s="184"/>
      <c r="AZ171" s="184"/>
      <c r="BB171" s="184"/>
    </row>
    <row r="172" s="135" customFormat="1" customHeight="1" spans="1:77">
      <c r="A172" s="220">
        <v>136</v>
      </c>
      <c r="C172" s="164" t="s">
        <v>848</v>
      </c>
      <c r="D172" s="135">
        <v>20240001176</v>
      </c>
      <c r="F172" s="834" t="s">
        <v>3699</v>
      </c>
      <c r="G172" s="135" t="s">
        <v>3700</v>
      </c>
      <c r="I172" s="135" t="s">
        <v>3701</v>
      </c>
      <c r="J172" s="135">
        <v>126.97</v>
      </c>
      <c r="K172" s="135">
        <v>126.97</v>
      </c>
      <c r="L172" s="135">
        <v>5327</v>
      </c>
      <c r="M172" s="233">
        <v>676369</v>
      </c>
      <c r="N172" s="184">
        <v>5227</v>
      </c>
      <c r="O172" s="190"/>
      <c r="P172" s="234"/>
      <c r="Q172" s="234"/>
      <c r="R172" s="184"/>
      <c r="S172" s="185"/>
      <c r="T172" s="220"/>
      <c r="U172" s="185" t="s">
        <v>515</v>
      </c>
      <c r="V172" s="184">
        <v>49369</v>
      </c>
      <c r="W172" s="185" t="s">
        <v>848</v>
      </c>
      <c r="X172" s="184">
        <v>86000</v>
      </c>
      <c r="Y172" s="243" t="s">
        <v>3457</v>
      </c>
      <c r="Z172" s="184">
        <v>541000</v>
      </c>
      <c r="AA172" s="185" t="s">
        <v>3618</v>
      </c>
      <c r="AB172" s="184"/>
      <c r="AH172" s="184">
        <f t="shared" si="12"/>
        <v>676369</v>
      </c>
      <c r="AK172" s="190">
        <f t="shared" si="20"/>
        <v>0</v>
      </c>
      <c r="AO172" s="135">
        <f t="shared" si="13"/>
        <v>676369</v>
      </c>
      <c r="AP172" s="166">
        <f>0.7%+0.04%+0.12%</f>
        <v>0.0086</v>
      </c>
      <c r="AQ172" s="237">
        <f t="shared" si="14"/>
        <v>0</v>
      </c>
      <c r="AR172" s="184"/>
      <c r="AS172" s="184"/>
      <c r="AT172" s="184"/>
      <c r="AU172" s="184"/>
      <c r="AV172" s="184"/>
      <c r="AW172" s="184"/>
      <c r="AX172" s="184"/>
      <c r="AY172" s="184"/>
      <c r="AZ172" s="184"/>
      <c r="BB172" s="184"/>
      <c r="BG172" s="135">
        <v>135369</v>
      </c>
      <c r="BI172" s="135">
        <v>541000</v>
      </c>
      <c r="BT172" s="135" t="s">
        <v>496</v>
      </c>
      <c r="BU172" s="135" t="s">
        <v>506</v>
      </c>
      <c r="BY172" s="135">
        <f>BW172-BX172</f>
        <v>0</v>
      </c>
    </row>
    <row r="173" s="135" customFormat="1" customHeight="1" spans="1:73">
      <c r="A173" s="220">
        <v>137</v>
      </c>
      <c r="C173" s="164" t="s">
        <v>2687</v>
      </c>
      <c r="D173" s="135">
        <v>20240000481</v>
      </c>
      <c r="F173" s="834" t="s">
        <v>3702</v>
      </c>
      <c r="G173" s="135" t="s">
        <v>3703</v>
      </c>
      <c r="H173" s="834" t="s">
        <v>3704</v>
      </c>
      <c r="I173" s="135" t="s">
        <v>3705</v>
      </c>
      <c r="J173" s="135">
        <v>132.34</v>
      </c>
      <c r="K173" s="135">
        <v>132.34</v>
      </c>
      <c r="L173" s="135">
        <v>5364</v>
      </c>
      <c r="M173" s="233">
        <v>709872</v>
      </c>
      <c r="N173" s="184">
        <v>5264</v>
      </c>
      <c r="O173" s="190"/>
      <c r="P173" s="234"/>
      <c r="Q173" s="234"/>
      <c r="R173" s="184"/>
      <c r="S173" s="185"/>
      <c r="T173" s="220"/>
      <c r="U173" s="185" t="s">
        <v>515</v>
      </c>
      <c r="V173" s="184">
        <v>20000</v>
      </c>
      <c r="W173" s="185" t="s">
        <v>767</v>
      </c>
      <c r="X173" s="184">
        <f>124000+65872</f>
        <v>189872</v>
      </c>
      <c r="Y173" s="243" t="s">
        <v>2687</v>
      </c>
      <c r="Z173" s="135">
        <v>90000</v>
      </c>
      <c r="AA173" s="190" t="s">
        <v>640</v>
      </c>
      <c r="AB173" s="184">
        <v>400000</v>
      </c>
      <c r="AC173" s="185" t="s">
        <v>3706</v>
      </c>
      <c r="AH173" s="184">
        <f t="shared" si="12"/>
        <v>699872</v>
      </c>
      <c r="AK173" s="190">
        <f t="shared" ref="AK173:AK178" si="21">M173-AH173</f>
        <v>10000</v>
      </c>
      <c r="AL173" s="135">
        <v>15739881080</v>
      </c>
      <c r="AO173" s="135">
        <f t="shared" si="13"/>
        <v>699872</v>
      </c>
      <c r="AP173" s="166">
        <f>0.7%+0.03%+0.12%</f>
        <v>0.0085</v>
      </c>
      <c r="AQ173" s="237">
        <f t="shared" si="14"/>
        <v>0</v>
      </c>
      <c r="AR173" s="184"/>
      <c r="AS173" s="184"/>
      <c r="AT173" s="184"/>
      <c r="AU173" s="184"/>
      <c r="AV173" s="184"/>
      <c r="AW173" s="184"/>
      <c r="AX173" s="184"/>
      <c r="AY173" s="184"/>
      <c r="AZ173" s="184"/>
      <c r="BB173" s="184"/>
      <c r="BE173" s="135">
        <v>299872</v>
      </c>
      <c r="BG173" s="135">
        <v>400000</v>
      </c>
      <c r="BT173" s="135" t="s">
        <v>496</v>
      </c>
      <c r="BU173" s="135" t="s">
        <v>506</v>
      </c>
    </row>
    <row r="174" s="135" customFormat="1" customHeight="1" spans="1:72">
      <c r="A174" s="220">
        <v>138</v>
      </c>
      <c r="B174" s="135"/>
      <c r="C174" s="164" t="s">
        <v>404</v>
      </c>
      <c r="D174" s="135">
        <v>20240007359</v>
      </c>
      <c r="F174" s="834" t="s">
        <v>3707</v>
      </c>
      <c r="G174" s="164" t="s">
        <v>3708</v>
      </c>
      <c r="H174" s="834" t="s">
        <v>3709</v>
      </c>
      <c r="I174" s="135" t="s">
        <v>3710</v>
      </c>
      <c r="J174" s="135">
        <v>86.14</v>
      </c>
      <c r="K174" s="135">
        <v>86.14</v>
      </c>
      <c r="L174" s="135">
        <v>5030.35</v>
      </c>
      <c r="M174" s="233">
        <v>433314</v>
      </c>
      <c r="N174" s="184">
        <v>5305</v>
      </c>
      <c r="O174" s="190"/>
      <c r="P174" s="234"/>
      <c r="Q174" s="234"/>
      <c r="R174" s="184">
        <f>314+20000</f>
        <v>20314</v>
      </c>
      <c r="S174" s="185" t="s">
        <v>3253</v>
      </c>
      <c r="T174" s="220"/>
      <c r="U174" s="261" t="s">
        <v>594</v>
      </c>
      <c r="V174" s="184">
        <f>314+20000</f>
        <v>20314</v>
      </c>
      <c r="W174" s="185" t="s">
        <v>3253</v>
      </c>
      <c r="X174" s="184"/>
      <c r="Y174" s="185"/>
      <c r="AA174" s="190"/>
      <c r="AB174" s="184"/>
      <c r="AH174" s="184">
        <f t="shared" si="12"/>
        <v>20314</v>
      </c>
      <c r="AK174" s="190">
        <f t="shared" si="21"/>
        <v>413000</v>
      </c>
      <c r="AL174" s="135">
        <v>18340309633</v>
      </c>
      <c r="AM174" s="135" t="s">
        <v>3321</v>
      </c>
      <c r="AO174" s="135">
        <f t="shared" si="13"/>
        <v>0</v>
      </c>
      <c r="AP174" s="166">
        <f>0.6%+0.03%+0.08%+0.03%</f>
        <v>0.0074</v>
      </c>
      <c r="AQ174" s="237">
        <f t="shared" si="14"/>
        <v>0</v>
      </c>
      <c r="AR174" s="184"/>
      <c r="AS174" s="184"/>
      <c r="AT174" s="184"/>
      <c r="AU174" s="184"/>
      <c r="AV174" s="184"/>
      <c r="AW174" s="184"/>
      <c r="AX174" s="184"/>
      <c r="AY174" s="184"/>
      <c r="AZ174" s="184"/>
      <c r="BB174" s="184"/>
      <c r="BT174" s="135" t="s">
        <v>496</v>
      </c>
    </row>
    <row r="175" s="135" customFormat="1" customHeight="1" spans="1:73">
      <c r="A175" s="220">
        <v>139</v>
      </c>
      <c r="C175" s="164" t="s">
        <v>848</v>
      </c>
      <c r="D175" s="135">
        <v>20240001164</v>
      </c>
      <c r="F175" s="834" t="s">
        <v>3711</v>
      </c>
      <c r="G175" s="135" t="s">
        <v>3712</v>
      </c>
      <c r="H175" s="834" t="s">
        <v>3713</v>
      </c>
      <c r="I175" s="135" t="s">
        <v>3714</v>
      </c>
      <c r="J175" s="135">
        <v>126.97</v>
      </c>
      <c r="K175" s="135">
        <v>126.97</v>
      </c>
      <c r="L175" s="135">
        <v>5300</v>
      </c>
      <c r="M175" s="233">
        <v>672941</v>
      </c>
      <c r="N175" s="184">
        <v>5274</v>
      </c>
      <c r="O175" s="190"/>
      <c r="P175" s="234"/>
      <c r="Q175" s="234"/>
      <c r="R175" s="184"/>
      <c r="S175" s="185"/>
      <c r="T175" s="220"/>
      <c r="U175" s="185" t="s">
        <v>515</v>
      </c>
      <c r="V175" s="184">
        <v>10000</v>
      </c>
      <c r="W175" s="185" t="s">
        <v>993</v>
      </c>
      <c r="X175" s="184">
        <v>192941</v>
      </c>
      <c r="Y175" s="185" t="s">
        <v>848</v>
      </c>
      <c r="Z175" s="184">
        <v>470000</v>
      </c>
      <c r="AA175" s="135" t="s">
        <v>3488</v>
      </c>
      <c r="AB175" s="184"/>
      <c r="AH175" s="184">
        <f t="shared" si="12"/>
        <v>672941</v>
      </c>
      <c r="AK175" s="190">
        <f t="shared" si="21"/>
        <v>0</v>
      </c>
      <c r="AL175" s="135">
        <v>19916461484</v>
      </c>
      <c r="AO175" s="135">
        <f t="shared" si="13"/>
        <v>672941</v>
      </c>
      <c r="AP175" s="166">
        <f>0.6%+0.04%+0.14%</f>
        <v>0.0078</v>
      </c>
      <c r="AQ175" s="237">
        <f t="shared" si="14"/>
        <v>0</v>
      </c>
      <c r="AR175" s="184"/>
      <c r="AS175" s="184"/>
      <c r="AT175" s="184"/>
      <c r="AU175" s="184"/>
      <c r="AV175" s="184"/>
      <c r="AW175" s="184"/>
      <c r="AX175" s="184"/>
      <c r="AY175" s="184"/>
      <c r="AZ175" s="184"/>
      <c r="BB175" s="184"/>
      <c r="BG175" s="135">
        <v>672941</v>
      </c>
      <c r="BT175" s="135" t="s">
        <v>496</v>
      </c>
      <c r="BU175" s="135" t="s">
        <v>506</v>
      </c>
    </row>
    <row r="176" s="135" customFormat="1" customHeight="1" spans="1:73">
      <c r="A176" s="220">
        <v>140</v>
      </c>
      <c r="C176" s="164" t="s">
        <v>3715</v>
      </c>
      <c r="D176" s="135">
        <v>20240000768</v>
      </c>
      <c r="F176" s="834" t="s">
        <v>3716</v>
      </c>
      <c r="G176" s="135" t="s">
        <v>3717</v>
      </c>
      <c r="I176" s="135" t="s">
        <v>3718</v>
      </c>
      <c r="J176" s="135">
        <v>132.34</v>
      </c>
      <c r="K176" s="135">
        <v>132.34</v>
      </c>
      <c r="L176" s="135">
        <v>5360</v>
      </c>
      <c r="M176" s="233">
        <v>709343</v>
      </c>
      <c r="N176" s="184">
        <v>5297</v>
      </c>
      <c r="O176" s="190"/>
      <c r="P176" s="234"/>
      <c r="Q176" s="234"/>
      <c r="R176" s="184"/>
      <c r="S176" s="185"/>
      <c r="T176" s="220"/>
      <c r="U176" s="185" t="s">
        <v>502</v>
      </c>
      <c r="V176" s="184">
        <v>20000</v>
      </c>
      <c r="W176" s="185" t="s">
        <v>640</v>
      </c>
      <c r="X176" s="184">
        <v>94343</v>
      </c>
      <c r="Y176" s="243" t="s">
        <v>3715</v>
      </c>
      <c r="Z176" s="184">
        <v>35000</v>
      </c>
      <c r="AA176" s="185" t="s">
        <v>3483</v>
      </c>
      <c r="AB176" s="184">
        <v>560000</v>
      </c>
      <c r="AC176" s="185" t="s">
        <v>504</v>
      </c>
      <c r="AH176" s="184">
        <f t="shared" si="12"/>
        <v>709343</v>
      </c>
      <c r="AK176" s="190">
        <f t="shared" si="21"/>
        <v>0</v>
      </c>
      <c r="AL176" s="135">
        <v>18299788507</v>
      </c>
      <c r="AO176" s="135">
        <f t="shared" si="13"/>
        <v>709343</v>
      </c>
      <c r="AP176" s="166">
        <f>0.6%+0.12%</f>
        <v>0.0072</v>
      </c>
      <c r="AQ176" s="237">
        <f t="shared" si="14"/>
        <v>0</v>
      </c>
      <c r="AR176" s="184"/>
      <c r="AS176" s="184"/>
      <c r="AT176" s="184"/>
      <c r="AU176" s="184"/>
      <c r="AV176" s="184"/>
      <c r="AW176" s="184"/>
      <c r="AX176" s="184"/>
      <c r="AY176" s="184"/>
      <c r="AZ176" s="184"/>
      <c r="BB176" s="184"/>
      <c r="BG176" s="135">
        <v>149343</v>
      </c>
      <c r="BH176" s="135">
        <v>560000</v>
      </c>
      <c r="BT176" s="135" t="s">
        <v>496</v>
      </c>
      <c r="BU176" s="135" t="s">
        <v>506</v>
      </c>
    </row>
    <row r="177" s="135" customFormat="1" customHeight="1" spans="1:72">
      <c r="A177" s="220">
        <v>141</v>
      </c>
      <c r="B177" s="135"/>
      <c r="C177" s="164" t="s">
        <v>252</v>
      </c>
      <c r="D177" s="135">
        <v>20240005800</v>
      </c>
      <c r="F177" s="834" t="s">
        <v>256</v>
      </c>
      <c r="G177" s="135" t="s">
        <v>257</v>
      </c>
      <c r="H177" s="834" t="s">
        <v>3719</v>
      </c>
      <c r="I177" s="135" t="s">
        <v>3720</v>
      </c>
      <c r="J177" s="135">
        <v>86.14</v>
      </c>
      <c r="K177" s="135">
        <v>86.14</v>
      </c>
      <c r="L177" s="135">
        <v>5224.05</v>
      </c>
      <c r="M177" s="233">
        <v>450000</v>
      </c>
      <c r="N177" s="184">
        <v>5224.05</v>
      </c>
      <c r="O177" s="190"/>
      <c r="P177" s="234"/>
      <c r="Q177" s="234"/>
      <c r="R177" s="184"/>
      <c r="S177" s="185"/>
      <c r="T177" s="220"/>
      <c r="U177" s="185" t="s">
        <v>842</v>
      </c>
      <c r="V177" s="184">
        <v>10000</v>
      </c>
      <c r="W177" s="185">
        <v>45559</v>
      </c>
      <c r="X177" s="184">
        <v>71000</v>
      </c>
      <c r="Y177" s="185" t="s">
        <v>252</v>
      </c>
      <c r="Z177" s="135">
        <v>219000</v>
      </c>
      <c r="AA177" s="190" t="s">
        <v>3721</v>
      </c>
      <c r="AB177" s="184">
        <v>150000</v>
      </c>
      <c r="AC177" s="185" t="s">
        <v>595</v>
      </c>
      <c r="AH177" s="184">
        <f t="shared" si="12"/>
        <v>450000</v>
      </c>
      <c r="AK177" s="190">
        <f t="shared" si="21"/>
        <v>0</v>
      </c>
      <c r="AL177" s="135">
        <v>13779243720</v>
      </c>
      <c r="AM177" s="135" t="s">
        <v>3513</v>
      </c>
      <c r="AO177" s="135">
        <f t="shared" si="13"/>
        <v>450000</v>
      </c>
      <c r="AP177" s="166">
        <f>0.5%+0.04%+0.1%</f>
        <v>0.0064</v>
      </c>
      <c r="AQ177" s="237">
        <f t="shared" si="14"/>
        <v>0</v>
      </c>
      <c r="AR177" s="184"/>
      <c r="AS177" s="184"/>
      <c r="AT177" s="184"/>
      <c r="AU177" s="184"/>
      <c r="AV177" s="184"/>
      <c r="AW177" s="184"/>
      <c r="AX177" s="184"/>
      <c r="AY177" s="184"/>
      <c r="AZ177" s="184"/>
      <c r="BB177" s="184"/>
      <c r="BN177" s="135">
        <v>300000</v>
      </c>
      <c r="BO177" s="135">
        <v>150000</v>
      </c>
      <c r="BT177" s="135" t="s">
        <v>496</v>
      </c>
    </row>
    <row r="178" s="135" customFormat="1" customHeight="1" spans="1:72">
      <c r="A178" s="220">
        <v>142</v>
      </c>
      <c r="C178" s="191">
        <v>45380</v>
      </c>
      <c r="D178" s="135">
        <v>20240001739</v>
      </c>
      <c r="F178" s="834" t="s">
        <v>3722</v>
      </c>
      <c r="G178" s="135" t="s">
        <v>3723</v>
      </c>
      <c r="H178" s="834" t="s">
        <v>3724</v>
      </c>
      <c r="I178" s="135" t="s">
        <v>3725</v>
      </c>
      <c r="J178" s="135">
        <v>126.97</v>
      </c>
      <c r="K178" s="135">
        <v>126.97</v>
      </c>
      <c r="L178" s="135">
        <v>5400</v>
      </c>
      <c r="M178" s="233">
        <v>685638</v>
      </c>
      <c r="N178" s="184">
        <v>5307</v>
      </c>
      <c r="O178" s="190"/>
      <c r="P178" s="234"/>
      <c r="Q178" s="234"/>
      <c r="R178" s="184"/>
      <c r="S178" s="185"/>
      <c r="T178" s="220"/>
      <c r="U178" s="185" t="s">
        <v>502</v>
      </c>
      <c r="V178" s="184">
        <v>20000</v>
      </c>
      <c r="W178" s="185" t="s">
        <v>3726</v>
      </c>
      <c r="X178" s="184">
        <f>170000+115638</f>
        <v>285638</v>
      </c>
      <c r="Y178" s="243" t="s">
        <v>700</v>
      </c>
      <c r="Z178" s="184">
        <v>380000</v>
      </c>
      <c r="AA178" s="185">
        <v>45537</v>
      </c>
      <c r="AB178" s="184"/>
      <c r="AH178" s="184">
        <f t="shared" si="12"/>
        <v>685638</v>
      </c>
      <c r="AK178" s="190">
        <f t="shared" si="21"/>
        <v>0</v>
      </c>
      <c r="AL178" s="135">
        <v>19839627526</v>
      </c>
      <c r="AO178" s="135">
        <f t="shared" si="13"/>
        <v>685638</v>
      </c>
      <c r="AP178" s="166">
        <f>0.6%+0.12%</f>
        <v>0.0072</v>
      </c>
      <c r="AQ178" s="237">
        <f t="shared" si="14"/>
        <v>0</v>
      </c>
      <c r="AR178" s="184"/>
      <c r="AS178" s="184"/>
      <c r="AT178" s="184"/>
      <c r="AU178" s="184"/>
      <c r="AV178" s="184"/>
      <c r="AW178" s="184"/>
      <c r="AX178" s="184"/>
      <c r="AY178" s="184"/>
      <c r="AZ178" s="184"/>
      <c r="BB178" s="184"/>
      <c r="BH178" s="135">
        <v>305638</v>
      </c>
      <c r="BM178" s="135">
        <v>380000</v>
      </c>
      <c r="BT178" s="135" t="s">
        <v>496</v>
      </c>
    </row>
    <row r="179" s="135" customFormat="1" customHeight="1" spans="1:73">
      <c r="A179" s="220">
        <v>143</v>
      </c>
      <c r="C179" s="191">
        <v>45359</v>
      </c>
      <c r="D179" s="135">
        <v>20240001229</v>
      </c>
      <c r="F179" s="834" t="s">
        <v>3727</v>
      </c>
      <c r="G179" s="135" t="s">
        <v>3728</v>
      </c>
      <c r="H179" s="834" t="s">
        <v>3729</v>
      </c>
      <c r="I179" s="135" t="s">
        <v>3730</v>
      </c>
      <c r="J179" s="135">
        <v>132.34</v>
      </c>
      <c r="K179" s="135">
        <v>132.34</v>
      </c>
      <c r="L179" s="135">
        <v>5400</v>
      </c>
      <c r="M179" s="233">
        <v>714636</v>
      </c>
      <c r="N179" s="184">
        <v>5334</v>
      </c>
      <c r="O179" s="190"/>
      <c r="P179" s="234"/>
      <c r="Q179" s="234"/>
      <c r="R179" s="184"/>
      <c r="S179" s="185"/>
      <c r="T179" s="220"/>
      <c r="U179" s="185" t="s">
        <v>709</v>
      </c>
      <c r="V179" s="184">
        <v>20000</v>
      </c>
      <c r="W179" s="185" t="s">
        <v>3478</v>
      </c>
      <c r="X179" s="184">
        <v>224636</v>
      </c>
      <c r="Y179" s="243" t="s">
        <v>3552</v>
      </c>
      <c r="Z179" s="135">
        <v>470000</v>
      </c>
      <c r="AA179" s="190" t="s">
        <v>3731</v>
      </c>
      <c r="AB179" s="184"/>
      <c r="AH179" s="184">
        <f t="shared" si="12"/>
        <v>714636</v>
      </c>
      <c r="AK179" s="190">
        <f t="shared" ref="AK179:AK185" si="22">M179-AH179</f>
        <v>0</v>
      </c>
      <c r="AL179" s="135">
        <v>18909966805</v>
      </c>
      <c r="AO179" s="135">
        <f t="shared" si="13"/>
        <v>714636</v>
      </c>
      <c r="AP179" s="166">
        <f>0.4%+0.12%</f>
        <v>0.0052</v>
      </c>
      <c r="AQ179" s="237">
        <f t="shared" si="14"/>
        <v>0</v>
      </c>
      <c r="AR179" s="184"/>
      <c r="AS179" s="184"/>
      <c r="AT179" s="184"/>
      <c r="AU179" s="184"/>
      <c r="AV179" s="184"/>
      <c r="AW179" s="184"/>
      <c r="AX179" s="184"/>
      <c r="AY179" s="184"/>
      <c r="AZ179" s="184"/>
      <c r="BB179" s="184"/>
      <c r="BG179" s="135">
        <v>714636</v>
      </c>
      <c r="BT179" s="135" t="s">
        <v>496</v>
      </c>
      <c r="BU179" s="135" t="s">
        <v>506</v>
      </c>
    </row>
    <row r="180" s="135" customFormat="1" customHeight="1" spans="1:54">
      <c r="A180" s="220">
        <v>144</v>
      </c>
      <c r="C180" s="164"/>
      <c r="E180" s="164" t="s">
        <v>3732</v>
      </c>
      <c r="G180" s="164" t="s">
        <v>3733</v>
      </c>
      <c r="I180" s="135" t="s">
        <v>3734</v>
      </c>
      <c r="J180" s="135">
        <v>86.14</v>
      </c>
      <c r="K180" s="135">
        <v>86.14</v>
      </c>
      <c r="L180" s="135">
        <f>M180/K180</f>
        <v>5500</v>
      </c>
      <c r="M180" s="233">
        <v>473770</v>
      </c>
      <c r="N180" s="184">
        <v>5367</v>
      </c>
      <c r="O180" s="190"/>
      <c r="P180" s="234"/>
      <c r="Q180" s="234"/>
      <c r="R180" s="184">
        <f>192133+204238+77399</f>
        <v>473770</v>
      </c>
      <c r="S180" s="185" t="s">
        <v>3735</v>
      </c>
      <c r="T180" s="220"/>
      <c r="U180" s="185"/>
      <c r="V180" s="184">
        <f>192133+204238+77399</f>
        <v>473770</v>
      </c>
      <c r="W180" s="185" t="s">
        <v>3735</v>
      </c>
      <c r="X180" s="184"/>
      <c r="Y180" s="243"/>
      <c r="AA180" s="190"/>
      <c r="AB180" s="184"/>
      <c r="AH180" s="184">
        <f t="shared" si="12"/>
        <v>473770</v>
      </c>
      <c r="AK180" s="190">
        <f t="shared" si="22"/>
        <v>0</v>
      </c>
      <c r="AO180" s="135">
        <f t="shared" si="13"/>
        <v>0</v>
      </c>
      <c r="AP180" s="166"/>
      <c r="AQ180" s="237">
        <f t="shared" si="14"/>
        <v>0</v>
      </c>
      <c r="AR180" s="184"/>
      <c r="AS180" s="184"/>
      <c r="AT180" s="184"/>
      <c r="AU180" s="184"/>
      <c r="AV180" s="184"/>
      <c r="AW180" s="184"/>
      <c r="AX180" s="184"/>
      <c r="AY180" s="184"/>
      <c r="AZ180" s="184"/>
      <c r="BB180" s="184"/>
    </row>
    <row r="181" s="135" customFormat="1" customHeight="1" spans="1:73">
      <c r="A181" s="220">
        <v>145</v>
      </c>
      <c r="C181" s="164">
        <v>2024.1</v>
      </c>
      <c r="D181" s="135">
        <v>20240000056</v>
      </c>
      <c r="F181" s="135" t="s">
        <v>3736</v>
      </c>
      <c r="G181" s="135" t="s">
        <v>3737</v>
      </c>
      <c r="H181" s="834" t="s">
        <v>3738</v>
      </c>
      <c r="I181" s="135" t="s">
        <v>3739</v>
      </c>
      <c r="J181" s="135">
        <v>126.97</v>
      </c>
      <c r="K181" s="135">
        <v>126.97</v>
      </c>
      <c r="L181" s="135">
        <v>5444</v>
      </c>
      <c r="M181" s="233">
        <v>691225</v>
      </c>
      <c r="N181" s="184">
        <v>5344</v>
      </c>
      <c r="O181" s="190"/>
      <c r="P181" s="234"/>
      <c r="Q181" s="234"/>
      <c r="R181" s="184"/>
      <c r="S181" s="261"/>
      <c r="T181" s="845" t="s">
        <v>3740</v>
      </c>
      <c r="U181" s="261" t="s">
        <v>515</v>
      </c>
      <c r="V181" s="184">
        <v>2000</v>
      </c>
      <c r="W181" s="261" t="s">
        <v>2764</v>
      </c>
      <c r="X181" s="184">
        <v>18000</v>
      </c>
      <c r="Y181" s="243" t="s">
        <v>687</v>
      </c>
      <c r="Z181" s="184">
        <f>60000+111225</f>
        <v>171225</v>
      </c>
      <c r="AA181" s="261" t="s">
        <v>3473</v>
      </c>
      <c r="AB181" s="184">
        <v>500000</v>
      </c>
      <c r="AC181" s="261" t="s">
        <v>3552</v>
      </c>
      <c r="AH181" s="184">
        <f t="shared" si="12"/>
        <v>691225</v>
      </c>
      <c r="AK181" s="190">
        <f t="shared" si="22"/>
        <v>0</v>
      </c>
      <c r="AL181" s="135">
        <v>19944270256</v>
      </c>
      <c r="AO181" s="135">
        <f t="shared" si="13"/>
        <v>691225</v>
      </c>
      <c r="AP181" s="166">
        <f>0.5%+0.02%+0.08%</f>
        <v>0.006</v>
      </c>
      <c r="AQ181" s="237">
        <f t="shared" si="14"/>
        <v>0</v>
      </c>
      <c r="AR181" s="184"/>
      <c r="AS181" s="184"/>
      <c r="AT181" s="184"/>
      <c r="AU181" s="184"/>
      <c r="AV181" s="184"/>
      <c r="AW181" s="184"/>
      <c r="AX181" s="184"/>
      <c r="AY181" s="184"/>
      <c r="AZ181" s="184"/>
      <c r="BB181" s="184"/>
      <c r="BE181" s="135">
        <v>191225</v>
      </c>
      <c r="BG181" s="135">
        <v>500000</v>
      </c>
      <c r="BT181" s="135" t="s">
        <v>496</v>
      </c>
      <c r="BU181" s="135" t="s">
        <v>506</v>
      </c>
    </row>
    <row r="182" s="135" customFormat="1" customHeight="1" spans="1:73">
      <c r="A182" s="220">
        <v>146</v>
      </c>
      <c r="C182" s="191">
        <v>45395</v>
      </c>
      <c r="D182" s="135">
        <v>20240002044</v>
      </c>
      <c r="F182" s="834" t="s">
        <v>3741</v>
      </c>
      <c r="G182" s="135" t="s">
        <v>3742</v>
      </c>
      <c r="H182" s="834" t="s">
        <v>3743</v>
      </c>
      <c r="I182" s="135" t="s">
        <v>3744</v>
      </c>
      <c r="J182" s="135">
        <v>132.34</v>
      </c>
      <c r="K182" s="135">
        <v>132.34</v>
      </c>
      <c r="L182" s="135">
        <v>5380.08</v>
      </c>
      <c r="M182" s="233">
        <v>712000</v>
      </c>
      <c r="N182" s="184">
        <v>5362</v>
      </c>
      <c r="O182" s="190"/>
      <c r="P182" s="234"/>
      <c r="Q182" s="234"/>
      <c r="R182" s="184"/>
      <c r="S182" s="185"/>
      <c r="T182" s="220"/>
      <c r="U182" s="185" t="s">
        <v>502</v>
      </c>
      <c r="V182" s="184">
        <v>20000</v>
      </c>
      <c r="W182" s="185" t="s">
        <v>716</v>
      </c>
      <c r="X182" s="184">
        <v>692000</v>
      </c>
      <c r="Y182" s="243" t="s">
        <v>3745</v>
      </c>
      <c r="AA182" s="190"/>
      <c r="AB182" s="184"/>
      <c r="AH182" s="184">
        <f t="shared" si="12"/>
        <v>712000</v>
      </c>
      <c r="AK182" s="190">
        <f t="shared" si="22"/>
        <v>0</v>
      </c>
      <c r="AL182" s="135">
        <v>13119072854</v>
      </c>
      <c r="AO182" s="135">
        <f t="shared" si="13"/>
        <v>712000</v>
      </c>
      <c r="AP182" s="166">
        <f>0.6%+0.12%</f>
        <v>0.0072</v>
      </c>
      <c r="AQ182" s="237">
        <f t="shared" si="14"/>
        <v>0</v>
      </c>
      <c r="AR182" s="184"/>
      <c r="AS182" s="184"/>
      <c r="AT182" s="184"/>
      <c r="AU182" s="184"/>
      <c r="AV182" s="184"/>
      <c r="AW182" s="184"/>
      <c r="AX182" s="184"/>
      <c r="AY182" s="184"/>
      <c r="AZ182" s="184"/>
      <c r="BB182" s="184"/>
      <c r="BH182" s="135">
        <v>712000</v>
      </c>
      <c r="BT182" s="135" t="s">
        <v>496</v>
      </c>
      <c r="BU182" s="135" t="s">
        <v>506</v>
      </c>
    </row>
    <row r="183" s="135" customFormat="1" customHeight="1" spans="1:72">
      <c r="A183" s="220">
        <v>147</v>
      </c>
      <c r="B183" s="135">
        <v>1</v>
      </c>
      <c r="C183" s="164" t="s">
        <v>389</v>
      </c>
      <c r="D183" s="135">
        <v>20240007184</v>
      </c>
      <c r="G183" s="135" t="s">
        <v>390</v>
      </c>
      <c r="I183" s="135" t="s">
        <v>3746</v>
      </c>
      <c r="J183" s="135">
        <v>86.14</v>
      </c>
      <c r="K183" s="135">
        <v>86.14</v>
      </c>
      <c r="L183" s="135">
        <v>5275.86</v>
      </c>
      <c r="M183" s="233">
        <v>454463</v>
      </c>
      <c r="N183" s="184">
        <v>5382</v>
      </c>
      <c r="O183" s="190"/>
      <c r="P183" s="234"/>
      <c r="Q183" s="234"/>
      <c r="R183" s="184">
        <f>20000+10000+64463</f>
        <v>94463</v>
      </c>
      <c r="S183" s="185" t="s">
        <v>2840</v>
      </c>
      <c r="T183" s="220"/>
      <c r="U183" s="185" t="s">
        <v>495</v>
      </c>
      <c r="V183" s="184">
        <f>20000+10000</f>
        <v>30000</v>
      </c>
      <c r="W183" s="185" t="s">
        <v>2840</v>
      </c>
      <c r="X183" s="184">
        <v>64463</v>
      </c>
      <c r="Y183" s="243" t="s">
        <v>389</v>
      </c>
      <c r="AA183" s="190"/>
      <c r="AB183" s="184"/>
      <c r="AH183" s="184">
        <f t="shared" si="12"/>
        <v>94463</v>
      </c>
      <c r="AK183" s="190">
        <f t="shared" si="22"/>
        <v>360000</v>
      </c>
      <c r="AM183" s="135" t="s">
        <v>3254</v>
      </c>
      <c r="AO183" s="135">
        <f t="shared" si="13"/>
        <v>94463</v>
      </c>
      <c r="AP183" s="166">
        <f>0.5%+0.02%+0.12%+0.03%</f>
        <v>0.0067</v>
      </c>
      <c r="AQ183" s="237">
        <f t="shared" si="14"/>
        <v>0</v>
      </c>
      <c r="AR183" s="184"/>
      <c r="AS183" s="184"/>
      <c r="AT183" s="184"/>
      <c r="AU183" s="184"/>
      <c r="AV183" s="184"/>
      <c r="AW183" s="184"/>
      <c r="AX183" s="184"/>
      <c r="AY183" s="184"/>
      <c r="AZ183" s="184"/>
      <c r="BB183" s="184"/>
      <c r="BP183" s="135">
        <v>94463</v>
      </c>
      <c r="BR183" s="135">
        <f>BP183*AP183</f>
        <v>632.9021</v>
      </c>
      <c r="BT183" s="135" t="s">
        <v>496</v>
      </c>
    </row>
    <row r="184" s="135" customFormat="1" customHeight="1" spans="1:77">
      <c r="A184" s="220">
        <v>148</v>
      </c>
      <c r="C184" s="164" t="s">
        <v>525</v>
      </c>
      <c r="D184" s="135">
        <v>20240001749</v>
      </c>
      <c r="F184" s="135" t="s">
        <v>3747</v>
      </c>
      <c r="G184" s="135" t="s">
        <v>3748</v>
      </c>
      <c r="H184" s="834" t="s">
        <v>3749</v>
      </c>
      <c r="I184" s="135" t="s">
        <v>3750</v>
      </c>
      <c r="J184" s="135">
        <v>126.97</v>
      </c>
      <c r="K184" s="135">
        <v>126.97</v>
      </c>
      <c r="L184" s="135">
        <v>5423</v>
      </c>
      <c r="M184" s="233">
        <v>688663</v>
      </c>
      <c r="N184" s="184">
        <v>5372</v>
      </c>
      <c r="O184" s="190"/>
      <c r="P184" s="234"/>
      <c r="Q184" s="234"/>
      <c r="R184" s="184"/>
      <c r="S184" s="185"/>
      <c r="T184" s="220"/>
      <c r="U184" s="185" t="s">
        <v>2249</v>
      </c>
      <c r="V184" s="184">
        <v>10000</v>
      </c>
      <c r="W184" s="185" t="s">
        <v>3602</v>
      </c>
      <c r="X184" s="184">
        <v>128663</v>
      </c>
      <c r="Y184" s="243" t="s">
        <v>525</v>
      </c>
      <c r="Z184" s="184">
        <v>550000</v>
      </c>
      <c r="AA184" s="185" t="s">
        <v>624</v>
      </c>
      <c r="AB184" s="184"/>
      <c r="AH184" s="184">
        <f t="shared" si="12"/>
        <v>688663</v>
      </c>
      <c r="AK184" s="190">
        <f t="shared" si="22"/>
        <v>0</v>
      </c>
      <c r="AL184" s="135">
        <v>17604863423</v>
      </c>
      <c r="AO184" s="135">
        <f t="shared" si="13"/>
        <v>688663</v>
      </c>
      <c r="AP184" s="166">
        <f>0.5%+0.04%+0.12%</f>
        <v>0.0066</v>
      </c>
      <c r="AQ184" s="237">
        <f t="shared" si="14"/>
        <v>0</v>
      </c>
      <c r="AR184" s="184"/>
      <c r="AS184" s="184"/>
      <c r="AT184" s="184"/>
      <c r="AU184" s="184"/>
      <c r="AV184" s="184"/>
      <c r="AW184" s="184"/>
      <c r="AX184" s="184"/>
      <c r="AY184" s="184"/>
      <c r="AZ184" s="184"/>
      <c r="BB184" s="184"/>
      <c r="BG184" s="135">
        <v>138663</v>
      </c>
      <c r="BJ184" s="135">
        <v>550000</v>
      </c>
      <c r="BT184" s="135" t="s">
        <v>496</v>
      </c>
      <c r="BU184" s="135" t="s">
        <v>506</v>
      </c>
      <c r="BY184" s="135">
        <f>BW184-BX184</f>
        <v>0</v>
      </c>
    </row>
    <row r="185" s="135" customFormat="1" customHeight="1" spans="1:73">
      <c r="A185" s="220">
        <v>149</v>
      </c>
      <c r="C185" s="164" t="s">
        <v>762</v>
      </c>
      <c r="D185" s="135">
        <v>20240000205</v>
      </c>
      <c r="F185" s="834" t="s">
        <v>3751</v>
      </c>
      <c r="G185" s="135" t="s">
        <v>3752</v>
      </c>
      <c r="H185" s="834" t="s">
        <v>3753</v>
      </c>
      <c r="I185" s="135" t="s">
        <v>3754</v>
      </c>
      <c r="J185" s="135">
        <v>132.34</v>
      </c>
      <c r="K185" s="135">
        <v>132.34</v>
      </c>
      <c r="L185" s="135">
        <v>5487</v>
      </c>
      <c r="M185" s="233">
        <v>726150</v>
      </c>
      <c r="N185" s="184">
        <v>5387</v>
      </c>
      <c r="O185" s="190"/>
      <c r="P185" s="234"/>
      <c r="Q185" s="234"/>
      <c r="R185" s="184"/>
      <c r="S185" s="185"/>
      <c r="T185" s="220"/>
      <c r="U185" s="185" t="s">
        <v>709</v>
      </c>
      <c r="V185" s="184">
        <v>20000</v>
      </c>
      <c r="W185" s="185" t="s">
        <v>751</v>
      </c>
      <c r="X185" s="184">
        <v>706150</v>
      </c>
      <c r="Y185" s="243" t="s">
        <v>762</v>
      </c>
      <c r="AA185" s="190"/>
      <c r="AB185" s="184"/>
      <c r="AH185" s="184">
        <f t="shared" si="12"/>
        <v>726150</v>
      </c>
      <c r="AK185" s="190">
        <f t="shared" si="22"/>
        <v>0</v>
      </c>
      <c r="AL185" s="135">
        <v>18599361936</v>
      </c>
      <c r="AO185" s="135">
        <f t="shared" si="13"/>
        <v>726150</v>
      </c>
      <c r="AP185" s="166">
        <f>0.7%+0.12%</f>
        <v>0.0082</v>
      </c>
      <c r="AQ185" s="237">
        <f t="shared" si="14"/>
        <v>0</v>
      </c>
      <c r="AR185" s="184"/>
      <c r="AS185" s="184"/>
      <c r="AT185" s="184"/>
      <c r="AU185" s="184"/>
      <c r="AV185" s="184"/>
      <c r="AW185" s="184"/>
      <c r="AX185" s="184"/>
      <c r="AY185" s="184"/>
      <c r="AZ185" s="184"/>
      <c r="BB185" s="184"/>
      <c r="BE185" s="135">
        <v>726150</v>
      </c>
      <c r="BT185" s="135" t="s">
        <v>496</v>
      </c>
      <c r="BU185" s="135" t="s">
        <v>506</v>
      </c>
    </row>
    <row r="186" s="132" customFormat="1" customHeight="1" spans="1:54">
      <c r="A186" s="220">
        <v>150</v>
      </c>
      <c r="C186" s="219"/>
      <c r="I186" s="132" t="s">
        <v>3755</v>
      </c>
      <c r="J186" s="132">
        <v>86.14</v>
      </c>
      <c r="M186" s="213"/>
      <c r="N186" s="215">
        <v>5402</v>
      </c>
      <c r="O186" s="173"/>
      <c r="P186" s="229"/>
      <c r="Q186" s="229"/>
      <c r="R186" s="215"/>
      <c r="S186" s="216"/>
      <c r="T186" s="212"/>
      <c r="U186" s="216"/>
      <c r="V186" s="215"/>
      <c r="X186" s="215"/>
      <c r="Y186" s="242"/>
      <c r="AA186" s="173"/>
      <c r="AB186" s="215"/>
      <c r="AH186" s="215">
        <f t="shared" si="12"/>
        <v>0</v>
      </c>
      <c r="AK186" s="173"/>
      <c r="AO186" s="132">
        <f t="shared" si="13"/>
        <v>0</v>
      </c>
      <c r="AP186" s="250"/>
      <c r="AQ186" s="251">
        <f t="shared" si="14"/>
        <v>0</v>
      </c>
      <c r="AR186" s="215"/>
      <c r="AS186" s="215"/>
      <c r="AT186" s="215"/>
      <c r="AU186" s="215"/>
      <c r="AV186" s="215"/>
      <c r="AW186" s="215"/>
      <c r="AX186" s="215"/>
      <c r="AY186" s="215"/>
      <c r="AZ186" s="215"/>
      <c r="BB186" s="215"/>
    </row>
    <row r="187" s="135" customFormat="1" customHeight="1" spans="1:73">
      <c r="A187" s="220">
        <v>151</v>
      </c>
      <c r="C187" s="164" t="s">
        <v>716</v>
      </c>
      <c r="D187" s="135">
        <v>20240001791</v>
      </c>
      <c r="F187" s="834" t="s">
        <v>3756</v>
      </c>
      <c r="G187" s="135" t="s">
        <v>3757</v>
      </c>
      <c r="H187" s="834" t="s">
        <v>3758</v>
      </c>
      <c r="I187" s="135" t="s">
        <v>3759</v>
      </c>
      <c r="J187" s="135">
        <v>126.97</v>
      </c>
      <c r="K187" s="135">
        <v>126.97</v>
      </c>
      <c r="L187" s="135">
        <v>5497</v>
      </c>
      <c r="M187" s="233">
        <v>698000</v>
      </c>
      <c r="N187" s="184">
        <v>5397</v>
      </c>
      <c r="O187" s="190"/>
      <c r="P187" s="234"/>
      <c r="Q187" s="234"/>
      <c r="R187" s="184"/>
      <c r="S187" s="185"/>
      <c r="T187" s="220"/>
      <c r="U187" s="185" t="s">
        <v>508</v>
      </c>
      <c r="V187" s="184">
        <v>20000</v>
      </c>
      <c r="W187" s="185" t="s">
        <v>716</v>
      </c>
      <c r="X187" s="184">
        <v>120000</v>
      </c>
      <c r="Y187" s="243" t="s">
        <v>716</v>
      </c>
      <c r="Z187" s="135">
        <v>558000</v>
      </c>
      <c r="AA187" s="190" t="s">
        <v>3405</v>
      </c>
      <c r="AB187" s="184"/>
      <c r="AH187" s="184">
        <f t="shared" si="12"/>
        <v>698000</v>
      </c>
      <c r="AK187" s="190">
        <f>M187-AH187</f>
        <v>0</v>
      </c>
      <c r="AL187" s="135">
        <v>18510342124</v>
      </c>
      <c r="AO187" s="135">
        <f t="shared" si="13"/>
        <v>698000</v>
      </c>
      <c r="AP187" s="166">
        <f>0.7%+0.05%+0.12%</f>
        <v>0.0087</v>
      </c>
      <c r="AQ187" s="237">
        <f t="shared" si="14"/>
        <v>0</v>
      </c>
      <c r="AR187" s="184"/>
      <c r="AS187" s="184"/>
      <c r="AT187" s="184"/>
      <c r="AU187" s="184"/>
      <c r="AV187" s="184"/>
      <c r="AW187" s="184"/>
      <c r="AX187" s="184"/>
      <c r="AY187" s="184"/>
      <c r="AZ187" s="184"/>
      <c r="BB187" s="184"/>
      <c r="BH187" s="135">
        <v>698000</v>
      </c>
      <c r="BT187" s="135" t="s">
        <v>496</v>
      </c>
      <c r="BU187" s="135" t="s">
        <v>506</v>
      </c>
    </row>
    <row r="188" s="135" customFormat="1" ht="30" customHeight="1" spans="1:72">
      <c r="A188" s="220">
        <v>152</v>
      </c>
      <c r="C188" s="164" t="s">
        <v>252</v>
      </c>
      <c r="D188" s="135">
        <v>20240005820</v>
      </c>
      <c r="F188" s="834" t="s">
        <v>258</v>
      </c>
      <c r="G188" s="164" t="s">
        <v>259</v>
      </c>
      <c r="H188" s="846" t="s">
        <v>3760</v>
      </c>
      <c r="I188" s="135" t="s">
        <v>3761</v>
      </c>
      <c r="J188" s="135">
        <v>132.34</v>
      </c>
      <c r="K188" s="135">
        <v>132.34</v>
      </c>
      <c r="L188" s="190">
        <f>M188/K188</f>
        <v>5402.75049115913</v>
      </c>
      <c r="M188" s="233">
        <v>715000</v>
      </c>
      <c r="N188" s="184">
        <v>5402.75</v>
      </c>
      <c r="O188" s="234"/>
      <c r="P188" s="234"/>
      <c r="Q188" s="234"/>
      <c r="R188" s="184"/>
      <c r="S188" s="261"/>
      <c r="T188" s="262"/>
      <c r="U188" s="261" t="s">
        <v>508</v>
      </c>
      <c r="V188" s="184">
        <v>20000</v>
      </c>
      <c r="W188" s="261" t="s">
        <v>3249</v>
      </c>
      <c r="X188" s="184">
        <v>113000</v>
      </c>
      <c r="Y188" s="261" t="s">
        <v>252</v>
      </c>
      <c r="Z188" s="184">
        <v>572000</v>
      </c>
      <c r="AA188" s="261" t="s">
        <v>344</v>
      </c>
      <c r="AB188" s="184"/>
      <c r="AH188" s="184">
        <f t="shared" si="12"/>
        <v>705000</v>
      </c>
      <c r="AK188" s="190">
        <f>M188-AH188</f>
        <v>10000</v>
      </c>
      <c r="AL188" s="135">
        <v>15090288289</v>
      </c>
      <c r="AN188" s="234"/>
      <c r="AO188" s="135">
        <f t="shared" si="13"/>
        <v>0</v>
      </c>
      <c r="AP188" s="166">
        <f>0.4%+0.02%+0.08%</f>
        <v>0.005</v>
      </c>
      <c r="AQ188" s="237">
        <f t="shared" si="14"/>
        <v>0</v>
      </c>
      <c r="AR188" s="184"/>
      <c r="AS188" s="184"/>
      <c r="AT188" s="184"/>
      <c r="AU188" s="184"/>
      <c r="AV188" s="184"/>
      <c r="AW188" s="184"/>
      <c r="AX188" s="184"/>
      <c r="AY188" s="184"/>
      <c r="AZ188" s="184"/>
      <c r="BB188" s="184"/>
      <c r="BT188" s="135" t="s">
        <v>496</v>
      </c>
    </row>
    <row r="189" s="132" customFormat="1" ht="55" customHeight="1" spans="1:55">
      <c r="A189" s="220">
        <v>153</v>
      </c>
      <c r="C189" s="219"/>
      <c r="E189" s="132" t="s">
        <v>3578</v>
      </c>
      <c r="G189" s="219"/>
      <c r="H189" s="219"/>
      <c r="I189" s="132" t="s">
        <v>3762</v>
      </c>
      <c r="J189" s="132">
        <v>86.14</v>
      </c>
      <c r="M189" s="213"/>
      <c r="N189" s="215">
        <v>5412</v>
      </c>
      <c r="O189" s="229"/>
      <c r="P189" s="229"/>
      <c r="Q189" s="229"/>
      <c r="R189" s="215"/>
      <c r="S189" s="265"/>
      <c r="T189" s="266"/>
      <c r="U189" s="265"/>
      <c r="V189" s="215"/>
      <c r="W189" s="265"/>
      <c r="X189" s="215"/>
      <c r="Y189" s="173"/>
      <c r="AA189" s="173"/>
      <c r="AB189" s="215"/>
      <c r="AH189" s="215">
        <f t="shared" si="12"/>
        <v>0</v>
      </c>
      <c r="AK189" s="173"/>
      <c r="AN189" s="229"/>
      <c r="AO189" s="132">
        <f t="shared" si="13"/>
        <v>0</v>
      </c>
      <c r="AP189" s="157"/>
      <c r="AQ189" s="251">
        <f t="shared" si="14"/>
        <v>0</v>
      </c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67"/>
      <c r="BB189" s="215"/>
      <c r="BC189" s="267"/>
    </row>
    <row r="190" s="135" customFormat="1" customHeight="1" spans="1:73">
      <c r="A190" s="220">
        <v>154</v>
      </c>
      <c r="C190" s="191">
        <v>45417</v>
      </c>
      <c r="D190" s="135">
        <v>20240002564</v>
      </c>
      <c r="F190" s="834" t="s">
        <v>3763</v>
      </c>
      <c r="G190" s="135" t="s">
        <v>3764</v>
      </c>
      <c r="H190" s="834" t="s">
        <v>3765</v>
      </c>
      <c r="I190" s="135" t="s">
        <v>3766</v>
      </c>
      <c r="J190" s="135">
        <v>126.97</v>
      </c>
      <c r="K190" s="135">
        <v>126.97</v>
      </c>
      <c r="L190" s="135">
        <v>5434.35</v>
      </c>
      <c r="M190" s="233">
        <v>690000</v>
      </c>
      <c r="N190" s="184">
        <v>5417</v>
      </c>
      <c r="O190" s="234"/>
      <c r="P190" s="234"/>
      <c r="Q190" s="234"/>
      <c r="R190" s="184"/>
      <c r="T190" s="220"/>
      <c r="U190" s="135" t="s">
        <v>709</v>
      </c>
      <c r="V190" s="184">
        <v>20000</v>
      </c>
      <c r="W190" s="135" t="s">
        <v>406</v>
      </c>
      <c r="X190" s="184">
        <v>44000</v>
      </c>
      <c r="Y190" s="190" t="s">
        <v>1001</v>
      </c>
      <c r="Z190" s="184">
        <v>74000</v>
      </c>
      <c r="AA190" s="135" t="s">
        <v>3389</v>
      </c>
      <c r="AB190" s="184">
        <v>552000</v>
      </c>
      <c r="AC190" s="135" t="s">
        <v>519</v>
      </c>
      <c r="AH190" s="184">
        <f t="shared" si="12"/>
        <v>690000</v>
      </c>
      <c r="AK190" s="190">
        <f>M190-AH190</f>
        <v>0</v>
      </c>
      <c r="AL190" s="135">
        <v>18149847557</v>
      </c>
      <c r="AN190" s="234"/>
      <c r="AO190" s="135">
        <f t="shared" si="13"/>
        <v>690000</v>
      </c>
      <c r="AP190" s="162">
        <f>0.7%+0.08%</f>
        <v>0.0078</v>
      </c>
      <c r="AQ190" s="237">
        <f t="shared" si="14"/>
        <v>0</v>
      </c>
      <c r="AR190" s="184"/>
      <c r="AS190" s="184"/>
      <c r="AT190" s="184"/>
      <c r="AU190" s="184"/>
      <c r="AV190" s="184"/>
      <c r="AW190" s="184"/>
      <c r="AX190" s="184"/>
      <c r="AY190" s="184"/>
      <c r="AZ190" s="184"/>
      <c r="BA190" s="268"/>
      <c r="BB190" s="184"/>
      <c r="BC190" s="268"/>
      <c r="BJ190" s="135">
        <v>138000</v>
      </c>
      <c r="BK190" s="135">
        <v>552000</v>
      </c>
      <c r="BT190" s="135" t="s">
        <v>496</v>
      </c>
      <c r="BU190" s="135" t="s">
        <v>506</v>
      </c>
    </row>
    <row r="191" s="135" customFormat="1" customHeight="1" spans="1:73">
      <c r="A191" s="220">
        <v>155</v>
      </c>
      <c r="C191" s="191">
        <v>45434</v>
      </c>
      <c r="D191" s="135">
        <v>20240003053</v>
      </c>
      <c r="F191" s="834" t="s">
        <v>3767</v>
      </c>
      <c r="G191" s="135" t="s">
        <v>3768</v>
      </c>
      <c r="H191" s="834" t="s">
        <v>3769</v>
      </c>
      <c r="I191" s="135" t="s">
        <v>3770</v>
      </c>
      <c r="J191" s="135">
        <v>132.34</v>
      </c>
      <c r="K191" s="135">
        <v>132.34</v>
      </c>
      <c r="L191" s="135">
        <v>5213.84</v>
      </c>
      <c r="M191" s="233">
        <v>690000</v>
      </c>
      <c r="N191" s="184">
        <v>5213.84</v>
      </c>
      <c r="O191" s="234"/>
      <c r="P191" s="234"/>
      <c r="Q191" s="234"/>
      <c r="R191" s="184"/>
      <c r="S191" s="185"/>
      <c r="T191" s="220"/>
      <c r="U191" s="185" t="s">
        <v>2249</v>
      </c>
      <c r="V191" s="184">
        <v>20000</v>
      </c>
      <c r="W191" s="185" t="s">
        <v>505</v>
      </c>
      <c r="X191" s="184">
        <v>80000</v>
      </c>
      <c r="Y191" s="190" t="s">
        <v>632</v>
      </c>
      <c r="Z191" s="184">
        <v>40000</v>
      </c>
      <c r="AA191" s="185" t="s">
        <v>3771</v>
      </c>
      <c r="AB191" s="184">
        <v>550000</v>
      </c>
      <c r="AC191" s="185">
        <v>45548</v>
      </c>
      <c r="AH191" s="184">
        <f t="shared" si="12"/>
        <v>690000</v>
      </c>
      <c r="AK191" s="190">
        <f>M191-AH191</f>
        <v>0</v>
      </c>
      <c r="AL191" s="135">
        <v>15559346699</v>
      </c>
      <c r="AM191" s="135" t="s">
        <v>3468</v>
      </c>
      <c r="AN191" s="234"/>
      <c r="AO191" s="135">
        <f t="shared" si="13"/>
        <v>690000</v>
      </c>
      <c r="AP191" s="162">
        <f>0.5%+0.02%+0.08%</f>
        <v>0.006</v>
      </c>
      <c r="AQ191" s="237">
        <f t="shared" si="14"/>
        <v>0</v>
      </c>
      <c r="AR191" s="184"/>
      <c r="AS191" s="184"/>
      <c r="AT191" s="184"/>
      <c r="AU191" s="184"/>
      <c r="AV191" s="184"/>
      <c r="AW191" s="184"/>
      <c r="AX191" s="184"/>
      <c r="AY191" s="184"/>
      <c r="AZ191" s="184"/>
      <c r="BA191" s="268"/>
      <c r="BB191" s="184"/>
      <c r="BC191" s="268"/>
      <c r="BL191" s="135">
        <v>140000</v>
      </c>
      <c r="BM191" s="135">
        <v>550000</v>
      </c>
      <c r="BT191" s="135" t="s">
        <v>496</v>
      </c>
      <c r="BU191" s="135" t="s">
        <v>506</v>
      </c>
    </row>
    <row r="192" s="132" customFormat="1" customHeight="1" spans="1:55">
      <c r="A192" s="220">
        <v>156</v>
      </c>
      <c r="C192" s="219"/>
      <c r="E192" s="132" t="s">
        <v>3772</v>
      </c>
      <c r="I192" s="132" t="s">
        <v>3773</v>
      </c>
      <c r="J192" s="132">
        <v>86.14</v>
      </c>
      <c r="M192" s="213"/>
      <c r="N192" s="215">
        <v>5422</v>
      </c>
      <c r="O192" s="229"/>
      <c r="P192" s="229"/>
      <c r="Q192" s="229"/>
      <c r="R192" s="215"/>
      <c r="T192" s="212"/>
      <c r="V192" s="215"/>
      <c r="X192" s="215"/>
      <c r="Y192" s="173"/>
      <c r="AA192" s="173"/>
      <c r="AB192" s="215"/>
      <c r="AH192" s="215">
        <f t="shared" si="12"/>
        <v>0</v>
      </c>
      <c r="AK192" s="173"/>
      <c r="AN192" s="229"/>
      <c r="AO192" s="132">
        <f t="shared" si="13"/>
        <v>0</v>
      </c>
      <c r="AP192" s="157"/>
      <c r="AQ192" s="251">
        <f t="shared" si="14"/>
        <v>0</v>
      </c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67"/>
      <c r="BB192" s="215"/>
      <c r="BC192" s="267"/>
    </row>
    <row r="193" s="135" customFormat="1" customHeight="1" spans="1:73">
      <c r="A193" s="220">
        <v>157</v>
      </c>
      <c r="C193" s="164" t="s">
        <v>631</v>
      </c>
      <c r="D193" s="135">
        <v>20240002075</v>
      </c>
      <c r="F193" s="834" t="s">
        <v>3774</v>
      </c>
      <c r="G193" s="164" t="s">
        <v>3775</v>
      </c>
      <c r="H193" s="846" t="s">
        <v>3776</v>
      </c>
      <c r="I193" s="135" t="s">
        <v>3777</v>
      </c>
      <c r="J193" s="135">
        <v>126.97</v>
      </c>
      <c r="K193" s="135">
        <v>126.97</v>
      </c>
      <c r="L193" s="190">
        <v>5538</v>
      </c>
      <c r="M193" s="233">
        <v>703160</v>
      </c>
      <c r="N193" s="184">
        <v>5438</v>
      </c>
      <c r="O193" s="190"/>
      <c r="P193" s="234"/>
      <c r="Q193" s="234"/>
      <c r="R193" s="184"/>
      <c r="S193" s="261"/>
      <c r="T193" s="262"/>
      <c r="U193" s="261" t="s">
        <v>2249</v>
      </c>
      <c r="V193" s="184">
        <v>10000</v>
      </c>
      <c r="W193" s="261" t="s">
        <v>1259</v>
      </c>
      <c r="X193" s="184">
        <v>83160</v>
      </c>
      <c r="Y193" s="190" t="s">
        <v>631</v>
      </c>
      <c r="Z193" s="135">
        <v>50000</v>
      </c>
      <c r="AA193" s="190" t="s">
        <v>3668</v>
      </c>
      <c r="AB193" s="184">
        <v>560000</v>
      </c>
      <c r="AC193" s="261" t="s">
        <v>648</v>
      </c>
      <c r="AH193" s="184">
        <f t="shared" si="12"/>
        <v>703160</v>
      </c>
      <c r="AK193" s="190">
        <f>M193-AH193</f>
        <v>0</v>
      </c>
      <c r="AL193" s="135">
        <v>17690928304</v>
      </c>
      <c r="AN193" s="234"/>
      <c r="AO193" s="135">
        <f t="shared" si="13"/>
        <v>703160</v>
      </c>
      <c r="AP193" s="162">
        <f>0.4%+0.03%+0.12%</f>
        <v>0.0055</v>
      </c>
      <c r="AQ193" s="237">
        <f t="shared" si="14"/>
        <v>0</v>
      </c>
      <c r="AR193" s="184"/>
      <c r="AS193" s="184"/>
      <c r="AT193" s="184"/>
      <c r="AU193" s="184"/>
      <c r="AV193" s="184"/>
      <c r="AW193" s="184"/>
      <c r="AX193" s="184"/>
      <c r="AY193" s="184"/>
      <c r="AZ193" s="184"/>
      <c r="BA193" s="268"/>
      <c r="BB193" s="184"/>
      <c r="BC193" s="268"/>
      <c r="BH193" s="135">
        <v>143160</v>
      </c>
      <c r="BI193" s="135">
        <v>560000</v>
      </c>
      <c r="BT193" s="135" t="s">
        <v>496</v>
      </c>
      <c r="BU193" s="135" t="s">
        <v>506</v>
      </c>
    </row>
    <row r="194" s="135" customFormat="1" customHeight="1" spans="1:73">
      <c r="A194" s="220">
        <v>158</v>
      </c>
      <c r="C194" s="191">
        <v>45469</v>
      </c>
      <c r="D194" s="135">
        <v>20240003675</v>
      </c>
      <c r="F194" s="834" t="s">
        <v>3778</v>
      </c>
      <c r="G194" s="135" t="s">
        <v>3779</v>
      </c>
      <c r="I194" s="135" t="s">
        <v>3780</v>
      </c>
      <c r="J194" s="135">
        <v>132.34</v>
      </c>
      <c r="K194" s="135">
        <v>132.34</v>
      </c>
      <c r="L194" s="135">
        <f>M194/K194</f>
        <v>5097.99758198579</v>
      </c>
      <c r="M194" s="233">
        <v>674669</v>
      </c>
      <c r="N194" s="184">
        <v>4998</v>
      </c>
      <c r="O194" s="234"/>
      <c r="P194" s="234"/>
      <c r="Q194" s="234"/>
      <c r="R194" s="184"/>
      <c r="T194" s="220"/>
      <c r="U194" s="261" t="s">
        <v>515</v>
      </c>
      <c r="V194" s="184">
        <v>16669</v>
      </c>
      <c r="W194" s="135" t="s">
        <v>3781</v>
      </c>
      <c r="X194" s="184">
        <v>20000</v>
      </c>
      <c r="Y194" s="261" t="s">
        <v>700</v>
      </c>
      <c r="Z194" s="184">
        <v>65000</v>
      </c>
      <c r="AA194" s="135" t="s">
        <v>773</v>
      </c>
      <c r="AB194" s="184">
        <v>573000</v>
      </c>
      <c r="AC194" s="135" t="s">
        <v>3630</v>
      </c>
      <c r="AH194" s="184">
        <f t="shared" si="12"/>
        <v>674669</v>
      </c>
      <c r="AK194" s="190">
        <f>M194-AH194</f>
        <v>0</v>
      </c>
      <c r="AL194" s="264" t="s">
        <v>3782</v>
      </c>
      <c r="AN194" s="234"/>
      <c r="AO194" s="135">
        <f t="shared" si="13"/>
        <v>674669</v>
      </c>
      <c r="AP194" s="162">
        <f>0.7%+0.04%+0.12%</f>
        <v>0.0086</v>
      </c>
      <c r="AQ194" s="237">
        <f t="shared" si="14"/>
        <v>0</v>
      </c>
      <c r="AR194" s="184"/>
      <c r="AS194" s="184"/>
      <c r="AT194" s="184"/>
      <c r="AU194" s="184"/>
      <c r="AV194" s="184"/>
      <c r="AW194" s="184"/>
      <c r="AX194" s="184"/>
      <c r="AY194" s="184"/>
      <c r="AZ194" s="184"/>
      <c r="BA194" s="268"/>
      <c r="BB194" s="184"/>
      <c r="BC194" s="268"/>
      <c r="BK194" s="135">
        <v>674669</v>
      </c>
      <c r="BT194" s="135" t="s">
        <v>496</v>
      </c>
      <c r="BU194" s="135" t="s">
        <v>506</v>
      </c>
    </row>
    <row r="195" s="132" customFormat="1" customHeight="1" spans="1:55">
      <c r="A195" s="220">
        <v>159</v>
      </c>
      <c r="C195" s="219"/>
      <c r="E195" s="132" t="s">
        <v>3783</v>
      </c>
      <c r="G195" s="219"/>
      <c r="H195" s="219"/>
      <c r="I195" s="132" t="s">
        <v>3784</v>
      </c>
      <c r="J195" s="132">
        <v>86.14</v>
      </c>
      <c r="M195" s="213"/>
      <c r="N195" s="215">
        <v>5018</v>
      </c>
      <c r="O195" s="229"/>
      <c r="P195" s="229"/>
      <c r="Q195" s="229"/>
      <c r="R195" s="215"/>
      <c r="S195" s="265"/>
      <c r="T195" s="266"/>
      <c r="U195" s="265"/>
      <c r="V195" s="215"/>
      <c r="W195" s="272"/>
      <c r="X195" s="215"/>
      <c r="Y195" s="173"/>
      <c r="AA195" s="173"/>
      <c r="AB195" s="215"/>
      <c r="AH195" s="215">
        <f t="shared" si="12"/>
        <v>0</v>
      </c>
      <c r="AK195" s="173"/>
      <c r="AN195" s="229"/>
      <c r="AO195" s="132">
        <f t="shared" si="13"/>
        <v>0</v>
      </c>
      <c r="AP195" s="157"/>
      <c r="AQ195" s="251">
        <f t="shared" si="14"/>
        <v>0</v>
      </c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67"/>
      <c r="BB195" s="215"/>
      <c r="BC195" s="267"/>
    </row>
    <row r="196" s="132" customFormat="1" customHeight="1" spans="1:54">
      <c r="A196" s="220">
        <v>160</v>
      </c>
      <c r="C196" s="219"/>
      <c r="G196" s="219"/>
      <c r="H196" s="219"/>
      <c r="I196" s="132" t="s">
        <v>3785</v>
      </c>
      <c r="J196" s="132">
        <v>126.97</v>
      </c>
      <c r="M196" s="213"/>
      <c r="N196" s="215">
        <v>5008</v>
      </c>
      <c r="O196" s="229"/>
      <c r="P196" s="229"/>
      <c r="Q196" s="229"/>
      <c r="R196" s="215"/>
      <c r="S196" s="265"/>
      <c r="T196" s="266"/>
      <c r="U196" s="265"/>
      <c r="V196" s="215"/>
      <c r="W196" s="173"/>
      <c r="X196" s="215"/>
      <c r="Y196" s="173"/>
      <c r="AA196" s="173"/>
      <c r="AB196" s="215"/>
      <c r="AH196" s="215">
        <f t="shared" si="12"/>
        <v>0</v>
      </c>
      <c r="AK196" s="173"/>
      <c r="AN196" s="229"/>
      <c r="AO196" s="132">
        <f t="shared" si="13"/>
        <v>0</v>
      </c>
      <c r="AP196" s="157"/>
      <c r="AQ196" s="251">
        <f t="shared" si="14"/>
        <v>0</v>
      </c>
      <c r="AR196" s="215"/>
      <c r="AS196" s="215"/>
      <c r="AT196" s="215"/>
      <c r="AU196" s="215"/>
      <c r="AV196" s="215"/>
      <c r="AW196" s="215"/>
      <c r="AX196" s="215"/>
      <c r="AY196" s="215"/>
      <c r="AZ196" s="215"/>
      <c r="BB196" s="215"/>
    </row>
    <row r="197" s="132" customFormat="1" customHeight="1" spans="1:54">
      <c r="A197" s="220">
        <v>161</v>
      </c>
      <c r="C197" s="219"/>
      <c r="E197" s="132" t="s">
        <v>3786</v>
      </c>
      <c r="G197" s="219"/>
      <c r="H197" s="219"/>
      <c r="I197" s="132" t="s">
        <v>3787</v>
      </c>
      <c r="J197" s="132">
        <v>153.46</v>
      </c>
      <c r="K197" s="132">
        <v>153.46</v>
      </c>
      <c r="L197" s="132">
        <v>5250</v>
      </c>
      <c r="M197" s="213">
        <v>805665</v>
      </c>
      <c r="N197" s="215">
        <v>4935</v>
      </c>
      <c r="O197" s="229"/>
      <c r="P197" s="229"/>
      <c r="Q197" s="229"/>
      <c r="R197" s="215"/>
      <c r="S197" s="265"/>
      <c r="T197" s="266"/>
      <c r="U197" s="265"/>
      <c r="V197" s="215"/>
      <c r="W197" s="173"/>
      <c r="X197" s="215"/>
      <c r="Y197" s="173"/>
      <c r="AA197" s="173"/>
      <c r="AB197" s="215"/>
      <c r="AH197" s="215">
        <f t="shared" ref="AH197:AH260" si="23">V197+X197+Z197+AB197+AD197+AF197</f>
        <v>0</v>
      </c>
      <c r="AK197" s="173"/>
      <c r="AN197" s="229"/>
      <c r="AO197" s="132">
        <f t="shared" ref="AO197:AO260" si="24">SUM(AZ197:BQ197)</f>
        <v>0</v>
      </c>
      <c r="AP197" s="157"/>
      <c r="AQ197" s="251">
        <f t="shared" ref="AQ197:AQ260" si="25">AR197+AS197+AT197+AU197+AV197+AW197+AX197+AY197</f>
        <v>0</v>
      </c>
      <c r="AR197" s="215"/>
      <c r="AS197" s="215"/>
      <c r="AT197" s="215"/>
      <c r="AU197" s="215"/>
      <c r="AV197" s="215"/>
      <c r="AW197" s="215"/>
      <c r="AX197" s="215"/>
      <c r="AY197" s="215"/>
      <c r="AZ197" s="215"/>
      <c r="BB197" s="215"/>
    </row>
    <row r="198" s="132" customFormat="1" customHeight="1" spans="1:54">
      <c r="A198" s="220">
        <v>162</v>
      </c>
      <c r="C198" s="219"/>
      <c r="G198" s="219"/>
      <c r="H198" s="219"/>
      <c r="I198" s="132" t="s">
        <v>3788</v>
      </c>
      <c r="J198" s="132">
        <v>86.14</v>
      </c>
      <c r="M198" s="213"/>
      <c r="N198" s="215">
        <v>4947</v>
      </c>
      <c r="O198" s="229"/>
      <c r="P198" s="229"/>
      <c r="Q198" s="229"/>
      <c r="R198" s="215"/>
      <c r="S198" s="265"/>
      <c r="T198" s="266"/>
      <c r="U198" s="265"/>
      <c r="V198" s="215"/>
      <c r="W198" s="173"/>
      <c r="X198" s="215"/>
      <c r="Y198" s="173"/>
      <c r="AA198" s="173"/>
      <c r="AB198" s="215"/>
      <c r="AH198" s="215">
        <f t="shared" si="23"/>
        <v>0</v>
      </c>
      <c r="AK198" s="173"/>
      <c r="AN198" s="229"/>
      <c r="AO198" s="132">
        <f t="shared" si="24"/>
        <v>0</v>
      </c>
      <c r="AP198" s="157"/>
      <c r="AQ198" s="251">
        <f t="shared" si="25"/>
        <v>0</v>
      </c>
      <c r="AR198" s="215"/>
      <c r="AS198" s="215"/>
      <c r="AT198" s="215"/>
      <c r="AU198" s="215"/>
      <c r="AV198" s="215"/>
      <c r="AW198" s="215"/>
      <c r="AX198" s="215"/>
      <c r="AY198" s="215"/>
      <c r="AZ198" s="215"/>
      <c r="BB198" s="215"/>
    </row>
    <row r="199" s="135" customFormat="1" customHeight="1" spans="1:72">
      <c r="A199" s="220">
        <v>163</v>
      </c>
      <c r="C199" s="164" t="s">
        <v>163</v>
      </c>
      <c r="D199" s="135">
        <v>20240005753</v>
      </c>
      <c r="F199" s="834" t="s">
        <v>261</v>
      </c>
      <c r="G199" s="164" t="s">
        <v>262</v>
      </c>
      <c r="H199" s="846" t="s">
        <v>3789</v>
      </c>
      <c r="I199" s="135" t="s">
        <v>3790</v>
      </c>
      <c r="J199" s="135">
        <v>102.67</v>
      </c>
      <c r="K199" s="135">
        <v>102.67</v>
      </c>
      <c r="L199" s="135">
        <v>5000</v>
      </c>
      <c r="M199" s="233">
        <v>513350</v>
      </c>
      <c r="N199" s="184">
        <v>4945</v>
      </c>
      <c r="O199" s="234"/>
      <c r="P199" s="234"/>
      <c r="Q199" s="234"/>
      <c r="R199" s="184"/>
      <c r="S199" s="261"/>
      <c r="T199" s="262"/>
      <c r="U199" s="261" t="s">
        <v>590</v>
      </c>
      <c r="V199" s="184">
        <v>20000</v>
      </c>
      <c r="W199" s="261" t="s">
        <v>3378</v>
      </c>
      <c r="X199" s="184">
        <v>133350</v>
      </c>
      <c r="Y199" s="261" t="s">
        <v>163</v>
      </c>
      <c r="AA199" s="190"/>
      <c r="AB199" s="184"/>
      <c r="AH199" s="184">
        <f t="shared" si="23"/>
        <v>153350</v>
      </c>
      <c r="AK199" s="190">
        <f>M199-AH199</f>
        <v>360000</v>
      </c>
      <c r="AL199" s="135">
        <v>19999191818</v>
      </c>
      <c r="AN199" s="234"/>
      <c r="AO199" s="135">
        <f t="shared" si="24"/>
        <v>153350</v>
      </c>
      <c r="AP199" s="162">
        <f>0.4%+0.03%+0.12%</f>
        <v>0.0055</v>
      </c>
      <c r="AQ199" s="237">
        <f t="shared" si="25"/>
        <v>0</v>
      </c>
      <c r="AR199" s="184"/>
      <c r="AS199" s="184"/>
      <c r="AT199" s="184"/>
      <c r="AU199" s="184"/>
      <c r="AV199" s="184"/>
      <c r="AW199" s="184"/>
      <c r="AX199" s="184"/>
      <c r="AY199" s="184"/>
      <c r="AZ199" s="184"/>
      <c r="BB199" s="184"/>
      <c r="BN199" s="135">
        <v>153350</v>
      </c>
      <c r="BT199" s="135" t="s">
        <v>496</v>
      </c>
    </row>
    <row r="200" s="132" customFormat="1" customHeight="1" spans="1:54">
      <c r="A200" s="220">
        <v>164</v>
      </c>
      <c r="C200" s="219"/>
      <c r="G200" s="219"/>
      <c r="H200" s="219"/>
      <c r="I200" s="132" t="s">
        <v>3791</v>
      </c>
      <c r="J200" s="132">
        <v>153.46</v>
      </c>
      <c r="M200" s="213"/>
      <c r="N200" s="215">
        <v>4965</v>
      </c>
      <c r="O200" s="229"/>
      <c r="P200" s="229"/>
      <c r="Q200" s="229"/>
      <c r="R200" s="215"/>
      <c r="S200" s="265"/>
      <c r="T200" s="266"/>
      <c r="U200" s="265"/>
      <c r="V200" s="215"/>
      <c r="W200" s="173"/>
      <c r="X200" s="215"/>
      <c r="Y200" s="173"/>
      <c r="AA200" s="173"/>
      <c r="AB200" s="215"/>
      <c r="AH200" s="215">
        <f t="shared" si="23"/>
        <v>0</v>
      </c>
      <c r="AK200" s="173"/>
      <c r="AN200" s="229"/>
      <c r="AO200" s="132">
        <f t="shared" si="24"/>
        <v>0</v>
      </c>
      <c r="AP200" s="157"/>
      <c r="AQ200" s="251">
        <f t="shared" si="25"/>
        <v>0</v>
      </c>
      <c r="AR200" s="215"/>
      <c r="AS200" s="215"/>
      <c r="AT200" s="215"/>
      <c r="AU200" s="215"/>
      <c r="AV200" s="215"/>
      <c r="AW200" s="215"/>
      <c r="AX200" s="215"/>
      <c r="AY200" s="215"/>
      <c r="AZ200" s="215"/>
      <c r="BB200" s="215"/>
    </row>
    <row r="201" s="132" customFormat="1" customHeight="1" spans="1:54">
      <c r="A201" s="220">
        <v>165</v>
      </c>
      <c r="C201" s="219"/>
      <c r="E201" s="132" t="s">
        <v>3792</v>
      </c>
      <c r="G201" s="219"/>
      <c r="H201" s="219"/>
      <c r="I201" s="132" t="s">
        <v>3793</v>
      </c>
      <c r="J201" s="132">
        <v>86.14</v>
      </c>
      <c r="M201" s="213"/>
      <c r="N201" s="215">
        <v>4975</v>
      </c>
      <c r="O201" s="229"/>
      <c r="P201" s="229"/>
      <c r="Q201" s="229"/>
      <c r="R201" s="215"/>
      <c r="S201" s="265"/>
      <c r="T201" s="266"/>
      <c r="U201" s="265"/>
      <c r="V201" s="215"/>
      <c r="W201" s="173"/>
      <c r="X201" s="215"/>
      <c r="Y201" s="173"/>
      <c r="AA201" s="173"/>
      <c r="AB201" s="215"/>
      <c r="AH201" s="215">
        <f t="shared" si="23"/>
        <v>0</v>
      </c>
      <c r="AK201" s="173"/>
      <c r="AN201" s="229"/>
      <c r="AO201" s="132">
        <f t="shared" si="24"/>
        <v>0</v>
      </c>
      <c r="AP201" s="157"/>
      <c r="AQ201" s="251">
        <f t="shared" si="25"/>
        <v>0</v>
      </c>
      <c r="AR201" s="215"/>
      <c r="AS201" s="215"/>
      <c r="AT201" s="215"/>
      <c r="AU201" s="215"/>
      <c r="AV201" s="215"/>
      <c r="AW201" s="215"/>
      <c r="AX201" s="215"/>
      <c r="AY201" s="215"/>
      <c r="AZ201" s="215"/>
      <c r="BB201" s="215"/>
    </row>
    <row r="202" s="135" customFormat="1" customHeight="1" spans="1:77">
      <c r="A202" s="220">
        <v>166</v>
      </c>
      <c r="C202" s="191">
        <v>45366</v>
      </c>
      <c r="D202" s="135">
        <v>20240001393</v>
      </c>
      <c r="F202" s="834" t="s">
        <v>3794</v>
      </c>
      <c r="G202" s="164" t="s">
        <v>3795</v>
      </c>
      <c r="H202" s="846" t="s">
        <v>3796</v>
      </c>
      <c r="I202" s="135" t="s">
        <v>3797</v>
      </c>
      <c r="J202" s="135">
        <v>115.78</v>
      </c>
      <c r="K202" s="135">
        <v>115.78</v>
      </c>
      <c r="L202" s="135">
        <v>5100</v>
      </c>
      <c r="M202" s="233">
        <v>590478</v>
      </c>
      <c r="N202" s="184">
        <v>4975</v>
      </c>
      <c r="O202" s="190"/>
      <c r="P202" s="234"/>
      <c r="Q202" s="234"/>
      <c r="R202" s="184"/>
      <c r="S202" s="261"/>
      <c r="T202" s="262"/>
      <c r="U202" s="261" t="s">
        <v>2249</v>
      </c>
      <c r="V202" s="184">
        <v>20000</v>
      </c>
      <c r="W202" s="261" t="s">
        <v>3552</v>
      </c>
      <c r="X202" s="184">
        <f>100000+30478</f>
        <v>130478</v>
      </c>
      <c r="Y202" s="190" t="s">
        <v>3706</v>
      </c>
      <c r="Z202" s="184">
        <v>440000</v>
      </c>
      <c r="AA202" s="261" t="s">
        <v>717</v>
      </c>
      <c r="AB202" s="184"/>
      <c r="AH202" s="184">
        <f t="shared" si="23"/>
        <v>590478</v>
      </c>
      <c r="AK202" s="190">
        <f>M202-AH202</f>
        <v>0</v>
      </c>
      <c r="AL202" s="135">
        <v>18799800947</v>
      </c>
      <c r="AN202" s="234"/>
      <c r="AO202" s="135">
        <f t="shared" si="24"/>
        <v>590478</v>
      </c>
      <c r="AP202" s="166">
        <f>0.5%+0.04%+0.12%</f>
        <v>0.0066</v>
      </c>
      <c r="AQ202" s="237">
        <f t="shared" si="25"/>
        <v>0</v>
      </c>
      <c r="AR202" s="184"/>
      <c r="AS202" s="184"/>
      <c r="AT202" s="184"/>
      <c r="AU202" s="184"/>
      <c r="AV202" s="184"/>
      <c r="AW202" s="184"/>
      <c r="AX202" s="184"/>
      <c r="AY202" s="184"/>
      <c r="AZ202" s="184"/>
      <c r="BB202" s="184"/>
      <c r="BG202" s="135">
        <v>150478</v>
      </c>
      <c r="BI202" s="135">
        <v>440000</v>
      </c>
      <c r="BT202" s="135" t="s">
        <v>496</v>
      </c>
      <c r="BU202" s="135" t="s">
        <v>506</v>
      </c>
      <c r="BY202" s="135">
        <f>BW202-BX202</f>
        <v>0</v>
      </c>
    </row>
    <row r="203" s="135" customFormat="1" customHeight="1" spans="1:73">
      <c r="A203" s="220">
        <v>167</v>
      </c>
      <c r="C203" s="191">
        <v>45440</v>
      </c>
      <c r="D203" s="135">
        <v>20240003146</v>
      </c>
      <c r="F203" s="834" t="s">
        <v>3798</v>
      </c>
      <c r="G203" s="164" t="s">
        <v>3799</v>
      </c>
      <c r="H203" s="846" t="s">
        <v>3800</v>
      </c>
      <c r="I203" s="135" t="s">
        <v>3801</v>
      </c>
      <c r="J203" s="135">
        <v>153.46</v>
      </c>
      <c r="K203" s="135">
        <v>153.46</v>
      </c>
      <c r="L203" s="135">
        <v>5082.75</v>
      </c>
      <c r="M203" s="233">
        <v>780000</v>
      </c>
      <c r="N203" s="184">
        <v>5008</v>
      </c>
      <c r="O203" s="234"/>
      <c r="P203" s="234"/>
      <c r="Q203" s="234"/>
      <c r="R203" s="184"/>
      <c r="S203" s="261"/>
      <c r="T203" s="262"/>
      <c r="U203" s="261" t="s">
        <v>721</v>
      </c>
      <c r="V203" s="184">
        <v>30000</v>
      </c>
      <c r="W203" s="261" t="s">
        <v>3802</v>
      </c>
      <c r="X203" s="184">
        <v>500000</v>
      </c>
      <c r="Y203" s="261" t="s">
        <v>3803</v>
      </c>
      <c r="Z203" s="184">
        <v>250000</v>
      </c>
      <c r="AA203" s="261" t="s">
        <v>814</v>
      </c>
      <c r="AB203" s="184"/>
      <c r="AH203" s="184">
        <f t="shared" si="23"/>
        <v>780000</v>
      </c>
      <c r="AK203" s="190">
        <f>M203-AH203</f>
        <v>0</v>
      </c>
      <c r="AL203" s="135">
        <v>15199917772</v>
      </c>
      <c r="AN203" s="234"/>
      <c r="AO203" s="135">
        <f t="shared" si="24"/>
        <v>780000</v>
      </c>
      <c r="AP203" s="166">
        <f>0.7%+0.05%+0.12%</f>
        <v>0.0087</v>
      </c>
      <c r="AQ203" s="237">
        <f t="shared" si="25"/>
        <v>0</v>
      </c>
      <c r="AR203" s="184"/>
      <c r="AS203" s="184"/>
      <c r="AT203" s="184"/>
      <c r="AU203" s="184"/>
      <c r="AV203" s="184"/>
      <c r="AW203" s="184"/>
      <c r="AX203" s="184"/>
      <c r="AY203" s="184"/>
      <c r="AZ203" s="184"/>
      <c r="BB203" s="184"/>
      <c r="BI203" s="135">
        <v>530000</v>
      </c>
      <c r="BJ203" s="135">
        <v>250000</v>
      </c>
      <c r="BT203" s="135" t="s">
        <v>496</v>
      </c>
      <c r="BU203" s="135" t="s">
        <v>506</v>
      </c>
    </row>
    <row r="204" s="132" customFormat="1" customHeight="1" spans="1:54">
      <c r="A204" s="220">
        <v>168</v>
      </c>
      <c r="C204" s="219"/>
      <c r="E204" s="132" t="s">
        <v>3783</v>
      </c>
      <c r="G204" s="219"/>
      <c r="H204" s="219"/>
      <c r="I204" s="132" t="s">
        <v>3804</v>
      </c>
      <c r="J204" s="132">
        <v>86.14</v>
      </c>
      <c r="M204" s="213"/>
      <c r="N204" s="215">
        <v>5018</v>
      </c>
      <c r="O204" s="229"/>
      <c r="P204" s="229"/>
      <c r="Q204" s="229"/>
      <c r="R204" s="215"/>
      <c r="S204" s="265"/>
      <c r="T204" s="266"/>
      <c r="U204" s="265"/>
      <c r="V204" s="215"/>
      <c r="W204" s="173"/>
      <c r="X204" s="215"/>
      <c r="Y204" s="173"/>
      <c r="AA204" s="173"/>
      <c r="AB204" s="215"/>
      <c r="AH204" s="215">
        <f t="shared" si="23"/>
        <v>0</v>
      </c>
      <c r="AK204" s="173"/>
      <c r="AN204" s="229"/>
      <c r="AO204" s="132">
        <f t="shared" si="24"/>
        <v>0</v>
      </c>
      <c r="AP204" s="157"/>
      <c r="AQ204" s="251">
        <f t="shared" si="25"/>
        <v>0</v>
      </c>
      <c r="AR204" s="215"/>
      <c r="AS204" s="215"/>
      <c r="AT204" s="215"/>
      <c r="AU204" s="215"/>
      <c r="AV204" s="215"/>
      <c r="AW204" s="215"/>
      <c r="AX204" s="215"/>
      <c r="AY204" s="215"/>
      <c r="AZ204" s="215"/>
      <c r="BB204" s="215"/>
    </row>
    <row r="205" s="135" customFormat="1" customHeight="1" spans="1:73">
      <c r="A205" s="220">
        <v>169</v>
      </c>
      <c r="C205" s="164" t="s">
        <v>848</v>
      </c>
      <c r="D205" s="135">
        <v>20240001173</v>
      </c>
      <c r="F205" s="834" t="s">
        <v>3805</v>
      </c>
      <c r="G205" s="164" t="s">
        <v>3806</v>
      </c>
      <c r="H205" s="846" t="s">
        <v>3807</v>
      </c>
      <c r="I205" s="135" t="s">
        <v>3808</v>
      </c>
      <c r="J205" s="135">
        <v>115.78</v>
      </c>
      <c r="K205" s="135">
        <v>115.78</v>
      </c>
      <c r="L205" s="135">
        <v>5118</v>
      </c>
      <c r="M205" s="233">
        <v>592562</v>
      </c>
      <c r="N205" s="184">
        <v>5018</v>
      </c>
      <c r="O205" s="190"/>
      <c r="P205" s="234"/>
      <c r="Q205" s="234"/>
      <c r="R205" s="184"/>
      <c r="S205" s="261"/>
      <c r="T205" s="262"/>
      <c r="U205" s="261" t="s">
        <v>842</v>
      </c>
      <c r="V205" s="184">
        <v>10000</v>
      </c>
      <c r="W205" s="261" t="s">
        <v>586</v>
      </c>
      <c r="X205" s="184">
        <v>112562</v>
      </c>
      <c r="Y205" s="190" t="s">
        <v>848</v>
      </c>
      <c r="Z205" s="135">
        <v>470000</v>
      </c>
      <c r="AA205" s="190" t="s">
        <v>550</v>
      </c>
      <c r="AB205" s="184"/>
      <c r="AH205" s="184">
        <f t="shared" si="23"/>
        <v>592562</v>
      </c>
      <c r="AK205" s="190">
        <f t="shared" ref="AK205:AK209" si="26">M205-AH205</f>
        <v>0</v>
      </c>
      <c r="AL205" s="135">
        <v>17599260161</v>
      </c>
      <c r="AN205" s="234"/>
      <c r="AO205" s="135">
        <f t="shared" si="24"/>
        <v>592562</v>
      </c>
      <c r="AP205" s="162">
        <f>0.5%+0.04%+0.14%</f>
        <v>0.0068</v>
      </c>
      <c r="AQ205" s="237">
        <f t="shared" si="25"/>
        <v>0</v>
      </c>
      <c r="AR205" s="184"/>
      <c r="AS205" s="184"/>
      <c r="AT205" s="184"/>
      <c r="AU205" s="184"/>
      <c r="AV205" s="184"/>
      <c r="AW205" s="184"/>
      <c r="AX205" s="184"/>
      <c r="AY205" s="184"/>
      <c r="AZ205" s="184"/>
      <c r="BB205" s="184"/>
      <c r="BG205" s="135">
        <v>592562</v>
      </c>
      <c r="BT205" s="135" t="s">
        <v>496</v>
      </c>
      <c r="BU205" s="135" t="s">
        <v>506</v>
      </c>
    </row>
    <row r="206" s="135" customFormat="1" ht="55" customHeight="1" spans="1:73">
      <c r="A206" s="220">
        <v>170</v>
      </c>
      <c r="C206" s="191">
        <v>45356</v>
      </c>
      <c r="D206" s="135">
        <v>20240001149</v>
      </c>
      <c r="F206" s="834" t="s">
        <v>3809</v>
      </c>
      <c r="G206" s="164" t="s">
        <v>3810</v>
      </c>
      <c r="H206" s="846" t="s">
        <v>3811</v>
      </c>
      <c r="I206" s="135" t="s">
        <v>3812</v>
      </c>
      <c r="J206" s="135">
        <v>132.34</v>
      </c>
      <c r="K206" s="135">
        <v>132.34</v>
      </c>
      <c r="L206" s="135">
        <v>5100.5</v>
      </c>
      <c r="M206" s="233">
        <v>675000</v>
      </c>
      <c r="N206" s="184">
        <v>5044</v>
      </c>
      <c r="O206" s="190"/>
      <c r="P206" s="234"/>
      <c r="Q206" s="234"/>
      <c r="R206" s="184"/>
      <c r="S206" s="261"/>
      <c r="T206" s="262"/>
      <c r="U206" s="261" t="s">
        <v>3813</v>
      </c>
      <c r="V206" s="184">
        <f>10000-10000</f>
        <v>0</v>
      </c>
      <c r="W206" s="261" t="s">
        <v>3814</v>
      </c>
      <c r="X206" s="184">
        <f>5000-5000</f>
        <v>0</v>
      </c>
      <c r="Y206" s="261" t="s">
        <v>725</v>
      </c>
      <c r="Z206" s="184">
        <v>20000</v>
      </c>
      <c r="AA206" s="261" t="s">
        <v>993</v>
      </c>
      <c r="AB206" s="184">
        <v>115000</v>
      </c>
      <c r="AC206" s="261" t="s">
        <v>848</v>
      </c>
      <c r="AD206" s="184">
        <v>540000</v>
      </c>
      <c r="AE206" s="261" t="s">
        <v>631</v>
      </c>
      <c r="AH206" s="184">
        <f t="shared" si="23"/>
        <v>675000</v>
      </c>
      <c r="AK206" s="190">
        <f t="shared" si="26"/>
        <v>0</v>
      </c>
      <c r="AL206" s="135">
        <v>18699621815</v>
      </c>
      <c r="AN206" s="234"/>
      <c r="AO206" s="135">
        <f t="shared" si="24"/>
        <v>675000</v>
      </c>
      <c r="AP206" s="166">
        <f>0.7%+0.05%+0.14%</f>
        <v>0.0089</v>
      </c>
      <c r="AQ206" s="237">
        <f t="shared" si="25"/>
        <v>0</v>
      </c>
      <c r="AR206" s="184"/>
      <c r="AS206" s="184"/>
      <c r="AT206" s="184"/>
      <c r="AU206" s="184"/>
      <c r="AV206" s="184"/>
      <c r="AW206" s="184"/>
      <c r="AX206" s="184"/>
      <c r="AY206" s="184"/>
      <c r="AZ206" s="184"/>
      <c r="BB206" s="184"/>
      <c r="BG206" s="135">
        <v>135000</v>
      </c>
      <c r="BH206" s="135">
        <v>540000</v>
      </c>
      <c r="BT206" s="135" t="s">
        <v>496</v>
      </c>
      <c r="BU206" s="135" t="s">
        <v>506</v>
      </c>
    </row>
    <row r="207" s="132" customFormat="1" customHeight="1" spans="1:54">
      <c r="A207" s="220">
        <v>171</v>
      </c>
      <c r="C207" s="219"/>
      <c r="E207" s="132" t="s">
        <v>3815</v>
      </c>
      <c r="G207" s="219"/>
      <c r="H207" s="219"/>
      <c r="I207" s="132" t="s">
        <v>3816</v>
      </c>
      <c r="J207" s="132">
        <v>86.14</v>
      </c>
      <c r="M207" s="213"/>
      <c r="N207" s="215">
        <v>5054</v>
      </c>
      <c r="O207" s="229"/>
      <c r="P207" s="229"/>
      <c r="Q207" s="229"/>
      <c r="R207" s="215"/>
      <c r="S207" s="265"/>
      <c r="T207" s="266"/>
      <c r="U207" s="265"/>
      <c r="V207" s="215"/>
      <c r="W207" s="173"/>
      <c r="X207" s="215"/>
      <c r="Y207" s="173"/>
      <c r="AA207" s="173"/>
      <c r="AB207" s="215"/>
      <c r="AH207" s="215">
        <f t="shared" si="23"/>
        <v>0</v>
      </c>
      <c r="AK207" s="173"/>
      <c r="AN207" s="229"/>
      <c r="AO207" s="132">
        <f t="shared" si="24"/>
        <v>0</v>
      </c>
      <c r="AP207" s="157"/>
      <c r="AQ207" s="251">
        <f t="shared" si="25"/>
        <v>0</v>
      </c>
      <c r="AR207" s="215"/>
      <c r="AS207" s="215"/>
      <c r="AT207" s="215"/>
      <c r="AU207" s="215"/>
      <c r="AV207" s="215"/>
      <c r="AW207" s="215"/>
      <c r="AX207" s="215"/>
      <c r="AY207" s="215"/>
      <c r="AZ207" s="215"/>
      <c r="BB207" s="215"/>
    </row>
    <row r="208" s="135" customFormat="1" customHeight="1" spans="1:73">
      <c r="A208" s="220">
        <v>172</v>
      </c>
      <c r="C208" s="164" t="s">
        <v>3478</v>
      </c>
      <c r="D208" s="135">
        <v>20240001132</v>
      </c>
      <c r="F208" s="834" t="s">
        <v>3817</v>
      </c>
      <c r="G208" s="164" t="s">
        <v>3818</v>
      </c>
      <c r="H208" s="846" t="s">
        <v>3819</v>
      </c>
      <c r="I208" s="135" t="s">
        <v>3820</v>
      </c>
      <c r="J208" s="135">
        <v>115.78</v>
      </c>
      <c r="K208" s="135">
        <v>115.78</v>
      </c>
      <c r="L208" s="135">
        <v>5096</v>
      </c>
      <c r="M208" s="233">
        <v>590000</v>
      </c>
      <c r="N208" s="184">
        <v>5054</v>
      </c>
      <c r="O208" s="190"/>
      <c r="P208" s="234"/>
      <c r="Q208" s="234"/>
      <c r="R208" s="184"/>
      <c r="S208" s="261"/>
      <c r="T208" s="262"/>
      <c r="U208" s="261" t="s">
        <v>2249</v>
      </c>
      <c r="V208" s="184">
        <v>10000</v>
      </c>
      <c r="W208" s="261" t="s">
        <v>586</v>
      </c>
      <c r="X208" s="184">
        <v>290000</v>
      </c>
      <c r="Y208" s="190" t="s">
        <v>3478</v>
      </c>
      <c r="Z208" s="135">
        <v>290000</v>
      </c>
      <c r="AA208" s="190" t="s">
        <v>3488</v>
      </c>
      <c r="AB208" s="184"/>
      <c r="AH208" s="184">
        <f t="shared" si="23"/>
        <v>590000</v>
      </c>
      <c r="AK208" s="190">
        <f t="shared" si="26"/>
        <v>0</v>
      </c>
      <c r="AL208" s="135">
        <v>18699696611</v>
      </c>
      <c r="AN208" s="234"/>
      <c r="AO208" s="135">
        <f t="shared" si="24"/>
        <v>590000</v>
      </c>
      <c r="AP208" s="166">
        <f>0.7%+0.04%+0.14%</f>
        <v>0.0088</v>
      </c>
      <c r="AQ208" s="237">
        <f t="shared" si="25"/>
        <v>0</v>
      </c>
      <c r="AR208" s="184"/>
      <c r="AS208" s="184"/>
      <c r="AT208" s="184"/>
      <c r="AU208" s="184"/>
      <c r="AV208" s="184"/>
      <c r="AW208" s="184"/>
      <c r="AX208" s="184"/>
      <c r="AY208" s="184"/>
      <c r="AZ208" s="184"/>
      <c r="BB208" s="184"/>
      <c r="BG208" s="135">
        <v>590000</v>
      </c>
      <c r="BT208" s="135" t="s">
        <v>496</v>
      </c>
      <c r="BU208" s="135" t="s">
        <v>506</v>
      </c>
    </row>
    <row r="209" s="135" customFormat="1" customHeight="1" spans="1:73">
      <c r="A209" s="220">
        <v>173</v>
      </c>
      <c r="C209" s="191">
        <v>45401</v>
      </c>
      <c r="D209" s="135">
        <v>20240002185</v>
      </c>
      <c r="F209" s="834" t="s">
        <v>3821</v>
      </c>
      <c r="G209" s="164" t="s">
        <v>3822</v>
      </c>
      <c r="H209" s="846" t="s">
        <v>3823</v>
      </c>
      <c r="I209" s="135" t="s">
        <v>3824</v>
      </c>
      <c r="J209" s="135">
        <v>132.34</v>
      </c>
      <c r="K209" s="135">
        <v>132.34</v>
      </c>
      <c r="L209" s="135">
        <v>5191.17</v>
      </c>
      <c r="M209" s="233">
        <v>687000</v>
      </c>
      <c r="N209" s="184">
        <v>5095</v>
      </c>
      <c r="O209" s="190"/>
      <c r="P209" s="234"/>
      <c r="Q209" s="234"/>
      <c r="R209" s="184"/>
      <c r="S209" s="261"/>
      <c r="T209" s="262"/>
      <c r="U209" s="261" t="s">
        <v>590</v>
      </c>
      <c r="V209" s="184">
        <v>20000</v>
      </c>
      <c r="W209" s="261" t="s">
        <v>3416</v>
      </c>
      <c r="X209" s="184">
        <v>517000</v>
      </c>
      <c r="Y209" s="261" t="s">
        <v>504</v>
      </c>
      <c r="Z209" s="184">
        <v>150000</v>
      </c>
      <c r="AA209" s="261" t="s">
        <v>3389</v>
      </c>
      <c r="AB209" s="184"/>
      <c r="AH209" s="184">
        <f t="shared" si="23"/>
        <v>687000</v>
      </c>
      <c r="AK209" s="190">
        <f t="shared" si="26"/>
        <v>0</v>
      </c>
      <c r="AL209" s="135">
        <v>19990287649</v>
      </c>
      <c r="AN209" s="234"/>
      <c r="AO209" s="135">
        <f t="shared" si="24"/>
        <v>687000</v>
      </c>
      <c r="AP209" s="162">
        <f>0.5%+0.04%+0.14%</f>
        <v>0.0068</v>
      </c>
      <c r="AQ209" s="237">
        <f t="shared" si="25"/>
        <v>0</v>
      </c>
      <c r="AR209" s="184"/>
      <c r="AS209" s="184"/>
      <c r="AT209" s="184"/>
      <c r="AU209" s="184"/>
      <c r="AV209" s="184"/>
      <c r="AW209" s="184"/>
      <c r="AX209" s="184"/>
      <c r="AY209" s="184"/>
      <c r="AZ209" s="184"/>
      <c r="BB209" s="184"/>
      <c r="BH209" s="135">
        <v>537000</v>
      </c>
      <c r="BJ209" s="135">
        <v>150000</v>
      </c>
      <c r="BT209" s="135" t="s">
        <v>496</v>
      </c>
      <c r="BU209" s="135" t="s">
        <v>506</v>
      </c>
    </row>
    <row r="210" s="132" customFormat="1" customHeight="1" spans="1:54">
      <c r="A210" s="220">
        <v>174</v>
      </c>
      <c r="C210" s="219"/>
      <c r="E210" s="132" t="s">
        <v>3825</v>
      </c>
      <c r="G210" s="219"/>
      <c r="H210" s="219"/>
      <c r="I210" s="132" t="s">
        <v>3826</v>
      </c>
      <c r="J210" s="132">
        <v>86.14</v>
      </c>
      <c r="M210" s="213"/>
      <c r="N210" s="215">
        <v>5115</v>
      </c>
      <c r="O210" s="229"/>
      <c r="P210" s="229"/>
      <c r="Q210" s="229"/>
      <c r="R210" s="215"/>
      <c r="S210" s="265"/>
      <c r="T210" s="266"/>
      <c r="U210" s="265"/>
      <c r="V210" s="215"/>
      <c r="W210" s="173"/>
      <c r="X210" s="215"/>
      <c r="Y210" s="173"/>
      <c r="AA210" s="173"/>
      <c r="AB210" s="215"/>
      <c r="AH210" s="215">
        <f t="shared" si="23"/>
        <v>0</v>
      </c>
      <c r="AK210" s="173"/>
      <c r="AN210" s="229"/>
      <c r="AO210" s="132">
        <f t="shared" si="24"/>
        <v>0</v>
      </c>
      <c r="AP210" s="157"/>
      <c r="AQ210" s="251">
        <f t="shared" si="25"/>
        <v>0</v>
      </c>
      <c r="AR210" s="215"/>
      <c r="AS210" s="215"/>
      <c r="AT210" s="215"/>
      <c r="AU210" s="215"/>
      <c r="AV210" s="215"/>
      <c r="AW210" s="215"/>
      <c r="AX210" s="215"/>
      <c r="AY210" s="215"/>
      <c r="AZ210" s="215"/>
      <c r="BB210" s="215"/>
    </row>
    <row r="211" s="135" customFormat="1" customHeight="1" spans="1:73">
      <c r="A211" s="220">
        <v>175</v>
      </c>
      <c r="C211" s="191">
        <v>45353</v>
      </c>
      <c r="D211" s="135">
        <v>20240001101</v>
      </c>
      <c r="F211" s="834" t="s">
        <v>3827</v>
      </c>
      <c r="G211" s="164" t="s">
        <v>3828</v>
      </c>
      <c r="H211" s="846" t="s">
        <v>3829</v>
      </c>
      <c r="I211" s="135" t="s">
        <v>3830</v>
      </c>
      <c r="J211" s="135">
        <v>115.78</v>
      </c>
      <c r="K211" s="135">
        <v>115.78</v>
      </c>
      <c r="L211" s="135">
        <v>5205</v>
      </c>
      <c r="M211" s="233">
        <v>602635</v>
      </c>
      <c r="N211" s="184">
        <v>5105</v>
      </c>
      <c r="O211" s="234"/>
      <c r="P211" s="234"/>
      <c r="Q211" s="234"/>
      <c r="R211" s="184"/>
      <c r="S211" s="261"/>
      <c r="T211" s="262"/>
      <c r="U211" s="261" t="s">
        <v>515</v>
      </c>
      <c r="V211" s="184">
        <v>20000</v>
      </c>
      <c r="W211" s="261" t="s">
        <v>3831</v>
      </c>
      <c r="X211" s="184">
        <v>125000</v>
      </c>
      <c r="Y211" s="261" t="s">
        <v>586</v>
      </c>
      <c r="Z211" s="135">
        <v>55000</v>
      </c>
      <c r="AA211" s="190" t="s">
        <v>586</v>
      </c>
      <c r="AB211" s="184">
        <v>402635</v>
      </c>
      <c r="AC211" s="261" t="s">
        <v>3832</v>
      </c>
      <c r="AH211" s="184">
        <f t="shared" si="23"/>
        <v>602635</v>
      </c>
      <c r="AK211" s="190">
        <f t="shared" ref="AK211:AK215" si="27">M211-AH211</f>
        <v>0</v>
      </c>
      <c r="AL211" s="135">
        <v>13364854094</v>
      </c>
      <c r="AN211" s="234"/>
      <c r="AO211" s="135">
        <f t="shared" si="24"/>
        <v>602635</v>
      </c>
      <c r="AP211" s="166">
        <f>0.7%+0.03%+0.12%</f>
        <v>0.0085</v>
      </c>
      <c r="AQ211" s="237">
        <f t="shared" si="25"/>
        <v>0</v>
      </c>
      <c r="AR211" s="184"/>
      <c r="AS211" s="184"/>
      <c r="AT211" s="184"/>
      <c r="AU211" s="184"/>
      <c r="AV211" s="184"/>
      <c r="AW211" s="184"/>
      <c r="AX211" s="184"/>
      <c r="AY211" s="184"/>
      <c r="AZ211" s="184"/>
      <c r="BB211" s="184"/>
      <c r="BM211" s="135">
        <v>602635</v>
      </c>
      <c r="BT211" s="135" t="s">
        <v>496</v>
      </c>
      <c r="BU211" s="135" t="s">
        <v>506</v>
      </c>
    </row>
    <row r="212" s="135" customFormat="1" customHeight="1" spans="1:73">
      <c r="A212" s="220">
        <v>176</v>
      </c>
      <c r="C212" s="191">
        <v>45344</v>
      </c>
      <c r="D212" s="135">
        <v>20240000921</v>
      </c>
      <c r="F212" s="834" t="s">
        <v>3833</v>
      </c>
      <c r="G212" s="164" t="s">
        <v>3834</v>
      </c>
      <c r="H212" s="846" t="s">
        <v>3835</v>
      </c>
      <c r="I212" s="135" t="s">
        <v>3836</v>
      </c>
      <c r="J212" s="135">
        <v>132.34</v>
      </c>
      <c r="K212" s="135">
        <v>132.34</v>
      </c>
      <c r="L212" s="135">
        <v>5213.84</v>
      </c>
      <c r="M212" s="233">
        <v>690000</v>
      </c>
      <c r="N212" s="184">
        <v>5155</v>
      </c>
      <c r="O212" s="190"/>
      <c r="P212" s="234"/>
      <c r="Q212" s="234"/>
      <c r="R212" s="184"/>
      <c r="S212" s="261"/>
      <c r="T212" s="262"/>
      <c r="U212" s="261" t="s">
        <v>508</v>
      </c>
      <c r="V212" s="184">
        <v>20000</v>
      </c>
      <c r="W212" s="261" t="s">
        <v>962</v>
      </c>
      <c r="X212" s="184">
        <v>670000</v>
      </c>
      <c r="Y212" s="190" t="s">
        <v>3551</v>
      </c>
      <c r="AA212" s="190"/>
      <c r="AB212" s="184"/>
      <c r="AH212" s="184">
        <f t="shared" si="23"/>
        <v>690000</v>
      </c>
      <c r="AK212" s="190">
        <f t="shared" si="27"/>
        <v>0</v>
      </c>
      <c r="AL212" s="135">
        <v>13201131444</v>
      </c>
      <c r="AN212" s="234"/>
      <c r="AO212" s="135">
        <f t="shared" si="24"/>
        <v>690000</v>
      </c>
      <c r="AP212" s="166">
        <f>0.6%+0.05%+0.14%</f>
        <v>0.0079</v>
      </c>
      <c r="AQ212" s="237">
        <f t="shared" si="25"/>
        <v>0</v>
      </c>
      <c r="AR212" s="184"/>
      <c r="AS212" s="184"/>
      <c r="AT212" s="184"/>
      <c r="AU212" s="184"/>
      <c r="AV212" s="184"/>
      <c r="AW212" s="184"/>
      <c r="AX212" s="184"/>
      <c r="AY212" s="184"/>
      <c r="AZ212" s="184"/>
      <c r="BB212" s="184"/>
      <c r="BF212" s="135">
        <v>690000</v>
      </c>
      <c r="BT212" s="135" t="s">
        <v>496</v>
      </c>
      <c r="BU212" s="135" t="s">
        <v>506</v>
      </c>
    </row>
    <row r="213" s="135" customFormat="1" customHeight="1" spans="1:72">
      <c r="A213" s="220">
        <v>177</v>
      </c>
      <c r="C213" s="191">
        <v>45546</v>
      </c>
      <c r="D213" s="135">
        <v>20240005221</v>
      </c>
      <c r="F213" s="834" t="s">
        <v>3837</v>
      </c>
      <c r="G213" s="164" t="s">
        <v>3838</v>
      </c>
      <c r="H213" s="164"/>
      <c r="I213" s="135" t="s">
        <v>3839</v>
      </c>
      <c r="J213" s="135">
        <v>86.14</v>
      </c>
      <c r="K213" s="135">
        <v>86.14</v>
      </c>
      <c r="L213" s="135">
        <v>5300</v>
      </c>
      <c r="M213" s="233">
        <v>456542</v>
      </c>
      <c r="N213" s="184">
        <v>5195</v>
      </c>
      <c r="O213" s="234"/>
      <c r="P213" s="234"/>
      <c r="Q213" s="234"/>
      <c r="R213" s="184"/>
      <c r="S213" s="261"/>
      <c r="T213" s="262"/>
      <c r="U213" s="261" t="s">
        <v>590</v>
      </c>
      <c r="V213" s="184">
        <v>10000</v>
      </c>
      <c r="W213" s="261" t="s">
        <v>3731</v>
      </c>
      <c r="X213" s="184">
        <v>6542</v>
      </c>
      <c r="Y213" s="261">
        <v>45546</v>
      </c>
      <c r="Z213" s="135">
        <v>140000</v>
      </c>
      <c r="AA213" s="190" t="s">
        <v>790</v>
      </c>
      <c r="AB213" s="184">
        <v>300000</v>
      </c>
      <c r="AC213" s="261" t="s">
        <v>344</v>
      </c>
      <c r="AH213" s="184">
        <f t="shared" si="23"/>
        <v>456542</v>
      </c>
      <c r="AK213" s="190">
        <f t="shared" si="27"/>
        <v>0</v>
      </c>
      <c r="AL213" s="135">
        <v>13779679327</v>
      </c>
      <c r="AN213" s="234"/>
      <c r="AO213" s="135">
        <f t="shared" si="24"/>
        <v>456542</v>
      </c>
      <c r="AP213" s="162">
        <f>0.4%+0.03%+0.12%</f>
        <v>0.0055</v>
      </c>
      <c r="AQ213" s="237">
        <f t="shared" si="25"/>
        <v>0</v>
      </c>
      <c r="AR213" s="184"/>
      <c r="AS213" s="184"/>
      <c r="AT213" s="184"/>
      <c r="AU213" s="184"/>
      <c r="AV213" s="184"/>
      <c r="AW213" s="184"/>
      <c r="AX213" s="184"/>
      <c r="AY213" s="184"/>
      <c r="AZ213" s="184"/>
      <c r="BB213" s="184"/>
      <c r="BO213" s="135">
        <v>456542</v>
      </c>
      <c r="BT213" s="135" t="s">
        <v>496</v>
      </c>
    </row>
    <row r="214" s="135" customFormat="1" customHeight="1" spans="1:73">
      <c r="A214" s="220">
        <v>178</v>
      </c>
      <c r="C214" s="164" t="s">
        <v>559</v>
      </c>
      <c r="D214" s="135">
        <v>20240000478</v>
      </c>
      <c r="G214" s="164" t="s">
        <v>3840</v>
      </c>
      <c r="H214" s="164"/>
      <c r="I214" s="135" t="s">
        <v>3841</v>
      </c>
      <c r="J214" s="135">
        <v>115.78</v>
      </c>
      <c r="K214" s="135">
        <v>115.78</v>
      </c>
      <c r="L214" s="135">
        <f>M214/K214</f>
        <v>5268.6128865089</v>
      </c>
      <c r="M214" s="233">
        <v>610000</v>
      </c>
      <c r="N214" s="184">
        <v>5165</v>
      </c>
      <c r="O214" s="190"/>
      <c r="P214" s="234"/>
      <c r="Q214" s="234"/>
      <c r="R214" s="184"/>
      <c r="S214" s="261"/>
      <c r="T214" s="262"/>
      <c r="U214" s="261"/>
      <c r="V214" s="184">
        <v>20000</v>
      </c>
      <c r="W214" s="261" t="s">
        <v>3463</v>
      </c>
      <c r="X214" s="184">
        <v>170000</v>
      </c>
      <c r="Y214" s="190" t="s">
        <v>559</v>
      </c>
      <c r="Z214" s="184">
        <v>420000</v>
      </c>
      <c r="AA214" s="261" t="s">
        <v>3388</v>
      </c>
      <c r="AB214" s="184"/>
      <c r="AH214" s="184">
        <f t="shared" si="23"/>
        <v>610000</v>
      </c>
      <c r="AK214" s="190">
        <f t="shared" si="27"/>
        <v>0</v>
      </c>
      <c r="AN214" s="234"/>
      <c r="AO214" s="135">
        <f t="shared" si="24"/>
        <v>610000</v>
      </c>
      <c r="AP214" s="166">
        <f>0.4%+0.04%+0.12%</f>
        <v>0.0056</v>
      </c>
      <c r="AQ214" s="237">
        <f t="shared" si="25"/>
        <v>0</v>
      </c>
      <c r="AR214" s="184"/>
      <c r="AS214" s="184"/>
      <c r="AT214" s="184"/>
      <c r="AU214" s="184"/>
      <c r="AV214" s="184"/>
      <c r="AW214" s="184"/>
      <c r="AX214" s="184"/>
      <c r="AY214" s="184"/>
      <c r="AZ214" s="184"/>
      <c r="BB214" s="184"/>
      <c r="BE214" s="135">
        <v>190000</v>
      </c>
      <c r="BG214" s="135">
        <v>420000</v>
      </c>
      <c r="BT214" s="135" t="s">
        <v>496</v>
      </c>
      <c r="BU214" s="135" t="s">
        <v>506</v>
      </c>
    </row>
    <row r="215" s="135" customFormat="1" customHeight="1" spans="1:76">
      <c r="A215" s="220">
        <v>179</v>
      </c>
      <c r="C215" s="164" t="s">
        <v>3416</v>
      </c>
      <c r="D215" s="135">
        <v>20240000900</v>
      </c>
      <c r="F215" s="834" t="s">
        <v>3842</v>
      </c>
      <c r="G215" s="164" t="s">
        <v>3843</v>
      </c>
      <c r="H215" s="846" t="s">
        <v>3844</v>
      </c>
      <c r="I215" s="135" t="s">
        <v>3845</v>
      </c>
      <c r="J215" s="135">
        <v>132.34</v>
      </c>
      <c r="K215" s="135">
        <v>132.34</v>
      </c>
      <c r="L215" s="135">
        <v>5307</v>
      </c>
      <c r="M215" s="233">
        <v>702328</v>
      </c>
      <c r="N215" s="184">
        <v>5207</v>
      </c>
      <c r="O215" s="190"/>
      <c r="P215" s="234"/>
      <c r="Q215" s="234"/>
      <c r="R215" s="184"/>
      <c r="S215" s="261"/>
      <c r="T215" s="262"/>
      <c r="U215" s="261" t="s">
        <v>709</v>
      </c>
      <c r="V215" s="184">
        <v>20000</v>
      </c>
      <c r="W215" s="261" t="s">
        <v>3846</v>
      </c>
      <c r="X215" s="184">
        <v>152328</v>
      </c>
      <c r="Y215" s="190" t="s">
        <v>3416</v>
      </c>
      <c r="Z215" s="135">
        <v>30000</v>
      </c>
      <c r="AA215" s="190" t="s">
        <v>3562</v>
      </c>
      <c r="AB215" s="184">
        <v>500000</v>
      </c>
      <c r="AC215" s="261" t="s">
        <v>3388</v>
      </c>
      <c r="AH215" s="184">
        <f t="shared" si="23"/>
        <v>702328</v>
      </c>
      <c r="AK215" s="190">
        <f t="shared" si="27"/>
        <v>0</v>
      </c>
      <c r="AL215" s="135">
        <v>17699244170</v>
      </c>
      <c r="AN215" s="234"/>
      <c r="AO215" s="135">
        <f t="shared" si="24"/>
        <v>702328</v>
      </c>
      <c r="AP215" s="166">
        <f>0.5%+0.14%</f>
        <v>0.0064</v>
      </c>
      <c r="AQ215" s="237">
        <f t="shared" si="25"/>
        <v>0</v>
      </c>
      <c r="AR215" s="184"/>
      <c r="AS215" s="184"/>
      <c r="AT215" s="184"/>
      <c r="AU215" s="184"/>
      <c r="AV215" s="184"/>
      <c r="AW215" s="184"/>
      <c r="AX215" s="184"/>
      <c r="AY215" s="184"/>
      <c r="AZ215" s="184"/>
      <c r="BB215" s="184"/>
      <c r="BF215" s="135">
        <v>202328</v>
      </c>
      <c r="BG215" s="135">
        <v>500000</v>
      </c>
      <c r="BT215" s="135" t="s">
        <v>496</v>
      </c>
      <c r="BU215" s="135" t="s">
        <v>506</v>
      </c>
      <c r="BX215" s="135">
        <f>BV215-BW215</f>
        <v>0</v>
      </c>
    </row>
    <row r="216" s="132" customFormat="1" customHeight="1" spans="1:54">
      <c r="A216" s="220">
        <v>180</v>
      </c>
      <c r="C216" s="219"/>
      <c r="E216" s="132" t="s">
        <v>3847</v>
      </c>
      <c r="G216" s="219"/>
      <c r="H216" s="219"/>
      <c r="I216" s="132" t="s">
        <v>3848</v>
      </c>
      <c r="J216" s="132">
        <v>86.14</v>
      </c>
      <c r="M216" s="213"/>
      <c r="N216" s="215">
        <v>5257</v>
      </c>
      <c r="O216" s="229"/>
      <c r="P216" s="229"/>
      <c r="Q216" s="229"/>
      <c r="R216" s="215"/>
      <c r="S216" s="265"/>
      <c r="T216" s="266"/>
      <c r="U216" s="265"/>
      <c r="V216" s="215"/>
      <c r="W216" s="173"/>
      <c r="X216" s="215"/>
      <c r="Y216" s="173"/>
      <c r="AA216" s="173"/>
      <c r="AB216" s="215"/>
      <c r="AH216" s="215">
        <f t="shared" si="23"/>
        <v>0</v>
      </c>
      <c r="AK216" s="173"/>
      <c r="AN216" s="229"/>
      <c r="AO216" s="132">
        <f t="shared" si="24"/>
        <v>0</v>
      </c>
      <c r="AP216" s="157"/>
      <c r="AQ216" s="251">
        <f t="shared" si="25"/>
        <v>0</v>
      </c>
      <c r="AR216" s="215"/>
      <c r="AS216" s="215"/>
      <c r="AT216" s="215"/>
      <c r="AU216" s="215"/>
      <c r="AV216" s="215"/>
      <c r="AW216" s="215"/>
      <c r="AX216" s="215"/>
      <c r="AY216" s="215"/>
      <c r="AZ216" s="215"/>
      <c r="BB216" s="215"/>
    </row>
    <row r="217" s="135" customFormat="1" customHeight="1" spans="1:73">
      <c r="A217" s="220">
        <v>181</v>
      </c>
      <c r="C217" s="191">
        <v>45360</v>
      </c>
      <c r="D217" s="135">
        <v>20240001249</v>
      </c>
      <c r="F217" s="135" t="s">
        <v>3849</v>
      </c>
      <c r="G217" s="164" t="s">
        <v>3850</v>
      </c>
      <c r="H217" s="846" t="s">
        <v>3851</v>
      </c>
      <c r="I217" s="135" t="s">
        <v>3852</v>
      </c>
      <c r="J217" s="135">
        <v>115.78</v>
      </c>
      <c r="K217" s="135">
        <v>115.78</v>
      </c>
      <c r="L217" s="135">
        <v>5285.88</v>
      </c>
      <c r="M217" s="233">
        <v>612000</v>
      </c>
      <c r="N217" s="184">
        <v>5217</v>
      </c>
      <c r="O217" s="190"/>
      <c r="P217" s="234"/>
      <c r="Q217" s="234"/>
      <c r="R217" s="184"/>
      <c r="S217" s="262"/>
      <c r="T217" s="262"/>
      <c r="U217" s="261"/>
      <c r="V217" s="184">
        <v>20000</v>
      </c>
      <c r="W217" s="261" t="s">
        <v>951</v>
      </c>
      <c r="X217" s="184">
        <v>102000</v>
      </c>
      <c r="Y217" s="261" t="s">
        <v>3853</v>
      </c>
      <c r="Z217" s="135">
        <v>29000</v>
      </c>
      <c r="AA217" s="190" t="s">
        <v>3854</v>
      </c>
      <c r="AB217" s="184">
        <v>461000</v>
      </c>
      <c r="AC217" s="262" t="s">
        <v>3618</v>
      </c>
      <c r="AH217" s="184">
        <f t="shared" si="23"/>
        <v>612000</v>
      </c>
      <c r="AK217" s="190">
        <f>M217-AH217</f>
        <v>0</v>
      </c>
      <c r="AL217" s="834" t="s">
        <v>3855</v>
      </c>
      <c r="AN217" s="234"/>
      <c r="AO217" s="135">
        <f t="shared" si="24"/>
        <v>612000</v>
      </c>
      <c r="AP217" s="166">
        <f>0.7%+0.03%+0.12%</f>
        <v>0.0085</v>
      </c>
      <c r="AQ217" s="237">
        <f t="shared" si="25"/>
        <v>0</v>
      </c>
      <c r="AR217" s="184"/>
      <c r="AS217" s="184"/>
      <c r="AT217" s="184"/>
      <c r="AU217" s="184"/>
      <c r="AV217" s="184"/>
      <c r="AW217" s="184"/>
      <c r="AX217" s="184"/>
      <c r="AY217" s="184"/>
      <c r="AZ217" s="184"/>
      <c r="BB217" s="184"/>
      <c r="BG217" s="135">
        <v>151000</v>
      </c>
      <c r="BI217" s="135">
        <v>461000</v>
      </c>
      <c r="BT217" s="135" t="s">
        <v>496</v>
      </c>
      <c r="BU217" s="135" t="s">
        <v>506</v>
      </c>
    </row>
    <row r="218" s="135" customFormat="1" customHeight="1" spans="1:73">
      <c r="A218" s="220">
        <v>182</v>
      </c>
      <c r="C218" s="164" t="s">
        <v>3856</v>
      </c>
      <c r="D218" s="135">
        <v>20240001546</v>
      </c>
      <c r="F218" s="834" t="s">
        <v>3857</v>
      </c>
      <c r="G218" s="164" t="s">
        <v>3858</v>
      </c>
      <c r="H218" s="846" t="s">
        <v>3859</v>
      </c>
      <c r="I218" s="135" t="s">
        <v>3860</v>
      </c>
      <c r="J218" s="135">
        <v>132.34</v>
      </c>
      <c r="K218" s="135">
        <v>132.34</v>
      </c>
      <c r="L218" s="135">
        <f>M218/K218</f>
        <v>5289.40607526069</v>
      </c>
      <c r="M218" s="233">
        <v>700000</v>
      </c>
      <c r="N218" s="184">
        <v>5237</v>
      </c>
      <c r="O218" s="190"/>
      <c r="P218" s="234"/>
      <c r="Q218" s="234"/>
      <c r="R218" s="184"/>
      <c r="S218" s="261"/>
      <c r="T218" s="262"/>
      <c r="U218" s="261" t="s">
        <v>3861</v>
      </c>
      <c r="V218" s="184">
        <f>10000-10000</f>
        <v>0</v>
      </c>
      <c r="W218" s="261" t="s">
        <v>550</v>
      </c>
      <c r="X218" s="184">
        <f>10000+608000</f>
        <v>618000</v>
      </c>
      <c r="Y218" s="190"/>
      <c r="Z218" s="190">
        <v>82000</v>
      </c>
      <c r="AA218" s="135" t="s">
        <v>3602</v>
      </c>
      <c r="AB218" s="184"/>
      <c r="AH218" s="184">
        <f t="shared" si="23"/>
        <v>700000</v>
      </c>
      <c r="AK218" s="190">
        <f>M218-AH218</f>
        <v>0</v>
      </c>
      <c r="AL218" s="135">
        <v>13039441680</v>
      </c>
      <c r="AN218" s="234"/>
      <c r="AO218" s="135">
        <f t="shared" si="24"/>
        <v>700000</v>
      </c>
      <c r="AP218" s="162">
        <f>0.4%+0.05%+0.12%</f>
        <v>0.0057</v>
      </c>
      <c r="AQ218" s="237">
        <f t="shared" si="25"/>
        <v>0</v>
      </c>
      <c r="AR218" s="184"/>
      <c r="AS218" s="184"/>
      <c r="AT218" s="184"/>
      <c r="AU218" s="184"/>
      <c r="AV218" s="184"/>
      <c r="AW218" s="184"/>
      <c r="AX218" s="184"/>
      <c r="AY218" s="184"/>
      <c r="AZ218" s="184"/>
      <c r="BB218" s="184"/>
      <c r="BG218" s="135">
        <v>700000</v>
      </c>
      <c r="BT218" s="135" t="s">
        <v>496</v>
      </c>
      <c r="BU218" s="135" t="s">
        <v>506</v>
      </c>
    </row>
    <row r="219" s="132" customFormat="1" customHeight="1" spans="1:54">
      <c r="A219" s="220">
        <v>183</v>
      </c>
      <c r="C219" s="219"/>
      <c r="E219" s="132" t="s">
        <v>3862</v>
      </c>
      <c r="G219" s="219"/>
      <c r="H219" s="219"/>
      <c r="I219" s="132" t="s">
        <v>3863</v>
      </c>
      <c r="J219" s="132">
        <v>86.14</v>
      </c>
      <c r="M219" s="213"/>
      <c r="N219" s="215">
        <v>5277</v>
      </c>
      <c r="O219" s="229"/>
      <c r="P219" s="229"/>
      <c r="Q219" s="229"/>
      <c r="R219" s="215"/>
      <c r="S219" s="265"/>
      <c r="T219" s="266"/>
      <c r="U219" s="265"/>
      <c r="V219" s="215"/>
      <c r="W219" s="173"/>
      <c r="X219" s="215"/>
      <c r="Y219" s="173"/>
      <c r="AA219" s="173"/>
      <c r="AB219" s="215"/>
      <c r="AH219" s="215">
        <f t="shared" si="23"/>
        <v>0</v>
      </c>
      <c r="AK219" s="173"/>
      <c r="AN219" s="229"/>
      <c r="AO219" s="132">
        <f t="shared" si="24"/>
        <v>0</v>
      </c>
      <c r="AP219" s="157"/>
      <c r="AQ219" s="251">
        <f t="shared" si="25"/>
        <v>0</v>
      </c>
      <c r="AR219" s="215"/>
      <c r="AS219" s="215"/>
      <c r="AT219" s="215"/>
      <c r="AU219" s="215"/>
      <c r="AV219" s="215"/>
      <c r="AW219" s="215"/>
      <c r="AX219" s="215"/>
      <c r="AY219" s="215"/>
      <c r="AZ219" s="215"/>
      <c r="BB219" s="215"/>
    </row>
    <row r="220" s="135" customFormat="1" customHeight="1" spans="1:73">
      <c r="A220" s="220">
        <v>184</v>
      </c>
      <c r="C220" s="191">
        <v>45358</v>
      </c>
      <c r="D220" s="135">
        <v>20240001205</v>
      </c>
      <c r="F220" s="834" t="s">
        <v>3864</v>
      </c>
      <c r="G220" s="164" t="s">
        <v>3865</v>
      </c>
      <c r="H220" s="846" t="s">
        <v>3866</v>
      </c>
      <c r="I220" s="135" t="s">
        <v>3867</v>
      </c>
      <c r="J220" s="135">
        <v>115.78</v>
      </c>
      <c r="K220" s="135">
        <v>115.78</v>
      </c>
      <c r="L220" s="135">
        <f>M220/K220</f>
        <v>5294.52409742615</v>
      </c>
      <c r="M220" s="233">
        <v>613000</v>
      </c>
      <c r="N220" s="184">
        <v>5247</v>
      </c>
      <c r="O220" s="190"/>
      <c r="P220" s="234"/>
      <c r="Q220" s="234"/>
      <c r="R220" s="184"/>
      <c r="S220" s="261"/>
      <c r="T220" s="262"/>
      <c r="U220" s="261" t="s">
        <v>721</v>
      </c>
      <c r="V220" s="184">
        <v>10000</v>
      </c>
      <c r="W220" s="261" t="s">
        <v>993</v>
      </c>
      <c r="X220" s="184">
        <v>293000</v>
      </c>
      <c r="Y220" s="261" t="s">
        <v>3457</v>
      </c>
      <c r="Z220" s="184">
        <v>310000</v>
      </c>
      <c r="AA220" s="261" t="s">
        <v>631</v>
      </c>
      <c r="AB220" s="184"/>
      <c r="AH220" s="184">
        <f t="shared" si="23"/>
        <v>613000</v>
      </c>
      <c r="AK220" s="190">
        <f>M220-AH220</f>
        <v>0</v>
      </c>
      <c r="AL220" s="135">
        <v>17339883402</v>
      </c>
      <c r="AN220" s="234"/>
      <c r="AO220" s="135">
        <f t="shared" si="24"/>
        <v>613000</v>
      </c>
      <c r="AP220" s="166">
        <f t="shared" ref="AP220:AP224" si="28">0.7%+0.05%+0.14%</f>
        <v>0.0089</v>
      </c>
      <c r="AQ220" s="237">
        <f t="shared" si="25"/>
        <v>0</v>
      </c>
      <c r="AR220" s="184"/>
      <c r="AS220" s="184"/>
      <c r="AT220" s="184"/>
      <c r="AU220" s="184"/>
      <c r="AV220" s="184"/>
      <c r="AW220" s="184"/>
      <c r="AX220" s="184"/>
      <c r="AY220" s="184"/>
      <c r="AZ220" s="184"/>
      <c r="BB220" s="184"/>
      <c r="BG220" s="135">
        <v>303000</v>
      </c>
      <c r="BH220" s="135">
        <v>310000</v>
      </c>
      <c r="BT220" s="135" t="s">
        <v>496</v>
      </c>
      <c r="BU220" s="135" t="s">
        <v>506</v>
      </c>
    </row>
    <row r="221" s="135" customFormat="1" customHeight="1" spans="1:73">
      <c r="A221" s="220">
        <v>185</v>
      </c>
      <c r="C221" s="164" t="s">
        <v>962</v>
      </c>
      <c r="D221" s="135">
        <v>20240000896</v>
      </c>
      <c r="F221" s="834" t="s">
        <v>3868</v>
      </c>
      <c r="G221" s="164" t="s">
        <v>3869</v>
      </c>
      <c r="H221" s="846" t="s">
        <v>3870</v>
      </c>
      <c r="I221" s="135" t="s">
        <v>3871</v>
      </c>
      <c r="J221" s="135">
        <v>132.34</v>
      </c>
      <c r="K221" s="135">
        <v>132.34</v>
      </c>
      <c r="L221" s="135">
        <v>5471</v>
      </c>
      <c r="M221" s="233">
        <v>724000</v>
      </c>
      <c r="N221" s="184">
        <v>5284</v>
      </c>
      <c r="O221" s="190"/>
      <c r="P221" s="234"/>
      <c r="Q221" s="234"/>
      <c r="R221" s="184"/>
      <c r="S221" s="261"/>
      <c r="T221" s="262"/>
      <c r="U221" s="261" t="s">
        <v>721</v>
      </c>
      <c r="V221" s="184">
        <v>20000</v>
      </c>
      <c r="W221" s="261" t="s">
        <v>3872</v>
      </c>
      <c r="X221" s="184">
        <v>90000</v>
      </c>
      <c r="Y221" s="190" t="s">
        <v>962</v>
      </c>
      <c r="Z221" s="184">
        <v>35000</v>
      </c>
      <c r="AA221" s="261" t="s">
        <v>3478</v>
      </c>
      <c r="AB221" s="184">
        <v>579000</v>
      </c>
      <c r="AC221" s="261" t="s">
        <v>3873</v>
      </c>
      <c r="AH221" s="184">
        <f t="shared" si="23"/>
        <v>724000</v>
      </c>
      <c r="AK221" s="190">
        <f t="shared" ref="AK221:AK227" si="29">M221-AH221</f>
        <v>0</v>
      </c>
      <c r="AL221" s="135">
        <v>18096842951</v>
      </c>
      <c r="AN221" s="234"/>
      <c r="AO221" s="135">
        <f t="shared" si="24"/>
        <v>724000</v>
      </c>
      <c r="AP221" s="166">
        <f t="shared" si="28"/>
        <v>0.0089</v>
      </c>
      <c r="AQ221" s="237">
        <f t="shared" si="25"/>
        <v>0</v>
      </c>
      <c r="AR221" s="184"/>
      <c r="AS221" s="184"/>
      <c r="AT221" s="184"/>
      <c r="AU221" s="184"/>
      <c r="AV221" s="184"/>
      <c r="AW221" s="184"/>
      <c r="AX221" s="184"/>
      <c r="AY221" s="184"/>
      <c r="AZ221" s="184"/>
      <c r="BB221" s="184"/>
      <c r="BG221" s="135">
        <v>145000</v>
      </c>
      <c r="BH221" s="135">
        <v>579000</v>
      </c>
      <c r="BT221" s="135" t="s">
        <v>496</v>
      </c>
      <c r="BU221" s="135" t="s">
        <v>506</v>
      </c>
    </row>
    <row r="222" s="132" customFormat="1" customHeight="1" spans="1:54">
      <c r="A222" s="220">
        <v>186</v>
      </c>
      <c r="C222" s="219"/>
      <c r="E222" s="132" t="s">
        <v>3874</v>
      </c>
      <c r="G222" s="219"/>
      <c r="H222" s="219"/>
      <c r="I222" s="132" t="s">
        <v>3875</v>
      </c>
      <c r="J222" s="132">
        <v>86.14</v>
      </c>
      <c r="M222" s="213"/>
      <c r="N222" s="215">
        <v>5315</v>
      </c>
      <c r="O222" s="229"/>
      <c r="P222" s="229"/>
      <c r="Q222" s="229"/>
      <c r="R222" s="215"/>
      <c r="S222" s="265"/>
      <c r="T222" s="266"/>
      <c r="U222" s="265"/>
      <c r="V222" s="215"/>
      <c r="W222" s="173"/>
      <c r="X222" s="215"/>
      <c r="Y222" s="173"/>
      <c r="AA222" s="173"/>
      <c r="AB222" s="215"/>
      <c r="AH222" s="215">
        <f t="shared" si="23"/>
        <v>0</v>
      </c>
      <c r="AK222" s="173"/>
      <c r="AN222" s="229"/>
      <c r="AO222" s="132">
        <f t="shared" si="24"/>
        <v>0</v>
      </c>
      <c r="AP222" s="157"/>
      <c r="AQ222" s="251">
        <f t="shared" si="25"/>
        <v>0</v>
      </c>
      <c r="AR222" s="215"/>
      <c r="AS222" s="215"/>
      <c r="AT222" s="215"/>
      <c r="AU222" s="215"/>
      <c r="AV222" s="215"/>
      <c r="AW222" s="215"/>
      <c r="AX222" s="215"/>
      <c r="AY222" s="215"/>
      <c r="AZ222" s="215"/>
      <c r="BB222" s="215"/>
    </row>
    <row r="223" s="135" customFormat="1" customHeight="1" spans="1:73">
      <c r="A223" s="220">
        <v>187</v>
      </c>
      <c r="C223" s="164" t="s">
        <v>993</v>
      </c>
      <c r="D223" s="135">
        <v>20240001009</v>
      </c>
      <c r="F223" s="834" t="s">
        <v>3876</v>
      </c>
      <c r="G223" s="164" t="s">
        <v>3877</v>
      </c>
      <c r="H223" s="846" t="s">
        <v>3878</v>
      </c>
      <c r="I223" s="135" t="s">
        <v>3879</v>
      </c>
      <c r="J223" s="135">
        <v>115.78</v>
      </c>
      <c r="K223" s="135">
        <v>115.78</v>
      </c>
      <c r="L223" s="135">
        <v>5337.7</v>
      </c>
      <c r="M223" s="233">
        <v>618000</v>
      </c>
      <c r="N223" s="184">
        <v>5294</v>
      </c>
      <c r="O223" s="190"/>
      <c r="P223" s="234"/>
      <c r="Q223" s="234"/>
      <c r="R223" s="184"/>
      <c r="S223" s="261"/>
      <c r="T223" s="262"/>
      <c r="U223" s="261" t="s">
        <v>842</v>
      </c>
      <c r="V223" s="184">
        <v>20000</v>
      </c>
      <c r="W223" s="261" t="s">
        <v>3872</v>
      </c>
      <c r="X223" s="184">
        <v>128000</v>
      </c>
      <c r="Y223" s="190" t="s">
        <v>3562</v>
      </c>
      <c r="Z223" s="135">
        <v>150000</v>
      </c>
      <c r="AA223" s="190" t="s">
        <v>993</v>
      </c>
      <c r="AB223" s="184">
        <v>320000</v>
      </c>
      <c r="AC223" s="261" t="s">
        <v>503</v>
      </c>
      <c r="AH223" s="184">
        <f t="shared" si="23"/>
        <v>618000</v>
      </c>
      <c r="AK223" s="190">
        <f t="shared" si="29"/>
        <v>0</v>
      </c>
      <c r="AL223" s="135">
        <v>19990286915</v>
      </c>
      <c r="AN223" s="234"/>
      <c r="AO223" s="135">
        <f t="shared" si="24"/>
        <v>618000</v>
      </c>
      <c r="AP223" s="162">
        <f>0.5%+0.04%+0.14%</f>
        <v>0.0068</v>
      </c>
      <c r="AQ223" s="237">
        <f t="shared" si="25"/>
        <v>0</v>
      </c>
      <c r="AR223" s="184"/>
      <c r="AS223" s="184"/>
      <c r="AT223" s="184"/>
      <c r="AU223" s="184"/>
      <c r="AV223" s="184"/>
      <c r="AW223" s="184"/>
      <c r="AX223" s="184"/>
      <c r="AY223" s="184"/>
      <c r="AZ223" s="184"/>
      <c r="BB223" s="184"/>
      <c r="BF223" s="135">
        <v>298000</v>
      </c>
      <c r="BH223" s="135">
        <v>320000</v>
      </c>
      <c r="BT223" s="135" t="s">
        <v>496</v>
      </c>
      <c r="BU223" s="135" t="s">
        <v>506</v>
      </c>
    </row>
    <row r="224" s="135" customFormat="1" customHeight="1" spans="1:73">
      <c r="A224" s="220">
        <v>188</v>
      </c>
      <c r="C224" s="164" t="s">
        <v>3731</v>
      </c>
      <c r="D224" s="135">
        <v>20240001551</v>
      </c>
      <c r="F224" s="834" t="s">
        <v>3880</v>
      </c>
      <c r="G224" s="164" t="s">
        <v>3881</v>
      </c>
      <c r="H224" s="164"/>
      <c r="I224" s="135" t="s">
        <v>3882</v>
      </c>
      <c r="J224" s="135">
        <v>132.34</v>
      </c>
      <c r="K224" s="135">
        <v>132.34</v>
      </c>
      <c r="L224" s="135">
        <v>5380.08</v>
      </c>
      <c r="M224" s="233">
        <v>712000</v>
      </c>
      <c r="N224" s="184">
        <v>5317</v>
      </c>
      <c r="O224" s="190"/>
      <c r="P224" s="234"/>
      <c r="Q224" s="234"/>
      <c r="R224" s="184"/>
      <c r="S224" s="261"/>
      <c r="T224" s="262"/>
      <c r="U224" s="261" t="s">
        <v>524</v>
      </c>
      <c r="V224" s="184">
        <f>10000-10000</f>
        <v>0</v>
      </c>
      <c r="W224" s="261" t="s">
        <v>550</v>
      </c>
      <c r="X224" s="184">
        <v>20000</v>
      </c>
      <c r="Y224" s="190" t="s">
        <v>2854</v>
      </c>
      <c r="Z224" s="135">
        <v>134000</v>
      </c>
      <c r="AA224" s="190" t="s">
        <v>3731</v>
      </c>
      <c r="AB224" s="184">
        <v>48000</v>
      </c>
      <c r="AC224" s="261" t="s">
        <v>3883</v>
      </c>
      <c r="AD224" s="135">
        <v>510000</v>
      </c>
      <c r="AE224" s="135" t="s">
        <v>3884</v>
      </c>
      <c r="AH224" s="184">
        <f t="shared" si="23"/>
        <v>712000</v>
      </c>
      <c r="AK224" s="190">
        <f t="shared" si="29"/>
        <v>0</v>
      </c>
      <c r="AL224" s="135">
        <v>13139969515</v>
      </c>
      <c r="AN224" s="234"/>
      <c r="AO224" s="135">
        <f t="shared" si="24"/>
        <v>712000</v>
      </c>
      <c r="AP224" s="166">
        <f>0.7%+0.05%+0.12%</f>
        <v>0.0087</v>
      </c>
      <c r="AQ224" s="237">
        <f t="shared" si="25"/>
        <v>0</v>
      </c>
      <c r="AR224" s="184"/>
      <c r="AS224" s="184"/>
      <c r="AT224" s="184"/>
      <c r="AU224" s="184"/>
      <c r="AV224" s="184"/>
      <c r="AW224" s="184"/>
      <c r="AX224" s="184"/>
      <c r="AY224" s="184"/>
      <c r="AZ224" s="184"/>
      <c r="BB224" s="184"/>
      <c r="BH224" s="135">
        <v>712000</v>
      </c>
      <c r="BT224" s="135" t="s">
        <v>496</v>
      </c>
      <c r="BU224" s="135" t="s">
        <v>506</v>
      </c>
    </row>
    <row r="225" s="132" customFormat="1" customHeight="1" spans="1:54">
      <c r="A225" s="220">
        <v>189</v>
      </c>
      <c r="C225" s="219"/>
      <c r="E225" s="132" t="s">
        <v>3885</v>
      </c>
      <c r="G225" s="219"/>
      <c r="H225" s="219"/>
      <c r="I225" s="132" t="s">
        <v>3886</v>
      </c>
      <c r="J225" s="132">
        <v>86.14</v>
      </c>
      <c r="M225" s="213"/>
      <c r="N225" s="215">
        <v>5347</v>
      </c>
      <c r="O225" s="229"/>
      <c r="P225" s="229"/>
      <c r="Q225" s="229"/>
      <c r="R225" s="215"/>
      <c r="S225" s="265"/>
      <c r="T225" s="266"/>
      <c r="U225" s="265"/>
      <c r="V225" s="215"/>
      <c r="W225" s="173"/>
      <c r="X225" s="215"/>
      <c r="Y225" s="173"/>
      <c r="AA225" s="173"/>
      <c r="AB225" s="215"/>
      <c r="AH225" s="215">
        <f t="shared" si="23"/>
        <v>0</v>
      </c>
      <c r="AK225" s="173"/>
      <c r="AN225" s="229"/>
      <c r="AO225" s="132">
        <f t="shared" si="24"/>
        <v>0</v>
      </c>
      <c r="AP225" s="157"/>
      <c r="AQ225" s="251">
        <f t="shared" si="25"/>
        <v>0</v>
      </c>
      <c r="AR225" s="215"/>
      <c r="AS225" s="215"/>
      <c r="AT225" s="215"/>
      <c r="AU225" s="215"/>
      <c r="AV225" s="215"/>
      <c r="AW225" s="215"/>
      <c r="AX225" s="215"/>
      <c r="AY225" s="215"/>
      <c r="AZ225" s="215"/>
      <c r="BB225" s="215"/>
    </row>
    <row r="226" s="135" customFormat="1" customHeight="1" spans="1:73">
      <c r="A226" s="220">
        <v>190</v>
      </c>
      <c r="C226" s="164" t="s">
        <v>2854</v>
      </c>
      <c r="D226" s="135">
        <v>20240001462</v>
      </c>
      <c r="F226" s="834" t="s">
        <v>3887</v>
      </c>
      <c r="G226" s="164" t="s">
        <v>3888</v>
      </c>
      <c r="H226" s="164"/>
      <c r="I226" s="135" t="s">
        <v>3889</v>
      </c>
      <c r="J226" s="135">
        <v>115.78</v>
      </c>
      <c r="K226" s="135">
        <v>115.78</v>
      </c>
      <c r="L226" s="135">
        <f>M226/K226</f>
        <v>5458.99982725859</v>
      </c>
      <c r="M226" s="233">
        <v>632043</v>
      </c>
      <c r="N226" s="184">
        <v>5327</v>
      </c>
      <c r="O226" s="190"/>
      <c r="P226" s="234"/>
      <c r="Q226" s="234"/>
      <c r="R226" s="184"/>
      <c r="S226" s="261"/>
      <c r="T226" s="262"/>
      <c r="U226" s="261" t="s">
        <v>590</v>
      </c>
      <c r="V226" s="184">
        <v>7043</v>
      </c>
      <c r="W226" s="261" t="s">
        <v>3562</v>
      </c>
      <c r="X226" s="184">
        <v>120000</v>
      </c>
      <c r="Y226" s="261" t="s">
        <v>2854</v>
      </c>
      <c r="Z226" s="135">
        <v>505000</v>
      </c>
      <c r="AA226" s="190" t="s">
        <v>699</v>
      </c>
      <c r="AB226" s="184"/>
      <c r="AH226" s="184">
        <f t="shared" si="23"/>
        <v>632043</v>
      </c>
      <c r="AK226" s="190">
        <f t="shared" si="29"/>
        <v>0</v>
      </c>
      <c r="AL226" s="135">
        <v>18153966967</v>
      </c>
      <c r="AN226" s="234"/>
      <c r="AO226" s="135">
        <f t="shared" si="24"/>
        <v>632043</v>
      </c>
      <c r="AP226" s="162">
        <f>0.5%+0.04%+0.14%</f>
        <v>0.0068</v>
      </c>
      <c r="AQ226" s="237">
        <f t="shared" si="25"/>
        <v>0</v>
      </c>
      <c r="AR226" s="184"/>
      <c r="AS226" s="184"/>
      <c r="AT226" s="184"/>
      <c r="AU226" s="184"/>
      <c r="AV226" s="184"/>
      <c r="AW226" s="184"/>
      <c r="AX226" s="184"/>
      <c r="AY226" s="184"/>
      <c r="AZ226" s="184"/>
      <c r="BB226" s="184"/>
      <c r="BG226" s="135">
        <v>632043</v>
      </c>
      <c r="BT226" s="135" t="s">
        <v>496</v>
      </c>
      <c r="BU226" s="135" t="s">
        <v>506</v>
      </c>
    </row>
    <row r="227" s="135" customFormat="1" customHeight="1" spans="1:73">
      <c r="A227" s="220">
        <v>191</v>
      </c>
      <c r="C227" s="164" t="s">
        <v>3883</v>
      </c>
      <c r="D227" s="135">
        <v>20240001966</v>
      </c>
      <c r="F227" s="834" t="s">
        <v>3890</v>
      </c>
      <c r="G227" s="164" t="s">
        <v>3891</v>
      </c>
      <c r="H227" s="846" t="s">
        <v>3892</v>
      </c>
      <c r="I227" s="135" t="s">
        <v>3893</v>
      </c>
      <c r="J227" s="135">
        <v>132.34</v>
      </c>
      <c r="K227" s="135">
        <v>132.34</v>
      </c>
      <c r="L227" s="135">
        <v>5425.42</v>
      </c>
      <c r="M227" s="233">
        <v>718000</v>
      </c>
      <c r="N227" s="184">
        <v>5354</v>
      </c>
      <c r="O227" s="234"/>
      <c r="P227" s="234"/>
      <c r="Q227" s="234"/>
      <c r="R227" s="184"/>
      <c r="S227" s="261"/>
      <c r="T227" s="262"/>
      <c r="U227" s="261" t="s">
        <v>721</v>
      </c>
      <c r="V227" s="184">
        <v>10000</v>
      </c>
      <c r="W227" s="261" t="s">
        <v>525</v>
      </c>
      <c r="X227" s="184">
        <v>70000</v>
      </c>
      <c r="Y227" s="261" t="s">
        <v>3689</v>
      </c>
      <c r="Z227" s="135">
        <v>20000</v>
      </c>
      <c r="AA227" s="190" t="s">
        <v>3883</v>
      </c>
      <c r="AB227" s="184">
        <v>44000</v>
      </c>
      <c r="AC227" s="261" t="s">
        <v>3618</v>
      </c>
      <c r="AD227" s="135">
        <v>574000</v>
      </c>
      <c r="AE227" s="135" t="s">
        <v>822</v>
      </c>
      <c r="AH227" s="184">
        <f t="shared" si="23"/>
        <v>718000</v>
      </c>
      <c r="AK227" s="190">
        <f t="shared" si="29"/>
        <v>0</v>
      </c>
      <c r="AL227" s="135">
        <v>18195787228</v>
      </c>
      <c r="AN227" s="234"/>
      <c r="AO227" s="135">
        <f t="shared" si="24"/>
        <v>718000</v>
      </c>
      <c r="AP227" s="162">
        <f>0.4%+0.05%+0.12%</f>
        <v>0.0057</v>
      </c>
      <c r="AQ227" s="237">
        <f t="shared" si="25"/>
        <v>0</v>
      </c>
      <c r="AR227" s="184"/>
      <c r="AS227" s="184"/>
      <c r="AT227" s="184"/>
      <c r="AU227" s="184"/>
      <c r="AV227" s="184"/>
      <c r="AW227" s="184"/>
      <c r="AX227" s="184"/>
      <c r="AY227" s="184"/>
      <c r="AZ227" s="184"/>
      <c r="BB227" s="184"/>
      <c r="BI227" s="135">
        <v>718000</v>
      </c>
      <c r="BT227" s="135" t="s">
        <v>496</v>
      </c>
      <c r="BU227" s="135" t="s">
        <v>506</v>
      </c>
    </row>
    <row r="228" s="132" customFormat="1" customHeight="1" spans="1:54">
      <c r="A228" s="220">
        <v>192</v>
      </c>
      <c r="C228" s="219"/>
      <c r="E228" s="132" t="s">
        <v>3894</v>
      </c>
      <c r="G228" s="219"/>
      <c r="H228" s="219"/>
      <c r="I228" s="132" t="s">
        <v>3895</v>
      </c>
      <c r="J228" s="132">
        <v>86.14</v>
      </c>
      <c r="M228" s="213"/>
      <c r="N228" s="215">
        <v>5377</v>
      </c>
      <c r="O228" s="229"/>
      <c r="P228" s="229"/>
      <c r="Q228" s="229"/>
      <c r="R228" s="215"/>
      <c r="S228" s="265"/>
      <c r="T228" s="266"/>
      <c r="U228" s="265"/>
      <c r="V228" s="215"/>
      <c r="W228" s="173"/>
      <c r="X228" s="215"/>
      <c r="Y228" s="173"/>
      <c r="AA228" s="173"/>
      <c r="AB228" s="215"/>
      <c r="AH228" s="215">
        <f t="shared" si="23"/>
        <v>0</v>
      </c>
      <c r="AK228" s="173"/>
      <c r="AN228" s="229"/>
      <c r="AO228" s="132">
        <f t="shared" si="24"/>
        <v>0</v>
      </c>
      <c r="AP228" s="157"/>
      <c r="AQ228" s="251">
        <f t="shared" si="25"/>
        <v>0</v>
      </c>
      <c r="AR228" s="215"/>
      <c r="AS228" s="215"/>
      <c r="AT228" s="215"/>
      <c r="AU228" s="215"/>
      <c r="AV228" s="215"/>
      <c r="AW228" s="215"/>
      <c r="AX228" s="215"/>
      <c r="AY228" s="215"/>
      <c r="AZ228" s="215"/>
      <c r="BB228" s="215"/>
    </row>
    <row r="229" s="135" customFormat="1" customHeight="1" spans="1:73">
      <c r="A229" s="220">
        <v>193</v>
      </c>
      <c r="C229" s="164" t="s">
        <v>3896</v>
      </c>
      <c r="D229" s="135">
        <v>20240001057</v>
      </c>
      <c r="F229" s="834" t="s">
        <v>3897</v>
      </c>
      <c r="G229" s="164" t="s">
        <v>3898</v>
      </c>
      <c r="H229" s="846" t="s">
        <v>3899</v>
      </c>
      <c r="I229" s="135" t="s">
        <v>3900</v>
      </c>
      <c r="J229" s="135">
        <v>115.78</v>
      </c>
      <c r="K229" s="135">
        <v>115.78</v>
      </c>
      <c r="L229" s="135">
        <v>5398.16</v>
      </c>
      <c r="M229" s="233">
        <v>625000</v>
      </c>
      <c r="N229" s="184">
        <v>5364</v>
      </c>
      <c r="O229" s="190"/>
      <c r="P229" s="234"/>
      <c r="Q229" s="234"/>
      <c r="R229" s="184"/>
      <c r="S229" s="261"/>
      <c r="T229" s="262"/>
      <c r="U229" s="261" t="s">
        <v>2249</v>
      </c>
      <c r="V229" s="184">
        <v>20000</v>
      </c>
      <c r="W229" s="261" t="s">
        <v>3534</v>
      </c>
      <c r="X229" s="184">
        <f>100500+4500</f>
        <v>105000</v>
      </c>
      <c r="Y229" s="261" t="s">
        <v>586</v>
      </c>
      <c r="Z229" s="135">
        <v>500000</v>
      </c>
      <c r="AA229" s="190" t="s">
        <v>3488</v>
      </c>
      <c r="AB229" s="184"/>
      <c r="AH229" s="184">
        <f t="shared" si="23"/>
        <v>625000</v>
      </c>
      <c r="AK229" s="190">
        <f>M229-AH229</f>
        <v>0</v>
      </c>
      <c r="AL229" s="135">
        <v>17797976009</v>
      </c>
      <c r="AN229" s="234"/>
      <c r="AO229" s="135">
        <f t="shared" si="24"/>
        <v>625000</v>
      </c>
      <c r="AP229" s="166">
        <f>0.7%+0.04%+0.14%</f>
        <v>0.0088</v>
      </c>
      <c r="AQ229" s="237">
        <f t="shared" si="25"/>
        <v>0</v>
      </c>
      <c r="AR229" s="184"/>
      <c r="AS229" s="184"/>
      <c r="AT229" s="184"/>
      <c r="AU229" s="184"/>
      <c r="AV229" s="184"/>
      <c r="AW229" s="184"/>
      <c r="AX229" s="184"/>
      <c r="AY229" s="184"/>
      <c r="AZ229" s="184"/>
      <c r="BB229" s="184"/>
      <c r="BG229" s="135">
        <v>625000</v>
      </c>
      <c r="BT229" s="135" t="s">
        <v>496</v>
      </c>
      <c r="BU229" s="135" t="s">
        <v>506</v>
      </c>
    </row>
    <row r="230" s="135" customFormat="1" customHeight="1" spans="1:73">
      <c r="A230" s="220">
        <v>194</v>
      </c>
      <c r="C230" s="164" t="s">
        <v>3017</v>
      </c>
      <c r="D230" s="135">
        <v>20240001994</v>
      </c>
      <c r="F230" s="834" t="s">
        <v>3901</v>
      </c>
      <c r="G230" s="164" t="s">
        <v>3902</v>
      </c>
      <c r="H230" s="846" t="s">
        <v>3903</v>
      </c>
      <c r="I230" s="135" t="s">
        <v>3904</v>
      </c>
      <c r="J230" s="135">
        <v>132.34</v>
      </c>
      <c r="K230" s="135">
        <v>132.34</v>
      </c>
      <c r="L230" s="135">
        <v>5440.53</v>
      </c>
      <c r="M230" s="233">
        <v>720000</v>
      </c>
      <c r="N230" s="184">
        <v>5382</v>
      </c>
      <c r="O230" s="190"/>
      <c r="P230" s="234"/>
      <c r="Q230" s="234"/>
      <c r="R230" s="184"/>
      <c r="S230" s="261"/>
      <c r="T230" s="262"/>
      <c r="U230" s="261" t="s">
        <v>524</v>
      </c>
      <c r="V230" s="184">
        <v>20000</v>
      </c>
      <c r="W230" s="261" t="s">
        <v>3617</v>
      </c>
      <c r="X230" s="184">
        <v>50000</v>
      </c>
      <c r="Y230" s="190" t="s">
        <v>3385</v>
      </c>
      <c r="Z230" s="135">
        <v>66000</v>
      </c>
      <c r="AA230" s="190" t="s">
        <v>3883</v>
      </c>
      <c r="AB230" s="184">
        <v>14000</v>
      </c>
      <c r="AC230" s="135" t="s">
        <v>520</v>
      </c>
      <c r="AD230" s="184">
        <v>570000</v>
      </c>
      <c r="AE230" s="261" t="s">
        <v>822</v>
      </c>
      <c r="AH230" s="184">
        <f t="shared" si="23"/>
        <v>720000</v>
      </c>
      <c r="AK230" s="190">
        <f>M230-AH230</f>
        <v>0</v>
      </c>
      <c r="AL230" s="135">
        <v>18096840581</v>
      </c>
      <c r="AN230" s="234"/>
      <c r="AO230" s="135">
        <f t="shared" si="24"/>
        <v>720000</v>
      </c>
      <c r="AP230" s="162">
        <f>0.7%+0.12%</f>
        <v>0.0082</v>
      </c>
      <c r="AQ230" s="237">
        <f t="shared" si="25"/>
        <v>0</v>
      </c>
      <c r="AR230" s="184"/>
      <c r="AS230" s="184"/>
      <c r="AT230" s="184"/>
      <c r="AU230" s="184"/>
      <c r="AV230" s="184"/>
      <c r="AW230" s="184"/>
      <c r="AX230" s="184"/>
      <c r="AY230" s="184"/>
      <c r="AZ230" s="184"/>
      <c r="BB230" s="184"/>
      <c r="BH230" s="135">
        <v>150000</v>
      </c>
      <c r="BI230" s="135">
        <v>570000</v>
      </c>
      <c r="BT230" s="135" t="s">
        <v>496</v>
      </c>
      <c r="BU230" s="135" t="s">
        <v>506</v>
      </c>
    </row>
    <row r="231" s="132" customFormat="1" customHeight="1" spans="1:54">
      <c r="A231" s="220">
        <v>195</v>
      </c>
      <c r="C231" s="219"/>
      <c r="E231" s="132" t="s">
        <v>3905</v>
      </c>
      <c r="G231" s="219"/>
      <c r="H231" s="219"/>
      <c r="I231" s="132" t="s">
        <v>3906</v>
      </c>
      <c r="J231" s="132">
        <v>86.14</v>
      </c>
      <c r="M231" s="213"/>
      <c r="N231" s="215">
        <v>5392</v>
      </c>
      <c r="O231" s="229"/>
      <c r="P231" s="229"/>
      <c r="Q231" s="229"/>
      <c r="R231" s="215"/>
      <c r="S231" s="265"/>
      <c r="T231" s="266"/>
      <c r="U231" s="265"/>
      <c r="V231" s="215"/>
      <c r="W231" s="173"/>
      <c r="X231" s="215"/>
      <c r="Y231" s="173"/>
      <c r="AA231" s="173"/>
      <c r="AB231" s="215"/>
      <c r="AH231" s="215">
        <f t="shared" si="23"/>
        <v>0</v>
      </c>
      <c r="AK231" s="173"/>
      <c r="AN231" s="229"/>
      <c r="AO231" s="132">
        <f t="shared" si="24"/>
        <v>0</v>
      </c>
      <c r="AP231" s="157"/>
      <c r="AQ231" s="251">
        <f t="shared" si="25"/>
        <v>0</v>
      </c>
      <c r="AR231" s="215"/>
      <c r="AS231" s="215"/>
      <c r="AT231" s="215"/>
      <c r="AU231" s="215"/>
      <c r="AV231" s="215"/>
      <c r="AW231" s="215"/>
      <c r="AX231" s="215"/>
      <c r="AY231" s="215"/>
      <c r="AZ231" s="215"/>
      <c r="BB231" s="215"/>
    </row>
    <row r="232" s="135" customFormat="1" customHeight="1" spans="1:73">
      <c r="A232" s="220">
        <v>196</v>
      </c>
      <c r="C232" s="191">
        <v>45358</v>
      </c>
      <c r="D232" s="135">
        <v>20240001204</v>
      </c>
      <c r="F232" s="834" t="s">
        <v>3907</v>
      </c>
      <c r="G232" s="164" t="s">
        <v>3908</v>
      </c>
      <c r="H232" s="846" t="s">
        <v>3909</v>
      </c>
      <c r="I232" s="135" t="s">
        <v>3910</v>
      </c>
      <c r="J232" s="135">
        <v>115.78</v>
      </c>
      <c r="K232" s="135">
        <v>115.78</v>
      </c>
      <c r="L232" s="135">
        <f>M232/K232</f>
        <v>5400</v>
      </c>
      <c r="M232" s="233">
        <v>625212</v>
      </c>
      <c r="N232" s="184">
        <v>5392</v>
      </c>
      <c r="O232" s="190"/>
      <c r="P232" s="234"/>
      <c r="Q232" s="234"/>
      <c r="R232" s="184"/>
      <c r="S232" s="261"/>
      <c r="T232" s="262"/>
      <c r="U232" s="261" t="s">
        <v>2249</v>
      </c>
      <c r="V232" s="184">
        <v>10000</v>
      </c>
      <c r="W232" s="261" t="s">
        <v>586</v>
      </c>
      <c r="X232" s="184">
        <v>178212</v>
      </c>
      <c r="Y232" s="190" t="s">
        <v>3457</v>
      </c>
      <c r="Z232" s="184">
        <v>437000</v>
      </c>
      <c r="AA232" s="261" t="s">
        <v>206</v>
      </c>
      <c r="AB232" s="184"/>
      <c r="AH232" s="184">
        <f t="shared" si="23"/>
        <v>625212</v>
      </c>
      <c r="AK232" s="190">
        <f>M232-AH232</f>
        <v>0</v>
      </c>
      <c r="AL232" s="135">
        <v>18699553280</v>
      </c>
      <c r="AN232" s="234"/>
      <c r="AO232" s="135">
        <f t="shared" si="24"/>
        <v>625212</v>
      </c>
      <c r="AP232" s="166">
        <f>0.7%+0.04%+0.14%</f>
        <v>0.0088</v>
      </c>
      <c r="AQ232" s="237">
        <f t="shared" si="25"/>
        <v>0</v>
      </c>
      <c r="AR232" s="184"/>
      <c r="AS232" s="184"/>
      <c r="AT232" s="184"/>
      <c r="AU232" s="184"/>
      <c r="AV232" s="184"/>
      <c r="AW232" s="184"/>
      <c r="AX232" s="184"/>
      <c r="AY232" s="184"/>
      <c r="AZ232" s="184"/>
      <c r="BB232" s="184"/>
      <c r="BG232" s="135">
        <v>188212</v>
      </c>
      <c r="BO232" s="135">
        <v>437000</v>
      </c>
      <c r="BT232" s="135" t="s">
        <v>496</v>
      </c>
      <c r="BU232" s="135" t="s">
        <v>506</v>
      </c>
    </row>
    <row r="233" s="135" customFormat="1" customHeight="1" spans="1:73">
      <c r="A233" s="220">
        <v>197</v>
      </c>
      <c r="C233" s="191">
        <v>45414</v>
      </c>
      <c r="D233" s="135">
        <v>20240002484</v>
      </c>
      <c r="F233" s="834" t="s">
        <v>3911</v>
      </c>
      <c r="G233" s="164" t="s">
        <v>3912</v>
      </c>
      <c r="H233" s="846" t="s">
        <v>3913</v>
      </c>
      <c r="I233" s="135" t="s">
        <v>3914</v>
      </c>
      <c r="J233" s="135">
        <v>132.34</v>
      </c>
      <c r="K233" s="135">
        <v>132.34</v>
      </c>
      <c r="L233" s="135">
        <f>M233/K233</f>
        <v>5417.86307994559</v>
      </c>
      <c r="M233" s="233">
        <v>717000</v>
      </c>
      <c r="N233" s="184">
        <v>5407</v>
      </c>
      <c r="O233" s="234"/>
      <c r="P233" s="234"/>
      <c r="Q233" s="234"/>
      <c r="R233" s="184"/>
      <c r="S233" s="261"/>
      <c r="T233" s="262"/>
      <c r="U233" s="261" t="s">
        <v>842</v>
      </c>
      <c r="V233" s="184">
        <v>20000</v>
      </c>
      <c r="W233" s="261" t="s">
        <v>3617</v>
      </c>
      <c r="X233" s="184">
        <v>127000</v>
      </c>
      <c r="Y233" s="261" t="s">
        <v>3451</v>
      </c>
      <c r="Z233" s="184">
        <v>570000</v>
      </c>
      <c r="AA233" s="261" t="s">
        <v>3389</v>
      </c>
      <c r="AB233" s="184"/>
      <c r="AH233" s="184">
        <f t="shared" si="23"/>
        <v>717000</v>
      </c>
      <c r="AK233" s="190">
        <f t="shared" ref="AK233:AK239" si="30">M233-AH233</f>
        <v>0</v>
      </c>
      <c r="AN233" s="234"/>
      <c r="AO233" s="135">
        <f t="shared" si="24"/>
        <v>717000</v>
      </c>
      <c r="AP233" s="162">
        <f>0.7%+0.02%+0.12%</f>
        <v>0.0084</v>
      </c>
      <c r="AQ233" s="237">
        <f t="shared" si="25"/>
        <v>0</v>
      </c>
      <c r="AR233" s="184"/>
      <c r="AS233" s="184"/>
      <c r="AT233" s="184"/>
      <c r="AU233" s="184"/>
      <c r="AV233" s="184"/>
      <c r="AW233" s="184"/>
      <c r="AX233" s="184"/>
      <c r="AY233" s="184"/>
      <c r="AZ233" s="184"/>
      <c r="BB233" s="184"/>
      <c r="BI233" s="135">
        <v>147000</v>
      </c>
      <c r="BJ233" s="135">
        <v>570000</v>
      </c>
      <c r="BT233" s="135" t="s">
        <v>496</v>
      </c>
      <c r="BU233" s="135" t="s">
        <v>506</v>
      </c>
    </row>
    <row r="234" s="132" customFormat="1" customHeight="1" spans="1:54">
      <c r="A234" s="220">
        <v>198</v>
      </c>
      <c r="C234" s="219"/>
      <c r="E234" s="132" t="s">
        <v>3578</v>
      </c>
      <c r="G234" s="219"/>
      <c r="H234" s="219"/>
      <c r="I234" s="132" t="s">
        <v>3915</v>
      </c>
      <c r="J234" s="132">
        <v>86.14</v>
      </c>
      <c r="M234" s="213"/>
      <c r="N234" s="215">
        <v>5412</v>
      </c>
      <c r="O234" s="229"/>
      <c r="P234" s="229"/>
      <c r="Q234" s="229"/>
      <c r="R234" s="215"/>
      <c r="S234" s="265"/>
      <c r="T234" s="266"/>
      <c r="U234" s="265"/>
      <c r="V234" s="215"/>
      <c r="W234" s="173"/>
      <c r="X234" s="215"/>
      <c r="Y234" s="173"/>
      <c r="AA234" s="173"/>
      <c r="AB234" s="215"/>
      <c r="AH234" s="215">
        <f t="shared" si="23"/>
        <v>0</v>
      </c>
      <c r="AK234" s="173"/>
      <c r="AN234" s="229"/>
      <c r="AO234" s="132">
        <f t="shared" si="24"/>
        <v>0</v>
      </c>
      <c r="AP234" s="157"/>
      <c r="AQ234" s="251">
        <f t="shared" si="25"/>
        <v>0</v>
      </c>
      <c r="AR234" s="215"/>
      <c r="AS234" s="215"/>
      <c r="AT234" s="215"/>
      <c r="AU234" s="215"/>
      <c r="AV234" s="215"/>
      <c r="AW234" s="215"/>
      <c r="AX234" s="215"/>
      <c r="AY234" s="215"/>
      <c r="AZ234" s="215"/>
      <c r="BB234" s="215"/>
    </row>
    <row r="235" s="135" customFormat="1" customHeight="1" spans="1:73">
      <c r="A235" s="220">
        <v>199</v>
      </c>
      <c r="C235" s="164" t="s">
        <v>848</v>
      </c>
      <c r="D235" s="135">
        <v>20240001177</v>
      </c>
      <c r="F235" s="834" t="s">
        <v>3916</v>
      </c>
      <c r="G235" s="164" t="s">
        <v>3917</v>
      </c>
      <c r="H235" s="846" t="s">
        <v>3918</v>
      </c>
      <c r="I235" s="135" t="s">
        <v>3919</v>
      </c>
      <c r="J235" s="135">
        <v>115.78</v>
      </c>
      <c r="K235" s="135">
        <v>115.78</v>
      </c>
      <c r="L235" s="135">
        <v>5467</v>
      </c>
      <c r="M235" s="233">
        <v>633000</v>
      </c>
      <c r="N235" s="184">
        <v>5417</v>
      </c>
      <c r="O235" s="190"/>
      <c r="P235" s="234"/>
      <c r="Q235" s="234"/>
      <c r="R235" s="184"/>
      <c r="S235" s="261"/>
      <c r="T235" s="262"/>
      <c r="U235" s="261" t="s">
        <v>524</v>
      </c>
      <c r="V235" s="184">
        <v>10000</v>
      </c>
      <c r="W235" s="261" t="s">
        <v>586</v>
      </c>
      <c r="X235" s="184">
        <v>63000</v>
      </c>
      <c r="Y235" s="190" t="s">
        <v>848</v>
      </c>
      <c r="Z235" s="135">
        <v>80000</v>
      </c>
      <c r="AA235" s="190" t="s">
        <v>3506</v>
      </c>
      <c r="AB235" s="184">
        <v>480000</v>
      </c>
      <c r="AC235" s="261" t="s">
        <v>503</v>
      </c>
      <c r="AH235" s="184">
        <f t="shared" si="23"/>
        <v>633000</v>
      </c>
      <c r="AK235" s="190">
        <f t="shared" si="30"/>
        <v>0</v>
      </c>
      <c r="AL235" s="135">
        <v>15909727756</v>
      </c>
      <c r="AN235" s="234"/>
      <c r="AO235" s="135">
        <f t="shared" si="24"/>
        <v>633000</v>
      </c>
      <c r="AP235" s="166">
        <f>0.7%+0.05%+0.14%</f>
        <v>0.0089</v>
      </c>
      <c r="AQ235" s="237">
        <f t="shared" si="25"/>
        <v>0</v>
      </c>
      <c r="AR235" s="184"/>
      <c r="AS235" s="184"/>
      <c r="AT235" s="184"/>
      <c r="AU235" s="184"/>
      <c r="AV235" s="184"/>
      <c r="AW235" s="184"/>
      <c r="AX235" s="184"/>
      <c r="AY235" s="184"/>
      <c r="AZ235" s="184"/>
      <c r="BB235" s="184"/>
      <c r="BG235" s="135">
        <v>153000</v>
      </c>
      <c r="BH235" s="135">
        <v>480000</v>
      </c>
      <c r="BT235" s="135" t="s">
        <v>496</v>
      </c>
      <c r="BU235" s="135" t="s">
        <v>506</v>
      </c>
    </row>
    <row r="236" s="135" customFormat="1" customHeight="1" spans="1:72">
      <c r="A236" s="220">
        <v>200</v>
      </c>
      <c r="C236" s="191">
        <v>45498</v>
      </c>
      <c r="D236" s="135">
        <v>20240004248</v>
      </c>
      <c r="F236" s="834" t="s">
        <v>3920</v>
      </c>
      <c r="G236" s="164" t="s">
        <v>3921</v>
      </c>
      <c r="H236" s="846" t="s">
        <v>3922</v>
      </c>
      <c r="I236" s="135" t="s">
        <v>3923</v>
      </c>
      <c r="J236" s="135">
        <v>132.34</v>
      </c>
      <c r="K236" s="135">
        <v>132.34</v>
      </c>
      <c r="L236" s="135">
        <f>M236/K236</f>
        <v>5100</v>
      </c>
      <c r="M236" s="233">
        <v>674934</v>
      </c>
      <c r="N236" s="184">
        <v>5100</v>
      </c>
      <c r="O236" s="234"/>
      <c r="P236" s="234"/>
      <c r="Q236" s="234"/>
      <c r="R236" s="184"/>
      <c r="S236" s="261"/>
      <c r="T236" s="262"/>
      <c r="U236" s="261" t="s">
        <v>721</v>
      </c>
      <c r="V236" s="184">
        <v>10000</v>
      </c>
      <c r="W236" s="261" t="s">
        <v>579</v>
      </c>
      <c r="X236" s="184">
        <v>20000</v>
      </c>
      <c r="Y236" s="190" t="s">
        <v>3924</v>
      </c>
      <c r="Z236" s="135">
        <v>74934</v>
      </c>
      <c r="AA236" s="190" t="s">
        <v>3925</v>
      </c>
      <c r="AB236" s="184">
        <v>570000</v>
      </c>
      <c r="AC236" s="261" t="s">
        <v>1589</v>
      </c>
      <c r="AH236" s="184">
        <f t="shared" si="23"/>
        <v>674934</v>
      </c>
      <c r="AK236" s="190">
        <f t="shared" si="30"/>
        <v>0</v>
      </c>
      <c r="AL236" s="135">
        <v>13667565757</v>
      </c>
      <c r="AM236" s="135" t="s">
        <v>3468</v>
      </c>
      <c r="AN236" s="234"/>
      <c r="AO236" s="135">
        <f t="shared" si="24"/>
        <v>674934</v>
      </c>
      <c r="AP236" s="166">
        <f>0.7%+0.02%+0.08%</f>
        <v>0.008</v>
      </c>
      <c r="AQ236" s="237">
        <f t="shared" si="25"/>
        <v>0</v>
      </c>
      <c r="AR236" s="184"/>
      <c r="AS236" s="184"/>
      <c r="AT236" s="184"/>
      <c r="AU236" s="184"/>
      <c r="AV236" s="184"/>
      <c r="AW236" s="184"/>
      <c r="AX236" s="184"/>
      <c r="AY236" s="184"/>
      <c r="AZ236" s="184"/>
      <c r="BB236" s="184"/>
      <c r="BK236" s="135">
        <v>104934</v>
      </c>
      <c r="BO236" s="135">
        <v>570000</v>
      </c>
      <c r="BT236" s="135" t="s">
        <v>496</v>
      </c>
    </row>
    <row r="237" s="132" customFormat="1" customHeight="1" spans="1:54">
      <c r="A237" s="220">
        <v>201</v>
      </c>
      <c r="C237" s="219"/>
      <c r="E237" s="132" t="s">
        <v>3772</v>
      </c>
      <c r="G237" s="219"/>
      <c r="H237" s="219"/>
      <c r="I237" s="132" t="s">
        <v>3926</v>
      </c>
      <c r="J237" s="132">
        <v>86.14</v>
      </c>
      <c r="M237" s="213"/>
      <c r="N237" s="215">
        <v>5422</v>
      </c>
      <c r="O237" s="229"/>
      <c r="P237" s="229"/>
      <c r="Q237" s="229"/>
      <c r="R237" s="215"/>
      <c r="S237" s="265"/>
      <c r="T237" s="266"/>
      <c r="U237" s="265"/>
      <c r="V237" s="215"/>
      <c r="W237" s="173"/>
      <c r="X237" s="215"/>
      <c r="Y237" s="173"/>
      <c r="AA237" s="173"/>
      <c r="AB237" s="215"/>
      <c r="AH237" s="215">
        <f t="shared" si="23"/>
        <v>0</v>
      </c>
      <c r="AK237" s="173"/>
      <c r="AN237" s="229"/>
      <c r="AO237" s="132">
        <f t="shared" si="24"/>
        <v>0</v>
      </c>
      <c r="AP237" s="157"/>
      <c r="AQ237" s="251">
        <f t="shared" si="25"/>
        <v>0</v>
      </c>
      <c r="AR237" s="215"/>
      <c r="AS237" s="215"/>
      <c r="AT237" s="215"/>
      <c r="AU237" s="215"/>
      <c r="AV237" s="215"/>
      <c r="AW237" s="215"/>
      <c r="AX237" s="215"/>
      <c r="AY237" s="215"/>
      <c r="AZ237" s="215"/>
      <c r="BB237" s="215"/>
    </row>
    <row r="238" s="135" customFormat="1" customHeight="1" spans="1:73">
      <c r="A238" s="220">
        <v>202</v>
      </c>
      <c r="C238" s="191">
        <v>45417</v>
      </c>
      <c r="D238" s="135">
        <v>20240002598</v>
      </c>
      <c r="F238" s="135" t="s">
        <v>3927</v>
      </c>
      <c r="G238" s="164" t="s">
        <v>3928</v>
      </c>
      <c r="H238" s="164"/>
      <c r="I238" s="135" t="s">
        <v>3929</v>
      </c>
      <c r="J238" s="135">
        <v>115.78</v>
      </c>
      <c r="K238" s="135">
        <v>115.78</v>
      </c>
      <c r="L238" s="135">
        <v>5536.36</v>
      </c>
      <c r="M238" s="233">
        <v>641000</v>
      </c>
      <c r="N238" s="184">
        <v>5437</v>
      </c>
      <c r="O238" s="234"/>
      <c r="P238" s="234"/>
      <c r="Q238" s="234"/>
      <c r="R238" s="184"/>
      <c r="S238" s="261"/>
      <c r="T238" s="262"/>
      <c r="U238" s="261" t="s">
        <v>524</v>
      </c>
      <c r="V238" s="184">
        <v>25000</v>
      </c>
      <c r="W238" s="261" t="s">
        <v>1001</v>
      </c>
      <c r="X238" s="184">
        <v>116000</v>
      </c>
      <c r="Y238" s="190" t="s">
        <v>3618</v>
      </c>
      <c r="Z238" s="184">
        <v>500000</v>
      </c>
      <c r="AA238" s="261" t="s">
        <v>3630</v>
      </c>
      <c r="AB238" s="184"/>
      <c r="AH238" s="184">
        <f t="shared" si="23"/>
        <v>641000</v>
      </c>
      <c r="AK238" s="190">
        <f t="shared" si="30"/>
        <v>0</v>
      </c>
      <c r="AL238" s="135">
        <v>18054126901</v>
      </c>
      <c r="AN238" s="234"/>
      <c r="AO238" s="135">
        <f t="shared" si="24"/>
        <v>641000</v>
      </c>
      <c r="AP238" s="162">
        <f>0.7%+0.08%</f>
        <v>0.0078</v>
      </c>
      <c r="AQ238" s="237">
        <f t="shared" si="25"/>
        <v>0</v>
      </c>
      <c r="AR238" s="184"/>
      <c r="AS238" s="184"/>
      <c r="AT238" s="184"/>
      <c r="AU238" s="184"/>
      <c r="AV238" s="184"/>
      <c r="AW238" s="184"/>
      <c r="AX238" s="184"/>
      <c r="AY238" s="184"/>
      <c r="AZ238" s="184"/>
      <c r="BB238" s="184"/>
      <c r="BI238" s="135">
        <v>141000</v>
      </c>
      <c r="BK238" s="135">
        <v>500000</v>
      </c>
      <c r="BT238" s="135" t="s">
        <v>496</v>
      </c>
      <c r="BU238" s="135" t="s">
        <v>506</v>
      </c>
    </row>
    <row r="239" s="135" customFormat="1" customHeight="1" spans="1:73">
      <c r="A239" s="220">
        <v>203</v>
      </c>
      <c r="C239" s="191">
        <v>45413</v>
      </c>
      <c r="D239" s="135">
        <v>20240002471</v>
      </c>
      <c r="F239" s="834" t="s">
        <v>3930</v>
      </c>
      <c r="G239" s="164" t="s">
        <v>3931</v>
      </c>
      <c r="H239" s="846" t="s">
        <v>3932</v>
      </c>
      <c r="I239" s="135" t="s">
        <v>3933</v>
      </c>
      <c r="J239" s="135">
        <v>132.34</v>
      </c>
      <c r="K239" s="135">
        <v>132.34</v>
      </c>
      <c r="L239" s="135">
        <v>5503.87</v>
      </c>
      <c r="M239" s="233">
        <v>728383</v>
      </c>
      <c r="N239" s="184">
        <v>5448</v>
      </c>
      <c r="O239" s="234"/>
      <c r="P239" s="234"/>
      <c r="Q239" s="234"/>
      <c r="R239" s="184"/>
      <c r="S239" s="261"/>
      <c r="T239" s="262"/>
      <c r="U239" s="261" t="s">
        <v>721</v>
      </c>
      <c r="V239" s="184">
        <v>20000</v>
      </c>
      <c r="W239" s="261" t="s">
        <v>542</v>
      </c>
      <c r="X239" s="184">
        <f>220383</f>
        <v>220383</v>
      </c>
      <c r="Y239" s="261" t="s">
        <v>3934</v>
      </c>
      <c r="Z239" s="184">
        <v>488000</v>
      </c>
      <c r="AA239" s="261" t="s">
        <v>670</v>
      </c>
      <c r="AB239" s="184"/>
      <c r="AH239" s="184">
        <f t="shared" si="23"/>
        <v>728383</v>
      </c>
      <c r="AK239" s="190">
        <f t="shared" si="30"/>
        <v>0</v>
      </c>
      <c r="AL239" s="135">
        <v>19999266962</v>
      </c>
      <c r="AN239" s="234"/>
      <c r="AO239" s="135">
        <f t="shared" si="24"/>
        <v>728383</v>
      </c>
      <c r="AP239" s="166">
        <f>0.7%+0.05%+0.12%</f>
        <v>0.0087</v>
      </c>
      <c r="AQ239" s="237">
        <f t="shared" si="25"/>
        <v>0</v>
      </c>
      <c r="AR239" s="184"/>
      <c r="AS239" s="184"/>
      <c r="AT239" s="184"/>
      <c r="AU239" s="184"/>
      <c r="AV239" s="184"/>
      <c r="AW239" s="184"/>
      <c r="AX239" s="184"/>
      <c r="AY239" s="184"/>
      <c r="AZ239" s="184"/>
      <c r="BB239" s="184"/>
      <c r="BI239" s="135">
        <v>240383</v>
      </c>
      <c r="BJ239" s="135">
        <v>488000</v>
      </c>
      <c r="BT239" s="135" t="s">
        <v>496</v>
      </c>
      <c r="BU239" s="135" t="s">
        <v>506</v>
      </c>
    </row>
    <row r="240" s="132" customFormat="1" customHeight="1" spans="1:54">
      <c r="A240" s="220">
        <v>204</v>
      </c>
      <c r="C240" s="219"/>
      <c r="E240" s="132" t="s">
        <v>3935</v>
      </c>
      <c r="G240" s="219"/>
      <c r="H240" s="219"/>
      <c r="I240" s="132" t="s">
        <v>3936</v>
      </c>
      <c r="J240" s="132">
        <v>86.14</v>
      </c>
      <c r="M240" s="213"/>
      <c r="N240" s="215">
        <v>5432</v>
      </c>
      <c r="O240" s="229"/>
      <c r="P240" s="229"/>
      <c r="Q240" s="229"/>
      <c r="R240" s="215"/>
      <c r="S240" s="265"/>
      <c r="T240" s="266"/>
      <c r="U240" s="265"/>
      <c r="V240" s="215"/>
      <c r="W240" s="173"/>
      <c r="X240" s="215"/>
      <c r="Y240" s="173"/>
      <c r="AA240" s="173"/>
      <c r="AB240" s="215"/>
      <c r="AH240" s="215">
        <f t="shared" si="23"/>
        <v>0</v>
      </c>
      <c r="AK240" s="173"/>
      <c r="AN240" s="229"/>
      <c r="AO240" s="132">
        <f t="shared" si="24"/>
        <v>0</v>
      </c>
      <c r="AP240" s="157"/>
      <c r="AQ240" s="251">
        <f t="shared" si="25"/>
        <v>0</v>
      </c>
      <c r="AR240" s="215"/>
      <c r="AS240" s="215"/>
      <c r="AT240" s="215"/>
      <c r="AU240" s="215"/>
      <c r="AV240" s="215"/>
      <c r="AW240" s="215"/>
      <c r="AX240" s="215"/>
      <c r="AY240" s="215"/>
      <c r="AZ240" s="215"/>
      <c r="BB240" s="215"/>
    </row>
    <row r="241" s="135" customFormat="1" customHeight="1" spans="1:73">
      <c r="A241" s="220">
        <v>205</v>
      </c>
      <c r="C241" s="191">
        <v>45417</v>
      </c>
      <c r="D241" s="135">
        <v>20240002571</v>
      </c>
      <c r="F241" s="135" t="s">
        <v>3937</v>
      </c>
      <c r="G241" s="164" t="s">
        <v>3938</v>
      </c>
      <c r="H241" s="164"/>
      <c r="I241" s="135" t="s">
        <v>3939</v>
      </c>
      <c r="J241" s="135">
        <v>115.78</v>
      </c>
      <c r="K241" s="135">
        <v>115.78</v>
      </c>
      <c r="L241" s="135">
        <v>5527.725</v>
      </c>
      <c r="M241" s="233">
        <v>640000</v>
      </c>
      <c r="N241" s="184">
        <v>5458</v>
      </c>
      <c r="O241" s="234"/>
      <c r="P241" s="234"/>
      <c r="Q241" s="234"/>
      <c r="R241" s="184">
        <v>460000</v>
      </c>
      <c r="S241" s="261" t="s">
        <v>3242</v>
      </c>
      <c r="T241" s="262"/>
      <c r="U241" s="261" t="s">
        <v>590</v>
      </c>
      <c r="V241" s="184">
        <v>20000</v>
      </c>
      <c r="W241" s="261" t="s">
        <v>3378</v>
      </c>
      <c r="X241" s="184">
        <v>160000</v>
      </c>
      <c r="Y241" s="261" t="s">
        <v>1001</v>
      </c>
      <c r="Z241" s="184">
        <v>460000</v>
      </c>
      <c r="AA241" s="261" t="s">
        <v>3242</v>
      </c>
      <c r="AB241" s="184"/>
      <c r="AH241" s="184">
        <f t="shared" si="23"/>
        <v>640000</v>
      </c>
      <c r="AK241" s="190">
        <f>M241-AH241</f>
        <v>0</v>
      </c>
      <c r="AL241" s="135">
        <v>18742875661</v>
      </c>
      <c r="AN241" s="234"/>
      <c r="AO241" s="135">
        <f t="shared" si="24"/>
        <v>640000</v>
      </c>
      <c r="AP241" s="162">
        <f>0.4%+0.03%+0.12%</f>
        <v>0.0055</v>
      </c>
      <c r="AQ241" s="237">
        <f t="shared" si="25"/>
        <v>0</v>
      </c>
      <c r="AR241" s="184"/>
      <c r="AS241" s="184"/>
      <c r="AT241" s="184"/>
      <c r="AU241" s="184"/>
      <c r="AV241" s="184"/>
      <c r="AW241" s="184"/>
      <c r="AX241" s="184"/>
      <c r="AY241" s="184"/>
      <c r="AZ241" s="184"/>
      <c r="BB241" s="184"/>
      <c r="BI241" s="135">
        <v>180000</v>
      </c>
      <c r="BP241" s="135">
        <v>460000</v>
      </c>
      <c r="BR241" s="135">
        <f>BP241*AP241</f>
        <v>2530</v>
      </c>
      <c r="BT241" s="135" t="s">
        <v>496</v>
      </c>
      <c r="BU241" s="135" t="s">
        <v>506</v>
      </c>
    </row>
    <row r="242" s="132" customFormat="1" customHeight="1" spans="1:54">
      <c r="A242" s="220">
        <v>206</v>
      </c>
      <c r="C242" s="219"/>
      <c r="G242" s="219"/>
      <c r="H242" s="219"/>
      <c r="I242" s="132" t="s">
        <v>3940</v>
      </c>
      <c r="J242" s="132">
        <v>132.34</v>
      </c>
      <c r="M242" s="213"/>
      <c r="N242" s="215">
        <v>5018</v>
      </c>
      <c r="O242" s="229"/>
      <c r="P242" s="229"/>
      <c r="Q242" s="229"/>
      <c r="R242" s="215"/>
      <c r="S242" s="265"/>
      <c r="T242" s="266"/>
      <c r="U242" s="265"/>
      <c r="V242" s="215"/>
      <c r="W242" s="173"/>
      <c r="X242" s="215"/>
      <c r="Y242" s="173"/>
      <c r="AA242" s="173"/>
      <c r="AB242" s="215"/>
      <c r="AH242" s="215">
        <f t="shared" si="23"/>
        <v>0</v>
      </c>
      <c r="AK242" s="173"/>
      <c r="AN242" s="229"/>
      <c r="AO242" s="132">
        <f t="shared" si="24"/>
        <v>0</v>
      </c>
      <c r="AP242" s="157"/>
      <c r="AQ242" s="251">
        <f t="shared" si="25"/>
        <v>0</v>
      </c>
      <c r="AR242" s="215"/>
      <c r="AS242" s="215"/>
      <c r="AT242" s="215"/>
      <c r="AU242" s="215"/>
      <c r="AV242" s="215"/>
      <c r="AW242" s="215"/>
      <c r="AX242" s="215"/>
      <c r="AY242" s="215"/>
      <c r="AZ242" s="215"/>
      <c r="BB242" s="215"/>
    </row>
    <row r="243" s="132" customFormat="1" customHeight="1" spans="1:54">
      <c r="A243" s="220">
        <v>207</v>
      </c>
      <c r="C243" s="219"/>
      <c r="E243" s="132" t="s">
        <v>3941</v>
      </c>
      <c r="G243" s="219"/>
      <c r="H243" s="219"/>
      <c r="I243" s="132" t="s">
        <v>3942</v>
      </c>
      <c r="J243" s="132">
        <v>86.14</v>
      </c>
      <c r="M243" s="213"/>
      <c r="N243" s="215">
        <v>5028</v>
      </c>
      <c r="O243" s="229"/>
      <c r="P243" s="229"/>
      <c r="Q243" s="229"/>
      <c r="R243" s="215"/>
      <c r="S243" s="265"/>
      <c r="T243" s="266"/>
      <c r="U243" s="265"/>
      <c r="V243" s="215"/>
      <c r="W243" s="173"/>
      <c r="X243" s="215"/>
      <c r="Y243" s="173"/>
      <c r="AA243" s="173"/>
      <c r="AB243" s="215"/>
      <c r="AH243" s="215">
        <f t="shared" si="23"/>
        <v>0</v>
      </c>
      <c r="AK243" s="173"/>
      <c r="AN243" s="229"/>
      <c r="AO243" s="132">
        <f t="shared" si="24"/>
        <v>0</v>
      </c>
      <c r="AP243" s="157"/>
      <c r="AQ243" s="251">
        <f t="shared" si="25"/>
        <v>0</v>
      </c>
      <c r="AR243" s="215"/>
      <c r="AS243" s="215"/>
      <c r="AT243" s="215"/>
      <c r="AU243" s="215"/>
      <c r="AV243" s="215"/>
      <c r="AW243" s="215"/>
      <c r="AX243" s="215"/>
      <c r="AY243" s="215"/>
      <c r="AZ243" s="215"/>
      <c r="BB243" s="215"/>
    </row>
    <row r="244" s="135" customFormat="1" customHeight="1" spans="1:73">
      <c r="A244" s="220">
        <v>208</v>
      </c>
      <c r="C244" s="191">
        <v>45398</v>
      </c>
      <c r="D244" s="135">
        <v>20240002114</v>
      </c>
      <c r="F244" s="834" t="s">
        <v>3943</v>
      </c>
      <c r="G244" s="164" t="s">
        <v>3944</v>
      </c>
      <c r="H244" s="846" t="s">
        <v>3945</v>
      </c>
      <c r="I244" s="135" t="s">
        <v>3946</v>
      </c>
      <c r="J244" s="135">
        <v>115.78</v>
      </c>
      <c r="K244" s="135">
        <v>115.78</v>
      </c>
      <c r="L244" s="135">
        <v>5052.69</v>
      </c>
      <c r="M244" s="233">
        <v>585000</v>
      </c>
      <c r="N244" s="184">
        <v>5028</v>
      </c>
      <c r="O244" s="234"/>
      <c r="P244" s="234"/>
      <c r="Q244" s="234"/>
      <c r="R244" s="184"/>
      <c r="S244" s="261"/>
      <c r="T244" s="262"/>
      <c r="U244" s="261" t="s">
        <v>721</v>
      </c>
      <c r="V244" s="184">
        <v>20000</v>
      </c>
      <c r="W244" s="261" t="s">
        <v>3947</v>
      </c>
      <c r="X244" s="184">
        <v>77000</v>
      </c>
      <c r="Y244" s="190" t="s">
        <v>3668</v>
      </c>
      <c r="Z244" s="184">
        <v>20000</v>
      </c>
      <c r="AA244" s="261" t="s">
        <v>3618</v>
      </c>
      <c r="AB244" s="184">
        <v>468000</v>
      </c>
      <c r="AC244" s="135" t="s">
        <v>822</v>
      </c>
      <c r="AH244" s="184">
        <f t="shared" si="23"/>
        <v>585000</v>
      </c>
      <c r="AK244" s="190">
        <f>M244-AH244</f>
        <v>0</v>
      </c>
      <c r="AL244" s="135">
        <v>13709964545</v>
      </c>
      <c r="AN244" s="234"/>
      <c r="AO244" s="135">
        <f t="shared" si="24"/>
        <v>585000</v>
      </c>
      <c r="AP244" s="166">
        <f>0.7%+0.05%+0.12%</f>
        <v>0.0087</v>
      </c>
      <c r="AQ244" s="237">
        <f t="shared" si="25"/>
        <v>0</v>
      </c>
      <c r="AR244" s="184"/>
      <c r="AS244" s="184"/>
      <c r="AT244" s="184"/>
      <c r="AU244" s="184"/>
      <c r="AV244" s="184"/>
      <c r="AW244" s="184"/>
      <c r="AX244" s="184"/>
      <c r="AY244" s="184"/>
      <c r="AZ244" s="184"/>
      <c r="BB244" s="184"/>
      <c r="BI244" s="135">
        <v>585000</v>
      </c>
      <c r="BT244" s="135" t="s">
        <v>496</v>
      </c>
      <c r="BU244" s="135" t="s">
        <v>506</v>
      </c>
    </row>
    <row r="245" s="132" customFormat="1" customHeight="1" spans="1:54">
      <c r="A245" s="212"/>
      <c r="C245" s="219"/>
      <c r="G245" s="219"/>
      <c r="H245" s="219"/>
      <c r="I245" s="132" t="s">
        <v>3948</v>
      </c>
      <c r="J245" s="132">
        <v>60.09</v>
      </c>
      <c r="M245" s="213"/>
      <c r="N245" s="215"/>
      <c r="O245" s="229"/>
      <c r="P245" s="229"/>
      <c r="Q245" s="229"/>
      <c r="R245" s="215"/>
      <c r="S245" s="265"/>
      <c r="T245" s="266"/>
      <c r="U245" s="265"/>
      <c r="V245" s="215"/>
      <c r="W245" s="173"/>
      <c r="X245" s="215"/>
      <c r="Y245" s="173"/>
      <c r="AA245" s="173"/>
      <c r="AB245" s="215"/>
      <c r="AH245" s="215">
        <f t="shared" si="23"/>
        <v>0</v>
      </c>
      <c r="AK245" s="173"/>
      <c r="AN245" s="229"/>
      <c r="AO245" s="132">
        <f t="shared" si="24"/>
        <v>0</v>
      </c>
      <c r="AP245" s="157"/>
      <c r="AQ245" s="251">
        <f t="shared" si="25"/>
        <v>0</v>
      </c>
      <c r="AR245" s="215"/>
      <c r="AS245" s="215"/>
      <c r="AT245" s="215"/>
      <c r="AU245" s="215"/>
      <c r="AV245" s="215"/>
      <c r="AW245" s="215"/>
      <c r="AX245" s="215"/>
      <c r="AY245" s="215"/>
      <c r="AZ245" s="215"/>
      <c r="BB245" s="215"/>
    </row>
    <row r="246" s="132" customFormat="1" customHeight="1" spans="3:55">
      <c r="C246" s="219"/>
      <c r="G246" s="219"/>
      <c r="H246" s="219"/>
      <c r="I246" s="228" t="s">
        <v>3949</v>
      </c>
      <c r="J246" s="269">
        <v>30.85</v>
      </c>
      <c r="M246" s="213"/>
      <c r="N246" s="215"/>
      <c r="O246" s="229"/>
      <c r="P246" s="229"/>
      <c r="Q246" s="229"/>
      <c r="R246" s="215"/>
      <c r="S246" s="265"/>
      <c r="T246" s="266"/>
      <c r="U246" s="265"/>
      <c r="V246" s="215"/>
      <c r="W246" s="273"/>
      <c r="X246" s="215"/>
      <c r="Y246" s="173"/>
      <c r="AA246" s="173"/>
      <c r="AB246" s="215"/>
      <c r="AH246" s="215">
        <f t="shared" si="23"/>
        <v>0</v>
      </c>
      <c r="AK246" s="173"/>
      <c r="AN246" s="229"/>
      <c r="AO246" s="132">
        <f t="shared" si="24"/>
        <v>0</v>
      </c>
      <c r="AP246" s="157"/>
      <c r="AQ246" s="251">
        <f t="shared" si="25"/>
        <v>0</v>
      </c>
      <c r="AR246" s="215"/>
      <c r="AS246" s="215"/>
      <c r="AT246" s="215"/>
      <c r="AU246" s="215"/>
      <c r="AV246" s="215"/>
      <c r="AW246" s="215"/>
      <c r="AX246" s="215"/>
      <c r="AY246" s="215"/>
      <c r="AZ246" s="215"/>
      <c r="BA246" s="267"/>
      <c r="BB246" s="215"/>
      <c r="BC246" s="267"/>
    </row>
    <row r="247" s="132" customFormat="1" customHeight="1" spans="3:54">
      <c r="C247" s="219"/>
      <c r="G247" s="219"/>
      <c r="H247" s="219"/>
      <c r="I247" s="230" t="s">
        <v>3950</v>
      </c>
      <c r="J247" s="269">
        <v>70.33</v>
      </c>
      <c r="M247" s="213"/>
      <c r="N247" s="215"/>
      <c r="O247" s="229"/>
      <c r="P247" s="229"/>
      <c r="Q247" s="229"/>
      <c r="R247" s="215"/>
      <c r="S247" s="216"/>
      <c r="T247" s="266"/>
      <c r="U247" s="265"/>
      <c r="V247" s="215"/>
      <c r="W247" s="273"/>
      <c r="X247" s="215"/>
      <c r="Y247" s="173"/>
      <c r="Z247" s="215"/>
      <c r="AA247" s="173"/>
      <c r="AB247" s="215"/>
      <c r="AH247" s="215">
        <f t="shared" si="23"/>
        <v>0</v>
      </c>
      <c r="AK247" s="173"/>
      <c r="AN247" s="229"/>
      <c r="AO247" s="132">
        <f t="shared" si="24"/>
        <v>0</v>
      </c>
      <c r="AP247" s="157"/>
      <c r="AQ247" s="251">
        <f t="shared" si="25"/>
        <v>0</v>
      </c>
      <c r="AR247" s="215"/>
      <c r="AS247" s="215"/>
      <c r="AT247" s="215"/>
      <c r="AU247" s="215"/>
      <c r="AV247" s="215"/>
      <c r="AW247" s="215"/>
      <c r="AX247" s="215"/>
      <c r="AY247" s="215"/>
      <c r="AZ247" s="215"/>
      <c r="BB247" s="215"/>
    </row>
    <row r="248" s="132" customFormat="1" customHeight="1" spans="3:55">
      <c r="C248" s="219"/>
      <c r="I248" s="228" t="s">
        <v>3951</v>
      </c>
      <c r="J248" s="269">
        <v>70.63</v>
      </c>
      <c r="M248" s="213"/>
      <c r="N248" s="215"/>
      <c r="O248" s="229"/>
      <c r="P248" s="229"/>
      <c r="Q248" s="229"/>
      <c r="R248" s="215"/>
      <c r="T248" s="212"/>
      <c r="V248" s="215"/>
      <c r="W248" s="173"/>
      <c r="X248" s="215"/>
      <c r="Y248" s="173"/>
      <c r="AA248" s="173"/>
      <c r="AB248" s="215"/>
      <c r="AH248" s="215">
        <f t="shared" si="23"/>
        <v>0</v>
      </c>
      <c r="AK248" s="173"/>
      <c r="AN248" s="229"/>
      <c r="AO248" s="132">
        <f t="shared" si="24"/>
        <v>0</v>
      </c>
      <c r="AP248" s="157"/>
      <c r="AQ248" s="251">
        <f t="shared" si="25"/>
        <v>0</v>
      </c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67"/>
      <c r="BB248" s="215"/>
      <c r="BC248" s="267"/>
    </row>
    <row r="249" s="132" customFormat="1" customHeight="1" spans="3:55">
      <c r="C249" s="219"/>
      <c r="G249" s="219"/>
      <c r="H249" s="219"/>
      <c r="I249" s="230" t="s">
        <v>3952</v>
      </c>
      <c r="J249" s="269">
        <v>46.15</v>
      </c>
      <c r="M249" s="213"/>
      <c r="N249" s="215"/>
      <c r="O249" s="229"/>
      <c r="P249" s="229"/>
      <c r="Q249" s="229"/>
      <c r="R249" s="215"/>
      <c r="S249" s="216"/>
      <c r="T249" s="212"/>
      <c r="U249" s="216"/>
      <c r="V249" s="215"/>
      <c r="W249" s="173"/>
      <c r="X249" s="215"/>
      <c r="AA249" s="173"/>
      <c r="AB249" s="215"/>
      <c r="AH249" s="215">
        <f t="shared" si="23"/>
        <v>0</v>
      </c>
      <c r="AK249" s="173"/>
      <c r="AN249" s="229"/>
      <c r="AO249" s="132">
        <f t="shared" si="24"/>
        <v>0</v>
      </c>
      <c r="AP249" s="157"/>
      <c r="AQ249" s="251">
        <f t="shared" si="25"/>
        <v>0</v>
      </c>
      <c r="AR249" s="215"/>
      <c r="AS249" s="215"/>
      <c r="AT249" s="215"/>
      <c r="AU249" s="215"/>
      <c r="AV249" s="215"/>
      <c r="AW249" s="215"/>
      <c r="AX249" s="215"/>
      <c r="AY249" s="215"/>
      <c r="AZ249" s="215"/>
      <c r="BA249" s="267"/>
      <c r="BB249" s="215"/>
      <c r="BC249" s="267"/>
    </row>
    <row r="250" s="132" customFormat="1" customHeight="1" spans="3:55">
      <c r="C250" s="219"/>
      <c r="G250" s="219"/>
      <c r="I250" s="230" t="s">
        <v>3953</v>
      </c>
      <c r="J250" s="269">
        <v>46.15</v>
      </c>
      <c r="M250" s="270"/>
      <c r="N250" s="271"/>
      <c r="O250" s="229"/>
      <c r="P250" s="229"/>
      <c r="Q250" s="229"/>
      <c r="R250" s="215"/>
      <c r="S250" s="216"/>
      <c r="T250" s="212"/>
      <c r="U250" s="216"/>
      <c r="V250" s="215"/>
      <c r="W250" s="274"/>
      <c r="X250" s="215"/>
      <c r="Y250" s="275"/>
      <c r="AB250" s="215"/>
      <c r="AH250" s="215">
        <f t="shared" si="23"/>
        <v>0</v>
      </c>
      <c r="AK250" s="173"/>
      <c r="AL250" s="276"/>
      <c r="AM250" s="276"/>
      <c r="AN250" s="277"/>
      <c r="AO250" s="132">
        <f t="shared" si="24"/>
        <v>0</v>
      </c>
      <c r="AP250" s="157"/>
      <c r="AQ250" s="251">
        <f t="shared" si="25"/>
        <v>0</v>
      </c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67"/>
      <c r="BB250" s="215"/>
      <c r="BC250" s="267"/>
    </row>
    <row r="251" s="132" customFormat="1" customHeight="1" spans="3:55">
      <c r="C251" s="219"/>
      <c r="G251" s="219"/>
      <c r="H251" s="219"/>
      <c r="I251" s="228" t="s">
        <v>3954</v>
      </c>
      <c r="J251" s="269">
        <v>45.1</v>
      </c>
      <c r="M251" s="213"/>
      <c r="N251" s="215"/>
      <c r="O251" s="229"/>
      <c r="P251" s="229"/>
      <c r="Q251" s="229"/>
      <c r="R251" s="215"/>
      <c r="S251" s="265"/>
      <c r="T251" s="266"/>
      <c r="U251" s="265"/>
      <c r="V251" s="215"/>
      <c r="W251" s="273"/>
      <c r="X251" s="215"/>
      <c r="Y251" s="173"/>
      <c r="AA251" s="173"/>
      <c r="AB251" s="215"/>
      <c r="AH251" s="215">
        <f t="shared" si="23"/>
        <v>0</v>
      </c>
      <c r="AK251" s="173"/>
      <c r="AN251" s="229"/>
      <c r="AO251" s="132">
        <f t="shared" si="24"/>
        <v>0</v>
      </c>
      <c r="AP251" s="157"/>
      <c r="AQ251" s="251">
        <f t="shared" si="25"/>
        <v>0</v>
      </c>
      <c r="AR251" s="215"/>
      <c r="AS251" s="215"/>
      <c r="AT251" s="215"/>
      <c r="AU251" s="215"/>
      <c r="AV251" s="215"/>
      <c r="AW251" s="215"/>
      <c r="AX251" s="215"/>
      <c r="AY251" s="215"/>
      <c r="AZ251" s="215"/>
      <c r="BA251" s="267"/>
      <c r="BB251" s="215"/>
      <c r="BC251" s="267"/>
    </row>
    <row r="252" s="132" customFormat="1" customHeight="1" spans="3:55">
      <c r="C252" s="219"/>
      <c r="G252" s="219"/>
      <c r="H252" s="219"/>
      <c r="I252" s="230" t="s">
        <v>3955</v>
      </c>
      <c r="J252" s="269">
        <v>70.33</v>
      </c>
      <c r="M252" s="213"/>
      <c r="N252" s="215"/>
      <c r="O252" s="229"/>
      <c r="P252" s="229"/>
      <c r="Q252" s="229"/>
      <c r="R252" s="215"/>
      <c r="S252" s="265"/>
      <c r="T252" s="266"/>
      <c r="U252" s="265"/>
      <c r="V252" s="215"/>
      <c r="W252" s="273"/>
      <c r="Y252" s="173"/>
      <c r="AA252" s="173"/>
      <c r="AB252" s="215"/>
      <c r="AH252" s="215">
        <f t="shared" si="23"/>
        <v>0</v>
      </c>
      <c r="AK252" s="173"/>
      <c r="AL252" s="276"/>
      <c r="AN252" s="229"/>
      <c r="AO252" s="132">
        <f t="shared" si="24"/>
        <v>0</v>
      </c>
      <c r="AP252" s="157"/>
      <c r="AQ252" s="251">
        <f t="shared" si="25"/>
        <v>0</v>
      </c>
      <c r="AR252" s="215"/>
      <c r="AS252" s="215"/>
      <c r="AT252" s="215"/>
      <c r="AU252" s="215"/>
      <c r="AV252" s="215"/>
      <c r="AW252" s="215"/>
      <c r="AX252" s="215"/>
      <c r="AY252" s="215"/>
      <c r="AZ252" s="215"/>
      <c r="BA252" s="267"/>
      <c r="BB252" s="215"/>
      <c r="BC252" s="267"/>
    </row>
    <row r="253" s="132" customFormat="1" customHeight="1" spans="3:55">
      <c r="C253" s="219"/>
      <c r="G253" s="219"/>
      <c r="H253" s="219"/>
      <c r="I253" s="228" t="s">
        <v>3956</v>
      </c>
      <c r="J253" s="269">
        <v>70.33</v>
      </c>
      <c r="M253" s="213"/>
      <c r="N253" s="215"/>
      <c r="O253" s="229"/>
      <c r="P253" s="229"/>
      <c r="Q253" s="229"/>
      <c r="R253" s="215"/>
      <c r="T253" s="212"/>
      <c r="V253" s="215"/>
      <c r="X253" s="215"/>
      <c r="Y253" s="173"/>
      <c r="AA253" s="173"/>
      <c r="AB253" s="215"/>
      <c r="AH253" s="215">
        <f t="shared" si="23"/>
        <v>0</v>
      </c>
      <c r="AK253" s="173"/>
      <c r="AN253" s="229"/>
      <c r="AO253" s="132">
        <f t="shared" si="24"/>
        <v>0</v>
      </c>
      <c r="AP253" s="157"/>
      <c r="AQ253" s="251">
        <f t="shared" si="25"/>
        <v>0</v>
      </c>
      <c r="AR253" s="215"/>
      <c r="AS253" s="215"/>
      <c r="AT253" s="215"/>
      <c r="AU253" s="215"/>
      <c r="AV253" s="215"/>
      <c r="AW253" s="215"/>
      <c r="AX253" s="215"/>
      <c r="AY253" s="215"/>
      <c r="AZ253" s="215"/>
      <c r="BA253" s="267"/>
      <c r="BB253" s="215"/>
      <c r="BC253" s="267"/>
    </row>
    <row r="254" s="132" customFormat="1" ht="42" customHeight="1" spans="3:55">
      <c r="C254" s="219"/>
      <c r="I254" s="230" t="s">
        <v>3957</v>
      </c>
      <c r="J254" s="269">
        <v>30.85</v>
      </c>
      <c r="M254" s="213"/>
      <c r="N254" s="215"/>
      <c r="O254" s="229"/>
      <c r="P254" s="229"/>
      <c r="Q254" s="229"/>
      <c r="R254" s="215"/>
      <c r="S254" s="216"/>
      <c r="T254" s="266"/>
      <c r="U254" s="265"/>
      <c r="V254" s="215"/>
      <c r="W254" s="273"/>
      <c r="X254" s="215"/>
      <c r="Y254" s="173"/>
      <c r="AA254" s="173"/>
      <c r="AB254" s="215"/>
      <c r="AH254" s="215">
        <f t="shared" si="23"/>
        <v>0</v>
      </c>
      <c r="AK254" s="173"/>
      <c r="AN254" s="229"/>
      <c r="AO254" s="132">
        <f t="shared" si="24"/>
        <v>0</v>
      </c>
      <c r="AP254" s="157"/>
      <c r="AQ254" s="251">
        <f t="shared" si="25"/>
        <v>0</v>
      </c>
      <c r="AR254" s="215"/>
      <c r="AS254" s="215"/>
      <c r="AT254" s="215"/>
      <c r="AU254" s="215"/>
      <c r="AV254" s="215"/>
      <c r="AW254" s="215"/>
      <c r="AX254" s="215"/>
      <c r="AY254" s="215"/>
      <c r="AZ254" s="215"/>
      <c r="BA254" s="267"/>
      <c r="BB254" s="215"/>
      <c r="BC254" s="267"/>
    </row>
    <row r="255" s="132" customFormat="1" customHeight="1" spans="3:55">
      <c r="C255" s="219"/>
      <c r="I255" s="228" t="s">
        <v>3958</v>
      </c>
      <c r="J255" s="269">
        <v>46.15</v>
      </c>
      <c r="M255" s="213"/>
      <c r="N255" s="215"/>
      <c r="O255" s="229"/>
      <c r="P255" s="229"/>
      <c r="Q255" s="229"/>
      <c r="R255" s="215"/>
      <c r="T255" s="212"/>
      <c r="V255" s="215"/>
      <c r="W255" s="173"/>
      <c r="X255" s="215"/>
      <c r="Y255" s="173"/>
      <c r="AA255" s="173"/>
      <c r="AB255" s="215"/>
      <c r="AH255" s="215">
        <f t="shared" si="23"/>
        <v>0</v>
      </c>
      <c r="AK255" s="173"/>
      <c r="AN255" s="229"/>
      <c r="AO255" s="132">
        <f t="shared" si="24"/>
        <v>0</v>
      </c>
      <c r="AP255" s="157"/>
      <c r="AQ255" s="251">
        <f t="shared" si="25"/>
        <v>0</v>
      </c>
      <c r="AR255" s="215"/>
      <c r="AS255" s="215"/>
      <c r="AT255" s="215"/>
      <c r="AU255" s="215"/>
      <c r="AV255" s="215"/>
      <c r="AW255" s="215"/>
      <c r="AX255" s="215"/>
      <c r="AY255" s="215"/>
      <c r="AZ255" s="215"/>
      <c r="BA255" s="267"/>
      <c r="BB255" s="215"/>
      <c r="BC255" s="267"/>
    </row>
    <row r="256" s="132" customFormat="1" customHeight="1" spans="3:54">
      <c r="C256" s="219"/>
      <c r="G256" s="219"/>
      <c r="H256" s="219"/>
      <c r="I256" s="230" t="s">
        <v>3959</v>
      </c>
      <c r="J256" s="269">
        <v>70.63</v>
      </c>
      <c r="M256" s="213"/>
      <c r="N256" s="215"/>
      <c r="O256" s="229"/>
      <c r="P256" s="229"/>
      <c r="Q256" s="229"/>
      <c r="R256" s="215"/>
      <c r="S256" s="216"/>
      <c r="T256" s="212"/>
      <c r="U256" s="216"/>
      <c r="V256" s="215"/>
      <c r="W256" s="274"/>
      <c r="X256" s="215"/>
      <c r="Y256" s="173"/>
      <c r="AA256" s="173"/>
      <c r="AB256" s="215"/>
      <c r="AH256" s="215">
        <f t="shared" si="23"/>
        <v>0</v>
      </c>
      <c r="AK256" s="173"/>
      <c r="AN256" s="229"/>
      <c r="AO256" s="132">
        <f t="shared" si="24"/>
        <v>0</v>
      </c>
      <c r="AP256" s="157"/>
      <c r="AQ256" s="251">
        <f t="shared" si="25"/>
        <v>0</v>
      </c>
      <c r="AR256" s="215"/>
      <c r="AS256" s="215"/>
      <c r="AT256" s="215"/>
      <c r="AU256" s="215"/>
      <c r="AV256" s="215"/>
      <c r="AW256" s="215"/>
      <c r="AX256" s="215"/>
      <c r="AY256" s="215"/>
      <c r="AZ256" s="215"/>
      <c r="BB256" s="215"/>
    </row>
    <row r="257" s="132" customFormat="1" customHeight="1" spans="6:55">
      <c r="F257" s="276"/>
      <c r="G257" s="266"/>
      <c r="H257" s="266"/>
      <c r="I257" s="228" t="s">
        <v>3960</v>
      </c>
      <c r="J257" s="269">
        <v>70.33</v>
      </c>
      <c r="M257" s="213"/>
      <c r="N257" s="215"/>
      <c r="O257" s="173"/>
      <c r="P257" s="229"/>
      <c r="Q257" s="229"/>
      <c r="R257" s="215"/>
      <c r="T257" s="212"/>
      <c r="V257" s="215"/>
      <c r="X257" s="215"/>
      <c r="Y257" s="274"/>
      <c r="AA257" s="173"/>
      <c r="AB257" s="215"/>
      <c r="AH257" s="215">
        <f t="shared" si="23"/>
        <v>0</v>
      </c>
      <c r="AK257" s="173"/>
      <c r="AL257" s="276"/>
      <c r="AM257" s="276"/>
      <c r="AN257" s="294"/>
      <c r="AO257" s="132">
        <f t="shared" si="24"/>
        <v>0</v>
      </c>
      <c r="AP257" s="157"/>
      <c r="AQ257" s="251">
        <f t="shared" si="25"/>
        <v>0</v>
      </c>
      <c r="AR257" s="215"/>
      <c r="AS257" s="215"/>
      <c r="AT257" s="215"/>
      <c r="AU257" s="215"/>
      <c r="AV257" s="215"/>
      <c r="AW257" s="215"/>
      <c r="AX257" s="215"/>
      <c r="AY257" s="215"/>
      <c r="AZ257" s="215"/>
      <c r="BA257" s="267"/>
      <c r="BB257" s="215"/>
      <c r="BC257" s="267"/>
    </row>
    <row r="258" s="132" customFormat="1" customHeight="1" spans="4:55">
      <c r="D258" s="278"/>
      <c r="F258" s="276"/>
      <c r="G258" s="212"/>
      <c r="H258" s="212"/>
      <c r="I258" s="230" t="s">
        <v>3961</v>
      </c>
      <c r="J258" s="269">
        <v>45.1</v>
      </c>
      <c r="M258" s="213"/>
      <c r="N258" s="215"/>
      <c r="O258" s="173"/>
      <c r="P258" s="276"/>
      <c r="R258" s="215"/>
      <c r="S258" s="216"/>
      <c r="T258" s="212"/>
      <c r="U258" s="212"/>
      <c r="V258" s="215"/>
      <c r="W258" s="274"/>
      <c r="X258" s="215"/>
      <c r="Y258" s="274"/>
      <c r="AB258" s="215"/>
      <c r="AH258" s="215">
        <f t="shared" si="23"/>
        <v>0</v>
      </c>
      <c r="AK258" s="173"/>
      <c r="AL258" s="276"/>
      <c r="AM258" s="276"/>
      <c r="AN258" s="294"/>
      <c r="AO258" s="132">
        <f t="shared" si="24"/>
        <v>0</v>
      </c>
      <c r="AP258" s="157"/>
      <c r="AQ258" s="251">
        <f t="shared" si="25"/>
        <v>0</v>
      </c>
      <c r="AR258" s="215"/>
      <c r="AS258" s="215"/>
      <c r="AT258" s="215"/>
      <c r="AU258" s="215"/>
      <c r="AV258" s="215"/>
      <c r="AW258" s="215"/>
      <c r="AX258" s="215"/>
      <c r="AY258" s="215"/>
      <c r="AZ258" s="215"/>
      <c r="BA258" s="267"/>
      <c r="BB258" s="215"/>
      <c r="BC258" s="267"/>
    </row>
    <row r="259" s="132" customFormat="1" customHeight="1" spans="4:55">
      <c r="D259" s="278"/>
      <c r="G259" s="219"/>
      <c r="H259" s="219"/>
      <c r="I259" s="228" t="s">
        <v>3962</v>
      </c>
      <c r="J259" s="269">
        <v>30.85</v>
      </c>
      <c r="M259" s="213"/>
      <c r="N259" s="215"/>
      <c r="O259" s="173"/>
      <c r="P259" s="276"/>
      <c r="R259" s="215"/>
      <c r="S259" s="265"/>
      <c r="T259" s="266"/>
      <c r="U259" s="265"/>
      <c r="V259" s="215"/>
      <c r="W259" s="274"/>
      <c r="AB259" s="215"/>
      <c r="AH259" s="215">
        <f t="shared" si="23"/>
        <v>0</v>
      </c>
      <c r="AK259" s="173"/>
      <c r="AL259" s="276"/>
      <c r="AM259" s="276"/>
      <c r="AN259" s="294"/>
      <c r="AO259" s="132">
        <f t="shared" si="24"/>
        <v>0</v>
      </c>
      <c r="AP259" s="157"/>
      <c r="AQ259" s="251">
        <f t="shared" si="25"/>
        <v>0</v>
      </c>
      <c r="AR259" s="215"/>
      <c r="AS259" s="215"/>
      <c r="AT259" s="215"/>
      <c r="AU259" s="215"/>
      <c r="AV259" s="215"/>
      <c r="AW259" s="215"/>
      <c r="AX259" s="215"/>
      <c r="AY259" s="215"/>
      <c r="AZ259" s="215"/>
      <c r="BA259" s="267"/>
      <c r="BB259" s="215"/>
      <c r="BC259" s="267"/>
    </row>
    <row r="260" s="132" customFormat="1" customHeight="1" spans="1:55">
      <c r="A260" s="132">
        <v>209</v>
      </c>
      <c r="F260" s="276"/>
      <c r="G260" s="266"/>
      <c r="H260" s="266"/>
      <c r="I260" s="228" t="s">
        <v>3963</v>
      </c>
      <c r="J260" s="283">
        <v>109.11</v>
      </c>
      <c r="M260" s="213"/>
      <c r="N260" s="215">
        <v>8624</v>
      </c>
      <c r="O260" s="173"/>
      <c r="R260" s="215"/>
      <c r="S260" s="265"/>
      <c r="T260" s="266"/>
      <c r="U260" s="265"/>
      <c r="V260" s="215"/>
      <c r="W260" s="242"/>
      <c r="X260" s="215"/>
      <c r="Y260" s="242"/>
      <c r="Z260" s="212"/>
      <c r="AA260" s="242"/>
      <c r="AB260" s="215"/>
      <c r="AC260" s="274"/>
      <c r="AD260" s="274"/>
      <c r="AE260" s="274"/>
      <c r="AF260" s="274"/>
      <c r="AG260" s="274"/>
      <c r="AH260" s="215">
        <f t="shared" si="23"/>
        <v>0</v>
      </c>
      <c r="AK260" s="173"/>
      <c r="AL260" s="276"/>
      <c r="AM260" s="276"/>
      <c r="AN260" s="294"/>
      <c r="AO260" s="132">
        <f t="shared" si="24"/>
        <v>0</v>
      </c>
      <c r="AP260" s="157"/>
      <c r="AQ260" s="251">
        <f t="shared" si="25"/>
        <v>0</v>
      </c>
      <c r="AR260" s="215"/>
      <c r="AS260" s="215"/>
      <c r="AT260" s="215"/>
      <c r="AU260" s="215"/>
      <c r="AV260" s="215"/>
      <c r="AW260" s="215"/>
      <c r="AX260" s="215"/>
      <c r="AY260" s="215"/>
      <c r="AZ260" s="215"/>
      <c r="BA260" s="267"/>
      <c r="BB260" s="215"/>
      <c r="BC260" s="267"/>
    </row>
    <row r="261" s="132" customFormat="1" customHeight="1" spans="1:55">
      <c r="A261" s="132">
        <v>210</v>
      </c>
      <c r="D261" s="279"/>
      <c r="F261" s="276"/>
      <c r="G261" s="266"/>
      <c r="H261" s="266"/>
      <c r="I261" s="230" t="s">
        <v>3964</v>
      </c>
      <c r="J261" s="283">
        <v>128.47</v>
      </c>
      <c r="M261" s="270"/>
      <c r="N261" s="271">
        <v>8414</v>
      </c>
      <c r="O261" s="284"/>
      <c r="P261" s="279"/>
      <c r="Q261" s="279"/>
      <c r="R261" s="215"/>
      <c r="S261" s="216"/>
      <c r="T261" s="266"/>
      <c r="U261" s="265"/>
      <c r="V261" s="215"/>
      <c r="W261" s="273"/>
      <c r="Z261" s="215"/>
      <c r="AB261" s="215"/>
      <c r="AH261" s="215">
        <f t="shared" ref="AH261:AH324" si="31">V261+X261+Z261+AB261+AD261+AF261</f>
        <v>0</v>
      </c>
      <c r="AK261" s="173"/>
      <c r="AL261" s="276"/>
      <c r="AM261" s="276"/>
      <c r="AN261" s="289"/>
      <c r="AO261" s="132">
        <f t="shared" ref="AO261:AO324" si="32">SUM(AZ261:BQ261)</f>
        <v>0</v>
      </c>
      <c r="AP261" s="157"/>
      <c r="AQ261" s="251">
        <f t="shared" ref="AQ261:AQ324" si="33">AR261+AS261+AT261+AU261+AV261+AW261+AX261+AY261</f>
        <v>0</v>
      </c>
      <c r="AR261" s="215"/>
      <c r="AS261" s="215"/>
      <c r="AT261" s="215"/>
      <c r="AU261" s="215"/>
      <c r="AV261" s="215"/>
      <c r="AW261" s="215"/>
      <c r="AX261" s="215"/>
      <c r="AY261" s="215"/>
      <c r="AZ261" s="215"/>
      <c r="BA261" s="267"/>
      <c r="BB261" s="215"/>
      <c r="BC261" s="267"/>
    </row>
    <row r="262" s="135" customFormat="1" customHeight="1" spans="1:72">
      <c r="A262" s="132">
        <v>211</v>
      </c>
      <c r="C262" s="135" t="s">
        <v>206</v>
      </c>
      <c r="D262" s="263" t="s">
        <v>264</v>
      </c>
      <c r="E262" s="135" t="s">
        <v>265</v>
      </c>
      <c r="F262" s="264" t="s">
        <v>266</v>
      </c>
      <c r="G262" s="262" t="s">
        <v>267</v>
      </c>
      <c r="H262" s="262"/>
      <c r="I262" s="232" t="s">
        <v>3965</v>
      </c>
      <c r="J262" s="135">
        <v>126.5</v>
      </c>
      <c r="K262" s="135">
        <v>126.5</v>
      </c>
      <c r="L262" s="135">
        <v>5000</v>
      </c>
      <c r="M262" s="285">
        <v>632500</v>
      </c>
      <c r="N262" s="286">
        <v>5732.1</v>
      </c>
      <c r="O262" s="287"/>
      <c r="P262" s="263"/>
      <c r="Q262" s="263"/>
      <c r="R262" s="184">
        <v>400000</v>
      </c>
      <c r="S262" s="185" t="s">
        <v>3966</v>
      </c>
      <c r="T262" s="220"/>
      <c r="U262" s="185"/>
      <c r="V262" s="184">
        <v>232500</v>
      </c>
      <c r="W262" s="155" t="s">
        <v>206</v>
      </c>
      <c r="X262" s="184">
        <v>400000</v>
      </c>
      <c r="Y262" s="185" t="s">
        <v>3966</v>
      </c>
      <c r="AA262" s="155"/>
      <c r="AB262" s="184"/>
      <c r="AH262" s="184">
        <f t="shared" si="31"/>
        <v>632500</v>
      </c>
      <c r="AK262" s="190">
        <f t="shared" ref="AK262:AK267" si="34">M262-AH262</f>
        <v>0</v>
      </c>
      <c r="AL262" s="264" t="s">
        <v>3967</v>
      </c>
      <c r="AM262" s="264"/>
      <c r="AN262" s="288"/>
      <c r="AO262" s="135">
        <f t="shared" si="32"/>
        <v>0</v>
      </c>
      <c r="AP262" s="162"/>
      <c r="AQ262" s="237">
        <f t="shared" si="33"/>
        <v>0</v>
      </c>
      <c r="AR262" s="184"/>
      <c r="AS262" s="184"/>
      <c r="AT262" s="184"/>
      <c r="AU262" s="184"/>
      <c r="AV262" s="184"/>
      <c r="AW262" s="184"/>
      <c r="AX262" s="184"/>
      <c r="AY262" s="184"/>
      <c r="AZ262" s="184"/>
      <c r="BA262" s="268"/>
      <c r="BB262" s="184"/>
      <c r="BC262" s="268"/>
      <c r="BT262" s="135" t="s">
        <v>496</v>
      </c>
    </row>
    <row r="263" s="135" customFormat="1" customHeight="1" spans="1:72">
      <c r="A263" s="132">
        <v>212</v>
      </c>
      <c r="C263" s="135" t="s">
        <v>269</v>
      </c>
      <c r="D263" s="263" t="s">
        <v>270</v>
      </c>
      <c r="E263" s="135" t="s">
        <v>271</v>
      </c>
      <c r="F263" s="264" t="s">
        <v>272</v>
      </c>
      <c r="G263" s="262" t="s">
        <v>273</v>
      </c>
      <c r="H263" s="262"/>
      <c r="I263" s="236" t="s">
        <v>3968</v>
      </c>
      <c r="J263" s="135">
        <v>126.9</v>
      </c>
      <c r="K263" s="135">
        <v>126.9</v>
      </c>
      <c r="L263" s="135">
        <v>5910.16</v>
      </c>
      <c r="M263" s="285">
        <v>750000</v>
      </c>
      <c r="N263" s="286">
        <v>5714.1</v>
      </c>
      <c r="O263" s="287"/>
      <c r="P263" s="263"/>
      <c r="Q263" s="263"/>
      <c r="R263" s="184">
        <v>600000</v>
      </c>
      <c r="S263" s="185" t="s">
        <v>3966</v>
      </c>
      <c r="T263" s="220"/>
      <c r="U263" s="185"/>
      <c r="V263" s="184">
        <v>150000</v>
      </c>
      <c r="W263" s="185" t="s">
        <v>269</v>
      </c>
      <c r="X263" s="184">
        <v>600000</v>
      </c>
      <c r="Y263" s="185" t="s">
        <v>3966</v>
      </c>
      <c r="AB263" s="184"/>
      <c r="AH263" s="184">
        <f t="shared" si="31"/>
        <v>750000</v>
      </c>
      <c r="AK263" s="190">
        <f t="shared" si="34"/>
        <v>0</v>
      </c>
      <c r="AL263" s="264" t="s">
        <v>3969</v>
      </c>
      <c r="AM263" s="264"/>
      <c r="AN263" s="288"/>
      <c r="AO263" s="135">
        <f t="shared" si="32"/>
        <v>0</v>
      </c>
      <c r="AP263" s="162"/>
      <c r="AQ263" s="237">
        <f t="shared" si="33"/>
        <v>0</v>
      </c>
      <c r="AR263" s="184"/>
      <c r="AS263" s="184"/>
      <c r="AT263" s="184"/>
      <c r="AU263" s="184"/>
      <c r="AV263" s="184"/>
      <c r="AW263" s="184"/>
      <c r="AX263" s="184"/>
      <c r="AY263" s="184"/>
      <c r="AZ263" s="184"/>
      <c r="BA263" s="268"/>
      <c r="BB263" s="184"/>
      <c r="BC263" s="268"/>
      <c r="BT263" s="135" t="s">
        <v>496</v>
      </c>
    </row>
    <row r="264" s="135" customFormat="1" customHeight="1" spans="1:73">
      <c r="A264" s="132">
        <v>213</v>
      </c>
      <c r="C264" s="135" t="s">
        <v>3180</v>
      </c>
      <c r="D264" s="135">
        <v>20230010087</v>
      </c>
      <c r="F264" s="264" t="s">
        <v>3970</v>
      </c>
      <c r="G264" s="262" t="s">
        <v>3971</v>
      </c>
      <c r="H264" s="845" t="s">
        <v>3972</v>
      </c>
      <c r="I264" s="236" t="s">
        <v>3973</v>
      </c>
      <c r="J264" s="135">
        <v>126.5</v>
      </c>
      <c r="K264" s="135">
        <v>126.5</v>
      </c>
      <c r="L264" s="135">
        <v>5782.38</v>
      </c>
      <c r="M264" s="285">
        <v>731471</v>
      </c>
      <c r="N264" s="286">
        <v>5782</v>
      </c>
      <c r="O264" s="190"/>
      <c r="P264" s="263"/>
      <c r="Q264" s="263"/>
      <c r="R264" s="184"/>
      <c r="S264" s="185"/>
      <c r="T264" s="220"/>
      <c r="U264" s="185" t="s">
        <v>590</v>
      </c>
      <c r="V264" s="184">
        <v>20000</v>
      </c>
      <c r="W264" s="185" t="s">
        <v>3974</v>
      </c>
      <c r="X264" s="184">
        <v>131471</v>
      </c>
      <c r="Y264" s="185" t="s">
        <v>3180</v>
      </c>
      <c r="Z264" s="135">
        <v>580000</v>
      </c>
      <c r="AA264" s="135" t="s">
        <v>551</v>
      </c>
      <c r="AB264" s="184"/>
      <c r="AH264" s="184">
        <f t="shared" si="31"/>
        <v>731471</v>
      </c>
      <c r="AK264" s="190">
        <f t="shared" si="34"/>
        <v>0</v>
      </c>
      <c r="AL264" s="264"/>
      <c r="AM264" s="264"/>
      <c r="AN264" s="288"/>
      <c r="AO264" s="135">
        <f t="shared" si="32"/>
        <v>731471</v>
      </c>
      <c r="AP264" s="162">
        <f>0.7%+0.02%+0.08%</f>
        <v>0.008</v>
      </c>
      <c r="AQ264" s="237">
        <f t="shared" si="33"/>
        <v>0</v>
      </c>
      <c r="AR264" s="184"/>
      <c r="AS264" s="184"/>
      <c r="AT264" s="184"/>
      <c r="AU264" s="184"/>
      <c r="AV264" s="184"/>
      <c r="AW264" s="184"/>
      <c r="AX264" s="184"/>
      <c r="AY264" s="184"/>
      <c r="AZ264" s="184"/>
      <c r="BB264" s="184"/>
      <c r="BD264" s="135">
        <v>731471</v>
      </c>
      <c r="BT264" s="135" t="s">
        <v>496</v>
      </c>
      <c r="BU264" s="135" t="s">
        <v>506</v>
      </c>
    </row>
    <row r="265" s="135" customFormat="1" customHeight="1" spans="1:73">
      <c r="A265" s="132">
        <v>214</v>
      </c>
      <c r="C265" s="135" t="s">
        <v>1400</v>
      </c>
      <c r="D265" s="263" t="s">
        <v>3975</v>
      </c>
      <c r="F265" s="264" t="s">
        <v>3976</v>
      </c>
      <c r="G265" s="262" t="s">
        <v>3977</v>
      </c>
      <c r="H265" s="845" t="s">
        <v>3978</v>
      </c>
      <c r="I265" s="236" t="s">
        <v>3979</v>
      </c>
      <c r="J265" s="135">
        <v>126.9</v>
      </c>
      <c r="K265" s="135">
        <v>126.9</v>
      </c>
      <c r="L265" s="135">
        <v>5770</v>
      </c>
      <c r="M265" s="233">
        <f>K265*L265</f>
        <v>732213</v>
      </c>
      <c r="N265" s="286">
        <v>5764.38</v>
      </c>
      <c r="O265" s="190"/>
      <c r="P265" s="263"/>
      <c r="Q265" s="263"/>
      <c r="R265" s="184"/>
      <c r="T265" s="220"/>
      <c r="U265" s="135" t="s">
        <v>594</v>
      </c>
      <c r="V265" s="184">
        <v>20000</v>
      </c>
      <c r="W265" s="135" t="s">
        <v>2603</v>
      </c>
      <c r="X265" s="184">
        <v>50000</v>
      </c>
      <c r="Y265" s="135" t="s">
        <v>2679</v>
      </c>
      <c r="Z265" s="135">
        <v>50000</v>
      </c>
      <c r="AA265" s="135" t="s">
        <v>2250</v>
      </c>
      <c r="AB265" s="184">
        <v>50000</v>
      </c>
      <c r="AC265" s="135" t="s">
        <v>757</v>
      </c>
      <c r="AD265" s="184">
        <f>42213+10000</f>
        <v>52213</v>
      </c>
      <c r="AE265" s="135" t="s">
        <v>1400</v>
      </c>
      <c r="AF265" s="184">
        <v>510000</v>
      </c>
      <c r="AG265" s="135" t="s">
        <v>3980</v>
      </c>
      <c r="AH265" s="184">
        <f t="shared" si="31"/>
        <v>732213</v>
      </c>
      <c r="AK265" s="190">
        <f t="shared" si="34"/>
        <v>0</v>
      </c>
      <c r="AL265" s="264" t="s">
        <v>3981</v>
      </c>
      <c r="AM265" s="264"/>
      <c r="AN265" s="288"/>
      <c r="AO265" s="135">
        <f t="shared" si="32"/>
        <v>732213</v>
      </c>
      <c r="AP265" s="162">
        <f>0.5%+0.05%+0.12%</f>
        <v>0.0067</v>
      </c>
      <c r="AQ265" s="237">
        <f t="shared" si="33"/>
        <v>0</v>
      </c>
      <c r="AR265" s="184"/>
      <c r="AS265" s="184"/>
      <c r="AT265" s="184"/>
      <c r="AU265" s="184"/>
      <c r="AV265" s="184"/>
      <c r="AW265" s="184"/>
      <c r="AX265" s="184"/>
      <c r="AY265" s="184"/>
      <c r="AZ265" s="184"/>
      <c r="BA265" s="268"/>
      <c r="BB265" s="184"/>
      <c r="BC265" s="268">
        <v>222213</v>
      </c>
      <c r="BH265" s="135">
        <v>510000</v>
      </c>
      <c r="BT265" s="135" t="s">
        <v>496</v>
      </c>
      <c r="BU265" s="135" t="s">
        <v>506</v>
      </c>
    </row>
    <row r="266" s="135" customFormat="1" customHeight="1" spans="1:73">
      <c r="A266" s="132">
        <v>215</v>
      </c>
      <c r="C266" s="135" t="s">
        <v>3982</v>
      </c>
      <c r="D266" s="263" t="s">
        <v>3983</v>
      </c>
      <c r="F266" s="264" t="s">
        <v>3984</v>
      </c>
      <c r="G266" s="220" t="s">
        <v>3985</v>
      </c>
      <c r="H266" s="220"/>
      <c r="I266" s="236" t="s">
        <v>3986</v>
      </c>
      <c r="J266" s="135">
        <v>126.5</v>
      </c>
      <c r="K266" s="135">
        <v>126.5</v>
      </c>
      <c r="L266" s="135">
        <v>5833.99</v>
      </c>
      <c r="M266" s="285">
        <v>738000</v>
      </c>
      <c r="N266" s="286">
        <v>5812.38</v>
      </c>
      <c r="O266" s="190"/>
      <c r="P266" s="263"/>
      <c r="Q266" s="263"/>
      <c r="R266" s="184"/>
      <c r="S266" s="185"/>
      <c r="T266" s="220"/>
      <c r="U266" s="220" t="s">
        <v>508</v>
      </c>
      <c r="V266" s="184">
        <v>20000</v>
      </c>
      <c r="W266" s="185" t="s">
        <v>3987</v>
      </c>
      <c r="X266" s="184">
        <v>218000</v>
      </c>
      <c r="Y266" s="185" t="s">
        <v>3982</v>
      </c>
      <c r="Z266" s="220">
        <v>500000</v>
      </c>
      <c r="AA266" s="243" t="s">
        <v>533</v>
      </c>
      <c r="AB266" s="184"/>
      <c r="AH266" s="184">
        <f t="shared" si="31"/>
        <v>738000</v>
      </c>
      <c r="AK266" s="190">
        <f t="shared" si="34"/>
        <v>0</v>
      </c>
      <c r="AL266" s="264" t="s">
        <v>3988</v>
      </c>
      <c r="AM266" s="264"/>
      <c r="AN266" s="288"/>
      <c r="AO266" s="135">
        <f t="shared" si="32"/>
        <v>738000</v>
      </c>
      <c r="AP266" s="162">
        <f>0.6%+0.02%+0.08%</f>
        <v>0.007</v>
      </c>
      <c r="AQ266" s="237">
        <f t="shared" si="33"/>
        <v>0</v>
      </c>
      <c r="AR266" s="184"/>
      <c r="AS266" s="184"/>
      <c r="AT266" s="184"/>
      <c r="AU266" s="184"/>
      <c r="AV266" s="184"/>
      <c r="AW266" s="184"/>
      <c r="AX266" s="184"/>
      <c r="AY266" s="184"/>
      <c r="AZ266" s="184"/>
      <c r="BA266" s="268"/>
      <c r="BB266" s="184"/>
      <c r="BC266" s="268">
        <v>738000</v>
      </c>
      <c r="BT266" s="135" t="s">
        <v>496</v>
      </c>
      <c r="BU266" s="135" t="s">
        <v>506</v>
      </c>
    </row>
    <row r="267" s="135" customFormat="1" customHeight="1" spans="1:72">
      <c r="A267" s="132">
        <v>216</v>
      </c>
      <c r="B267" s="135"/>
      <c r="C267" s="135" t="s">
        <v>275</v>
      </c>
      <c r="D267" s="263" t="s">
        <v>276</v>
      </c>
      <c r="F267" s="280" t="s">
        <v>277</v>
      </c>
      <c r="G267" s="220" t="s">
        <v>278</v>
      </c>
      <c r="H267" s="844" t="s">
        <v>3989</v>
      </c>
      <c r="I267" s="236" t="s">
        <v>3990</v>
      </c>
      <c r="J267" s="135">
        <v>126.9</v>
      </c>
      <c r="K267" s="135">
        <v>126.9</v>
      </c>
      <c r="L267" s="135">
        <v>5752.56</v>
      </c>
      <c r="M267" s="285">
        <v>730000</v>
      </c>
      <c r="N267" s="286">
        <v>5794.38</v>
      </c>
      <c r="O267" s="287" t="s">
        <v>593</v>
      </c>
      <c r="P267" s="263"/>
      <c r="Q267" s="263"/>
      <c r="R267" s="184"/>
      <c r="S267" s="185"/>
      <c r="T267" s="262"/>
      <c r="U267" s="261" t="s">
        <v>502</v>
      </c>
      <c r="V267" s="184">
        <v>20000</v>
      </c>
      <c r="W267" s="185" t="s">
        <v>269</v>
      </c>
      <c r="X267" s="184">
        <v>710000</v>
      </c>
      <c r="Y267" s="243" t="s">
        <v>275</v>
      </c>
      <c r="AA267" s="155"/>
      <c r="AB267" s="184"/>
      <c r="AC267" s="155"/>
      <c r="AD267" s="155"/>
      <c r="AE267" s="155"/>
      <c r="AF267" s="155"/>
      <c r="AG267" s="155"/>
      <c r="AH267" s="184">
        <f t="shared" si="31"/>
        <v>730000</v>
      </c>
      <c r="AK267" s="190">
        <f t="shared" si="34"/>
        <v>0</v>
      </c>
      <c r="AL267" s="264"/>
      <c r="AM267" s="264"/>
      <c r="AN267" s="288"/>
      <c r="AO267" s="135">
        <f t="shared" si="32"/>
        <v>730000</v>
      </c>
      <c r="AP267" s="162">
        <f>0.6%+0.08%+0.03%</f>
        <v>0.0071</v>
      </c>
      <c r="AQ267" s="237">
        <f t="shared" si="33"/>
        <v>0</v>
      </c>
      <c r="AR267" s="184"/>
      <c r="AS267" s="184"/>
      <c r="AT267" s="184"/>
      <c r="AU267" s="184"/>
      <c r="AV267" s="184"/>
      <c r="AW267" s="184"/>
      <c r="AX267" s="184"/>
      <c r="AY267" s="184"/>
      <c r="AZ267" s="184"/>
      <c r="BA267" s="268"/>
      <c r="BB267" s="184"/>
      <c r="BC267" s="268"/>
      <c r="BO267" s="135">
        <v>730000</v>
      </c>
      <c r="BT267" s="135" t="s">
        <v>496</v>
      </c>
    </row>
    <row r="268" s="135" customFormat="1" customHeight="1" spans="1:73">
      <c r="A268" s="132">
        <v>217</v>
      </c>
      <c r="C268" s="135" t="s">
        <v>638</v>
      </c>
      <c r="D268" s="263" t="s">
        <v>3991</v>
      </c>
      <c r="F268" s="264" t="s">
        <v>3992</v>
      </c>
      <c r="G268" s="220" t="s">
        <v>3993</v>
      </c>
      <c r="H268" s="844" t="s">
        <v>3994</v>
      </c>
      <c r="I268" s="236" t="s">
        <v>3995</v>
      </c>
      <c r="J268" s="135">
        <v>126.5</v>
      </c>
      <c r="K268" s="135">
        <v>126.5</v>
      </c>
      <c r="L268" s="135">
        <v>5883</v>
      </c>
      <c r="M268" s="233">
        <v>744200</v>
      </c>
      <c r="N268" s="286">
        <v>5882.38</v>
      </c>
      <c r="O268" s="190"/>
      <c r="P268" s="263"/>
      <c r="Q268" s="263"/>
      <c r="R268" s="184"/>
      <c r="T268" s="262"/>
      <c r="U268" s="135" t="s">
        <v>721</v>
      </c>
      <c r="V268" s="184">
        <v>20000</v>
      </c>
      <c r="W268" s="135" t="s">
        <v>1707</v>
      </c>
      <c r="X268" s="184">
        <f>9200+120000</f>
        <v>129200</v>
      </c>
      <c r="Y268" s="155" t="s">
        <v>638</v>
      </c>
      <c r="Z268" s="176">
        <v>595000</v>
      </c>
      <c r="AA268" s="155" t="s">
        <v>1524</v>
      </c>
      <c r="AB268" s="184"/>
      <c r="AH268" s="184">
        <f t="shared" si="31"/>
        <v>744200</v>
      </c>
      <c r="AK268" s="190">
        <f t="shared" ref="AK268:AK279" si="35">M268-AH268</f>
        <v>0</v>
      </c>
      <c r="AL268" s="264" t="s">
        <v>3996</v>
      </c>
      <c r="AM268" s="264"/>
      <c r="AN268" s="288"/>
      <c r="AO268" s="135">
        <f t="shared" si="32"/>
        <v>744200</v>
      </c>
      <c r="AP268" s="162">
        <f>0.7%+0.05%+0.12%</f>
        <v>0.0087</v>
      </c>
      <c r="AQ268" s="237">
        <f t="shared" si="33"/>
        <v>0</v>
      </c>
      <c r="AR268" s="184"/>
      <c r="AS268" s="184"/>
      <c r="AT268" s="184"/>
      <c r="AU268" s="184"/>
      <c r="AV268" s="184"/>
      <c r="AW268" s="184"/>
      <c r="AX268" s="184"/>
      <c r="AY268" s="184"/>
      <c r="AZ268" s="184">
        <v>149200</v>
      </c>
      <c r="BA268" s="268"/>
      <c r="BB268" s="184"/>
      <c r="BC268" s="268">
        <v>595000</v>
      </c>
      <c r="BT268" s="135" t="s">
        <v>496</v>
      </c>
      <c r="BU268" s="135" t="s">
        <v>506</v>
      </c>
    </row>
    <row r="269" s="135" customFormat="1" ht="53" customHeight="1" spans="1:73">
      <c r="A269" s="132">
        <v>218</v>
      </c>
      <c r="C269" s="135" t="s">
        <v>3678</v>
      </c>
      <c r="D269" s="263" t="s">
        <v>3997</v>
      </c>
      <c r="F269" s="264"/>
      <c r="G269" s="262" t="s">
        <v>3998</v>
      </c>
      <c r="H269" s="220"/>
      <c r="I269" s="236" t="s">
        <v>3999</v>
      </c>
      <c r="J269" s="135">
        <v>126.9</v>
      </c>
      <c r="K269" s="135">
        <v>126.9</v>
      </c>
      <c r="L269" s="135">
        <v>5870.764</v>
      </c>
      <c r="M269" s="233">
        <v>745000</v>
      </c>
      <c r="N269" s="184">
        <v>5864.38</v>
      </c>
      <c r="O269" s="190"/>
      <c r="P269" s="263"/>
      <c r="Q269" s="263"/>
      <c r="R269" s="184"/>
      <c r="S269" s="155"/>
      <c r="T269" s="844" t="s">
        <v>4000</v>
      </c>
      <c r="U269" s="164" t="s">
        <v>4001</v>
      </c>
      <c r="V269" s="184">
        <v>10000</v>
      </c>
      <c r="W269" s="135" t="s">
        <v>2785</v>
      </c>
      <c r="X269" s="184">
        <v>-10000</v>
      </c>
      <c r="Y269" s="135" t="s">
        <v>2672</v>
      </c>
      <c r="Z269" s="184">
        <v>20000</v>
      </c>
      <c r="AA269" s="135" t="s">
        <v>668</v>
      </c>
      <c r="AB269" s="184">
        <v>204000</v>
      </c>
      <c r="AC269" s="135" t="s">
        <v>3678</v>
      </c>
      <c r="AD269" s="184">
        <v>521000</v>
      </c>
      <c r="AE269" s="155">
        <v>45562</v>
      </c>
      <c r="AH269" s="184">
        <f t="shared" si="31"/>
        <v>745000</v>
      </c>
      <c r="AK269" s="190">
        <f t="shared" si="35"/>
        <v>0</v>
      </c>
      <c r="AL269" s="264"/>
      <c r="AM269" s="264"/>
      <c r="AN269" s="288"/>
      <c r="AO269" s="135">
        <f t="shared" si="32"/>
        <v>745000</v>
      </c>
      <c r="AP269" s="166">
        <f>0.4%+0.02%+0.08%</f>
        <v>0.005</v>
      </c>
      <c r="AQ269" s="237">
        <f t="shared" si="33"/>
        <v>100</v>
      </c>
      <c r="AR269" s="184"/>
      <c r="AS269" s="184">
        <v>100</v>
      </c>
      <c r="AT269" s="184"/>
      <c r="AU269" s="184"/>
      <c r="AV269" s="184"/>
      <c r="AW269" s="184"/>
      <c r="AX269" s="184"/>
      <c r="AY269" s="184"/>
      <c r="AZ269" s="184"/>
      <c r="BA269" s="268"/>
      <c r="BB269" s="184"/>
      <c r="BC269" s="268"/>
      <c r="BE269" s="135">
        <v>224000</v>
      </c>
      <c r="BM269" s="135">
        <v>521000</v>
      </c>
      <c r="BT269" s="135" t="s">
        <v>496</v>
      </c>
      <c r="BU269" s="135" t="s">
        <v>506</v>
      </c>
    </row>
    <row r="270" s="135" customFormat="1" customHeight="1" spans="1:73">
      <c r="A270" s="132">
        <v>219</v>
      </c>
      <c r="C270" s="135" t="s">
        <v>1847</v>
      </c>
      <c r="D270" s="263" t="s">
        <v>4002</v>
      </c>
      <c r="F270" s="264" t="s">
        <v>4003</v>
      </c>
      <c r="G270" s="220" t="s">
        <v>4004</v>
      </c>
      <c r="H270" s="844" t="s">
        <v>4005</v>
      </c>
      <c r="I270" s="236" t="s">
        <v>4006</v>
      </c>
      <c r="J270" s="135">
        <v>126.5</v>
      </c>
      <c r="K270" s="135">
        <v>126.5</v>
      </c>
      <c r="L270" s="135">
        <v>5897.38</v>
      </c>
      <c r="M270" s="233">
        <v>746019</v>
      </c>
      <c r="N270" s="184">
        <f>5947.38-50</f>
        <v>5897.38</v>
      </c>
      <c r="O270" s="190"/>
      <c r="P270" s="263"/>
      <c r="Q270" s="263"/>
      <c r="R270" s="184"/>
      <c r="S270" s="185"/>
      <c r="T270" s="844" t="s">
        <v>1411</v>
      </c>
      <c r="U270" s="185" t="s">
        <v>721</v>
      </c>
      <c r="V270" s="184">
        <v>10000</v>
      </c>
      <c r="W270" s="185" t="s">
        <v>1110</v>
      </c>
      <c r="X270" s="184">
        <v>10000</v>
      </c>
      <c r="Y270" s="155" t="s">
        <v>963</v>
      </c>
      <c r="Z270" s="184">
        <v>130019</v>
      </c>
      <c r="AA270" s="185" t="s">
        <v>1847</v>
      </c>
      <c r="AB270" s="184">
        <v>596000</v>
      </c>
      <c r="AC270" s="185" t="s">
        <v>4007</v>
      </c>
      <c r="AH270" s="184">
        <f t="shared" si="31"/>
        <v>746019</v>
      </c>
      <c r="AK270" s="190">
        <f t="shared" si="35"/>
        <v>0</v>
      </c>
      <c r="AL270" s="264" t="s">
        <v>4008</v>
      </c>
      <c r="AM270" s="264"/>
      <c r="AN270" s="288"/>
      <c r="AO270" s="135">
        <f t="shared" si="32"/>
        <v>746019</v>
      </c>
      <c r="AP270" s="162">
        <f>0.7%+0.05%+0.14%</f>
        <v>0.0089</v>
      </c>
      <c r="AQ270" s="237">
        <f t="shared" si="33"/>
        <v>300</v>
      </c>
      <c r="AR270" s="184"/>
      <c r="AS270" s="184"/>
      <c r="AT270" s="184"/>
      <c r="AU270" s="184"/>
      <c r="AV270" s="184">
        <f>100+200</f>
        <v>300</v>
      </c>
      <c r="AW270" s="184"/>
      <c r="AX270" s="184"/>
      <c r="AY270" s="184"/>
      <c r="AZ270" s="184">
        <v>150019</v>
      </c>
      <c r="BA270" s="268"/>
      <c r="BB270" s="184"/>
      <c r="BC270" s="268"/>
      <c r="BF270" s="135">
        <v>596000</v>
      </c>
      <c r="BT270" s="135" t="s">
        <v>496</v>
      </c>
      <c r="BU270" s="135" t="s">
        <v>506</v>
      </c>
    </row>
    <row r="271" s="135" customFormat="1" customHeight="1" spans="1:73">
      <c r="A271" s="132">
        <v>220</v>
      </c>
      <c r="C271" s="155">
        <v>45417</v>
      </c>
      <c r="D271" s="263" t="s">
        <v>4009</v>
      </c>
      <c r="F271" s="264" t="s">
        <v>4010</v>
      </c>
      <c r="G271" s="262" t="s">
        <v>4011</v>
      </c>
      <c r="H271" s="220"/>
      <c r="I271" s="236" t="s">
        <v>4012</v>
      </c>
      <c r="J271" s="135">
        <v>126.9</v>
      </c>
      <c r="K271" s="135">
        <v>126.9</v>
      </c>
      <c r="L271" s="135">
        <f>M271/K271</f>
        <v>5930</v>
      </c>
      <c r="M271" s="233">
        <v>752517</v>
      </c>
      <c r="N271" s="184">
        <v>5929.38</v>
      </c>
      <c r="O271" s="287"/>
      <c r="P271" s="263"/>
      <c r="Q271" s="263"/>
      <c r="R271" s="184"/>
      <c r="S271" s="185"/>
      <c r="T271" s="262"/>
      <c r="U271" s="262" t="s">
        <v>709</v>
      </c>
      <c r="V271" s="184">
        <v>15517</v>
      </c>
      <c r="W271" s="185" t="s">
        <v>1001</v>
      </c>
      <c r="X271" s="184">
        <v>135000</v>
      </c>
      <c r="Y271" s="185" t="s">
        <v>3595</v>
      </c>
      <c r="Z271" s="135">
        <v>150000</v>
      </c>
      <c r="AA271" s="135" t="s">
        <v>4013</v>
      </c>
      <c r="AB271" s="184">
        <v>452000</v>
      </c>
      <c r="AC271" s="185" t="s">
        <v>671</v>
      </c>
      <c r="AH271" s="184">
        <f t="shared" si="31"/>
        <v>752517</v>
      </c>
      <c r="AK271" s="190">
        <f t="shared" si="35"/>
        <v>0</v>
      </c>
      <c r="AL271" s="264" t="s">
        <v>4014</v>
      </c>
      <c r="AM271" s="264"/>
      <c r="AN271" s="288"/>
      <c r="AO271" s="135">
        <f t="shared" si="32"/>
        <v>752517</v>
      </c>
      <c r="AP271" s="162">
        <f>0.7%+0.08%</f>
        <v>0.0078</v>
      </c>
      <c r="AQ271" s="237">
        <f t="shared" si="33"/>
        <v>300</v>
      </c>
      <c r="AR271" s="237">
        <v>100</v>
      </c>
      <c r="AS271" s="184"/>
      <c r="AT271" s="184"/>
      <c r="AU271" s="184"/>
      <c r="AV271" s="184">
        <v>200</v>
      </c>
      <c r="AW271" s="184"/>
      <c r="AX271" s="184"/>
      <c r="AY271" s="184"/>
      <c r="AZ271" s="184"/>
      <c r="BA271" s="268"/>
      <c r="BB271" s="184"/>
      <c r="BC271" s="268"/>
      <c r="BJ271" s="135">
        <v>300517</v>
      </c>
      <c r="BK271" s="135">
        <v>452000</v>
      </c>
      <c r="BT271" s="135" t="s">
        <v>496</v>
      </c>
      <c r="BU271" s="135" t="s">
        <v>506</v>
      </c>
    </row>
    <row r="272" s="135" customFormat="1" customHeight="1" spans="1:73">
      <c r="A272" s="132">
        <v>221</v>
      </c>
      <c r="C272" s="135" t="s">
        <v>784</v>
      </c>
      <c r="D272" s="263" t="s">
        <v>4015</v>
      </c>
      <c r="F272" s="264" t="s">
        <v>4016</v>
      </c>
      <c r="G272" s="220" t="s">
        <v>4017</v>
      </c>
      <c r="H272" s="844" t="s">
        <v>4018</v>
      </c>
      <c r="I272" s="236" t="s">
        <v>4019</v>
      </c>
      <c r="J272" s="135">
        <v>126.5</v>
      </c>
      <c r="K272" s="135">
        <v>126.5</v>
      </c>
      <c r="L272" s="135">
        <v>5992.38</v>
      </c>
      <c r="M272" s="233">
        <v>758036</v>
      </c>
      <c r="N272" s="184">
        <v>5992.38</v>
      </c>
      <c r="O272" s="190"/>
      <c r="P272" s="263"/>
      <c r="Q272" s="263"/>
      <c r="R272" s="184"/>
      <c r="S272" s="185"/>
      <c r="T272" s="220"/>
      <c r="U272" s="185" t="s">
        <v>590</v>
      </c>
      <c r="V272" s="184">
        <v>20000</v>
      </c>
      <c r="W272" s="185" t="s">
        <v>646</v>
      </c>
      <c r="X272" s="184">
        <v>138036</v>
      </c>
      <c r="Y272" s="185" t="s">
        <v>690</v>
      </c>
      <c r="Z272" s="135">
        <v>600000</v>
      </c>
      <c r="AA272" s="135" t="s">
        <v>1524</v>
      </c>
      <c r="AB272" s="184"/>
      <c r="AH272" s="184">
        <f t="shared" si="31"/>
        <v>758036</v>
      </c>
      <c r="AK272" s="190">
        <f t="shared" si="35"/>
        <v>0</v>
      </c>
      <c r="AL272" s="264" t="s">
        <v>4020</v>
      </c>
      <c r="AM272" s="264"/>
      <c r="AN272" s="288"/>
      <c r="AO272" s="135">
        <f t="shared" si="32"/>
        <v>758036</v>
      </c>
      <c r="AP272" s="162">
        <f>0.7%+0.05%+0.12%</f>
        <v>0.0087</v>
      </c>
      <c r="AQ272" s="237">
        <f t="shared" si="33"/>
        <v>0</v>
      </c>
      <c r="AR272" s="237"/>
      <c r="AS272" s="184"/>
      <c r="AT272" s="184"/>
      <c r="AU272" s="184"/>
      <c r="AV272" s="184"/>
      <c r="AW272" s="184"/>
      <c r="AX272" s="184"/>
      <c r="AY272" s="184"/>
      <c r="AZ272" s="184"/>
      <c r="BA272" s="268"/>
      <c r="BB272" s="184">
        <v>158036</v>
      </c>
      <c r="BC272" s="268">
        <v>600000</v>
      </c>
      <c r="BT272" s="135" t="s">
        <v>496</v>
      </c>
      <c r="BU272" s="135" t="s">
        <v>506</v>
      </c>
    </row>
    <row r="273" s="135" customFormat="1" customHeight="1" spans="1:73">
      <c r="A273" s="132">
        <v>222</v>
      </c>
      <c r="C273" s="155">
        <v>45375</v>
      </c>
      <c r="D273" s="263" t="s">
        <v>4021</v>
      </c>
      <c r="F273" s="264" t="s">
        <v>4022</v>
      </c>
      <c r="G273" s="220" t="s">
        <v>4023</v>
      </c>
      <c r="H273" s="844" t="s">
        <v>4024</v>
      </c>
      <c r="I273" s="236" t="s">
        <v>4025</v>
      </c>
      <c r="J273" s="135">
        <v>126.9</v>
      </c>
      <c r="K273" s="135">
        <v>126.9</v>
      </c>
      <c r="L273" s="135">
        <v>5988.96</v>
      </c>
      <c r="M273" s="233">
        <v>760000</v>
      </c>
      <c r="N273" s="184">
        <v>5974.38</v>
      </c>
      <c r="O273" s="190"/>
      <c r="P273" s="263"/>
      <c r="Q273" s="263"/>
      <c r="R273" s="184"/>
      <c r="S273" s="185"/>
      <c r="T273" s="220"/>
      <c r="U273" s="185" t="s">
        <v>508</v>
      </c>
      <c r="V273" s="184">
        <f>20000</f>
        <v>20000</v>
      </c>
      <c r="W273" s="185" t="s">
        <v>1109</v>
      </c>
      <c r="X273" s="184">
        <f>40000+34000</f>
        <v>74000</v>
      </c>
      <c r="Y273" s="155" t="s">
        <v>3726</v>
      </c>
      <c r="Z273" s="184">
        <v>58000</v>
      </c>
      <c r="AA273" s="185" t="s">
        <v>503</v>
      </c>
      <c r="AB273" s="184">
        <v>608000</v>
      </c>
      <c r="AC273" s="185" t="s">
        <v>4026</v>
      </c>
      <c r="AH273" s="184">
        <f t="shared" si="31"/>
        <v>760000</v>
      </c>
      <c r="AK273" s="190">
        <f t="shared" si="35"/>
        <v>0</v>
      </c>
      <c r="AL273" s="264" t="s">
        <v>4027</v>
      </c>
      <c r="AM273" s="264"/>
      <c r="AN273" s="288"/>
      <c r="AO273" s="135">
        <f t="shared" si="32"/>
        <v>760000</v>
      </c>
      <c r="AP273" s="166">
        <f>0.7%+0.05%+0.12%</f>
        <v>0.0087</v>
      </c>
      <c r="AQ273" s="237">
        <f t="shared" si="33"/>
        <v>0</v>
      </c>
      <c r="AR273" s="237"/>
      <c r="AS273" s="184"/>
      <c r="AT273" s="184"/>
      <c r="AU273" s="184"/>
      <c r="AV273" s="184"/>
      <c r="AW273" s="184"/>
      <c r="AX273" s="184"/>
      <c r="AY273" s="184"/>
      <c r="AZ273" s="184"/>
      <c r="BA273" s="268"/>
      <c r="BB273" s="184"/>
      <c r="BC273" s="268"/>
      <c r="BH273" s="135">
        <v>152000</v>
      </c>
      <c r="BL273" s="135">
        <v>608000</v>
      </c>
      <c r="BT273" s="135" t="s">
        <v>496</v>
      </c>
      <c r="BU273" s="135" t="s">
        <v>506</v>
      </c>
    </row>
    <row r="274" s="135" customFormat="1" customHeight="1" spans="1:73">
      <c r="A274" s="132">
        <v>223</v>
      </c>
      <c r="C274" s="155">
        <v>45464</v>
      </c>
      <c r="D274" s="263" t="s">
        <v>4028</v>
      </c>
      <c r="F274" s="264" t="s">
        <v>4029</v>
      </c>
      <c r="G274" s="220" t="s">
        <v>4030</v>
      </c>
      <c r="H274" s="844" t="s">
        <v>4031</v>
      </c>
      <c r="I274" s="236" t="s">
        <v>4032</v>
      </c>
      <c r="J274" s="135">
        <v>126.5</v>
      </c>
      <c r="K274" s="135">
        <v>126.5</v>
      </c>
      <c r="L274" s="135">
        <v>6017.38</v>
      </c>
      <c r="M274" s="233">
        <v>761199</v>
      </c>
      <c r="N274" s="184">
        <v>6017.38</v>
      </c>
      <c r="O274" s="287"/>
      <c r="P274" s="263"/>
      <c r="Q274" s="263"/>
      <c r="R274" s="184"/>
      <c r="S274" s="185"/>
      <c r="T274" s="220"/>
      <c r="U274" s="185" t="s">
        <v>524</v>
      </c>
      <c r="V274" s="184">
        <v>20000</v>
      </c>
      <c r="W274" s="185" t="s">
        <v>649</v>
      </c>
      <c r="X274" s="184">
        <v>152199</v>
      </c>
      <c r="Y274" s="155" t="s">
        <v>814</v>
      </c>
      <c r="Z274" s="184">
        <v>92000</v>
      </c>
      <c r="AA274" s="185" t="s">
        <v>766</v>
      </c>
      <c r="AB274" s="184">
        <v>497000</v>
      </c>
      <c r="AC274" s="185" t="s">
        <v>3250</v>
      </c>
      <c r="AH274" s="184">
        <f t="shared" si="31"/>
        <v>761199</v>
      </c>
      <c r="AK274" s="190">
        <f t="shared" si="35"/>
        <v>0</v>
      </c>
      <c r="AL274" s="264" t="s">
        <v>4033</v>
      </c>
      <c r="AM274" s="264"/>
      <c r="AN274" s="288"/>
      <c r="AO274" s="135">
        <f t="shared" si="32"/>
        <v>761199</v>
      </c>
      <c r="AP274" s="162">
        <f>0.7%+0.08%</f>
        <v>0.0078</v>
      </c>
      <c r="AQ274" s="237">
        <f t="shared" si="33"/>
        <v>0</v>
      </c>
      <c r="AR274" s="237"/>
      <c r="AS274" s="184"/>
      <c r="AT274" s="184"/>
      <c r="AU274" s="184"/>
      <c r="AV274" s="184"/>
      <c r="AW274" s="184"/>
      <c r="AX274" s="184"/>
      <c r="AY274" s="184"/>
      <c r="AZ274" s="184"/>
      <c r="BA274" s="268"/>
      <c r="BB274" s="184"/>
      <c r="BC274" s="268"/>
      <c r="BK274" s="135">
        <v>264199</v>
      </c>
      <c r="BL274" s="135">
        <v>497000</v>
      </c>
      <c r="BT274" s="135" t="s">
        <v>496</v>
      </c>
      <c r="BU274" s="135" t="s">
        <v>506</v>
      </c>
    </row>
    <row r="275" s="135" customFormat="1" customHeight="1" spans="1:73">
      <c r="A275" s="132">
        <v>224</v>
      </c>
      <c r="C275" s="135" t="s">
        <v>2672</v>
      </c>
      <c r="D275" s="263" t="s">
        <v>4034</v>
      </c>
      <c r="F275" s="264" t="s">
        <v>4035</v>
      </c>
      <c r="G275" s="220" t="s">
        <v>4036</v>
      </c>
      <c r="H275" s="844" t="s">
        <v>4037</v>
      </c>
      <c r="I275" s="236" t="s">
        <v>4038</v>
      </c>
      <c r="J275" s="135">
        <v>126.9</v>
      </c>
      <c r="K275" s="135">
        <v>126.9</v>
      </c>
      <c r="L275" s="135">
        <v>5949.38</v>
      </c>
      <c r="M275" s="233">
        <v>754976</v>
      </c>
      <c r="N275" s="184">
        <f>5999.38-50</f>
        <v>5949.38</v>
      </c>
      <c r="O275" s="190"/>
      <c r="P275" s="263"/>
      <c r="Q275" s="263"/>
      <c r="R275" s="184"/>
      <c r="S275" s="185"/>
      <c r="T275" s="844" t="s">
        <v>1667</v>
      </c>
      <c r="U275" s="185" t="s">
        <v>524</v>
      </c>
      <c r="V275" s="184">
        <v>10000</v>
      </c>
      <c r="W275" s="185" t="s">
        <v>2292</v>
      </c>
      <c r="X275" s="184">
        <f>10000+184976</f>
        <v>194976</v>
      </c>
      <c r="Y275" s="185" t="s">
        <v>963</v>
      </c>
      <c r="Z275" s="135">
        <v>550000</v>
      </c>
      <c r="AA275" s="135" t="s">
        <v>1524</v>
      </c>
      <c r="AB275" s="184"/>
      <c r="AH275" s="184">
        <f t="shared" si="31"/>
        <v>754976</v>
      </c>
      <c r="AK275" s="190">
        <f t="shared" si="35"/>
        <v>0</v>
      </c>
      <c r="AL275" s="264" t="s">
        <v>4039</v>
      </c>
      <c r="AM275" s="264"/>
      <c r="AN275" s="288"/>
      <c r="AO275" s="135">
        <f t="shared" si="32"/>
        <v>754976</v>
      </c>
      <c r="AP275" s="162">
        <f>0.4%+0.05%+0.14%</f>
        <v>0.0059</v>
      </c>
      <c r="AQ275" s="237">
        <f t="shared" si="33"/>
        <v>300</v>
      </c>
      <c r="AR275" s="237"/>
      <c r="AS275" s="184"/>
      <c r="AT275" s="184">
        <v>100</v>
      </c>
      <c r="AU275" s="184"/>
      <c r="AV275" s="184">
        <v>200</v>
      </c>
      <c r="AW275" s="184"/>
      <c r="AX275" s="184"/>
      <c r="AY275" s="184"/>
      <c r="AZ275" s="184">
        <v>204976</v>
      </c>
      <c r="BA275" s="268"/>
      <c r="BB275" s="184"/>
      <c r="BC275" s="268">
        <v>550000</v>
      </c>
      <c r="BT275" s="135" t="s">
        <v>496</v>
      </c>
      <c r="BU275" s="135" t="s">
        <v>506</v>
      </c>
    </row>
    <row r="276" s="135" customFormat="1" customHeight="1" spans="1:73">
      <c r="A276" s="132">
        <v>225</v>
      </c>
      <c r="C276" s="135" t="s">
        <v>639</v>
      </c>
      <c r="D276" s="263" t="s">
        <v>4040</v>
      </c>
      <c r="F276" s="264" t="s">
        <v>4041</v>
      </c>
      <c r="G276" s="220" t="s">
        <v>4042</v>
      </c>
      <c r="H276" s="844" t="s">
        <v>4043</v>
      </c>
      <c r="I276" s="236" t="s">
        <v>4044</v>
      </c>
      <c r="J276" s="135">
        <v>126.5</v>
      </c>
      <c r="K276" s="135">
        <v>126.5</v>
      </c>
      <c r="L276" s="135">
        <v>6042.38</v>
      </c>
      <c r="M276" s="233">
        <v>764362</v>
      </c>
      <c r="N276" s="184">
        <v>6042.38</v>
      </c>
      <c r="O276" s="190"/>
      <c r="P276" s="263"/>
      <c r="Q276" s="263"/>
      <c r="R276" s="184"/>
      <c r="S276" s="185"/>
      <c r="T276" s="220"/>
      <c r="U276" s="185" t="s">
        <v>590</v>
      </c>
      <c r="V276" s="184">
        <v>20000</v>
      </c>
      <c r="W276" s="185" t="s">
        <v>646</v>
      </c>
      <c r="X276" s="184">
        <v>44362</v>
      </c>
      <c r="Y276" s="185" t="s">
        <v>639</v>
      </c>
      <c r="Z276" s="135">
        <v>90000</v>
      </c>
      <c r="AA276" s="135" t="s">
        <v>802</v>
      </c>
      <c r="AB276" s="184">
        <v>610000</v>
      </c>
      <c r="AC276" s="135" t="s">
        <v>1000</v>
      </c>
      <c r="AH276" s="184">
        <f t="shared" si="31"/>
        <v>764362</v>
      </c>
      <c r="AK276" s="190">
        <f t="shared" si="35"/>
        <v>0</v>
      </c>
      <c r="AL276" s="264" t="s">
        <v>4045</v>
      </c>
      <c r="AM276" s="264"/>
      <c r="AN276" s="288"/>
      <c r="AO276" s="135">
        <f t="shared" si="32"/>
        <v>764362</v>
      </c>
      <c r="AP276" s="162">
        <f>0.7%+0.05%+0.12%</f>
        <v>0.0087</v>
      </c>
      <c r="AQ276" s="237">
        <f t="shared" si="33"/>
        <v>200</v>
      </c>
      <c r="AR276" s="237"/>
      <c r="AS276" s="184"/>
      <c r="AT276" s="184"/>
      <c r="AU276" s="184"/>
      <c r="AV276" s="184"/>
      <c r="AW276" s="184"/>
      <c r="AX276" s="184">
        <v>200</v>
      </c>
      <c r="AY276" s="184"/>
      <c r="AZ276" s="184"/>
      <c r="BA276" s="268"/>
      <c r="BB276" s="184">
        <v>764362</v>
      </c>
      <c r="BC276" s="268"/>
      <c r="BT276" s="135" t="s">
        <v>496</v>
      </c>
      <c r="BU276" s="135" t="s">
        <v>506</v>
      </c>
    </row>
    <row r="277" s="135" customFormat="1" customHeight="1" spans="1:72">
      <c r="A277" s="132">
        <v>226</v>
      </c>
      <c r="C277" s="155">
        <v>45516</v>
      </c>
      <c r="D277" s="263" t="s">
        <v>4046</v>
      </c>
      <c r="F277" s="264" t="s">
        <v>4047</v>
      </c>
      <c r="G277" s="220" t="s">
        <v>4048</v>
      </c>
      <c r="H277" s="844" t="s">
        <v>4049</v>
      </c>
      <c r="I277" s="236" t="s">
        <v>4050</v>
      </c>
      <c r="J277" s="135">
        <v>126.9</v>
      </c>
      <c r="K277" s="135">
        <v>126.9</v>
      </c>
      <c r="L277" s="135">
        <v>5844.55</v>
      </c>
      <c r="M277" s="233">
        <v>741673</v>
      </c>
      <c r="N277" s="235">
        <v>5844.55</v>
      </c>
      <c r="O277" s="287"/>
      <c r="P277" s="263"/>
      <c r="Q277" s="263"/>
      <c r="R277" s="184"/>
      <c r="S277" s="185"/>
      <c r="T277" s="220"/>
      <c r="U277" s="185" t="s">
        <v>590</v>
      </c>
      <c r="V277" s="184">
        <v>20000</v>
      </c>
      <c r="W277" s="185" t="s">
        <v>4051</v>
      </c>
      <c r="X277" s="184">
        <v>71673</v>
      </c>
      <c r="Y277" s="185" t="s">
        <v>4052</v>
      </c>
      <c r="Z277" s="184">
        <v>60000</v>
      </c>
      <c r="AA277" s="185">
        <v>45539</v>
      </c>
      <c r="AB277" s="184">
        <v>590000</v>
      </c>
      <c r="AC277" s="185" t="s">
        <v>1589</v>
      </c>
      <c r="AH277" s="184">
        <f t="shared" si="31"/>
        <v>741673</v>
      </c>
      <c r="AK277" s="190">
        <f t="shared" si="35"/>
        <v>0</v>
      </c>
      <c r="AL277" s="264" t="s">
        <v>4053</v>
      </c>
      <c r="AM277" s="264" t="s">
        <v>4054</v>
      </c>
      <c r="AN277" s="288"/>
      <c r="AO277" s="135">
        <f t="shared" si="32"/>
        <v>741673</v>
      </c>
      <c r="AP277" s="162">
        <f>0.7%+0.02%+0.08%</f>
        <v>0.008</v>
      </c>
      <c r="AQ277" s="237">
        <f t="shared" si="33"/>
        <v>0</v>
      </c>
      <c r="AR277" s="237"/>
      <c r="AS277" s="184"/>
      <c r="AT277" s="184"/>
      <c r="AU277" s="184"/>
      <c r="AV277" s="184"/>
      <c r="AW277" s="184"/>
      <c r="AX277" s="184"/>
      <c r="AY277" s="184"/>
      <c r="AZ277" s="184"/>
      <c r="BA277" s="268"/>
      <c r="BB277" s="184"/>
      <c r="BC277" s="268"/>
      <c r="BM277" s="135">
        <v>151673</v>
      </c>
      <c r="BO277" s="135">
        <v>590000</v>
      </c>
      <c r="BT277" s="135" t="s">
        <v>496</v>
      </c>
    </row>
    <row r="278" s="135" customFormat="1" customHeight="1" spans="1:72">
      <c r="A278" s="132">
        <v>227</v>
      </c>
      <c r="C278" s="155">
        <v>45509</v>
      </c>
      <c r="D278" s="263" t="s">
        <v>4055</v>
      </c>
      <c r="F278" s="264" t="s">
        <v>4056</v>
      </c>
      <c r="G278" s="220" t="s">
        <v>4057</v>
      </c>
      <c r="H278" s="844" t="s">
        <v>4058</v>
      </c>
      <c r="I278" s="236" t="s">
        <v>4059</v>
      </c>
      <c r="J278" s="135">
        <v>126.5</v>
      </c>
      <c r="K278" s="135">
        <v>126.5</v>
      </c>
      <c r="L278" s="135">
        <v>5849.8</v>
      </c>
      <c r="M278" s="233">
        <v>740000</v>
      </c>
      <c r="N278" s="235">
        <v>5849.8</v>
      </c>
      <c r="O278" s="287"/>
      <c r="P278" s="263"/>
      <c r="Q278" s="263"/>
      <c r="R278" s="184"/>
      <c r="S278" s="185"/>
      <c r="T278" s="220"/>
      <c r="U278" s="185" t="s">
        <v>495</v>
      </c>
      <c r="V278" s="184">
        <v>20000</v>
      </c>
      <c r="W278" s="185" t="s">
        <v>4060</v>
      </c>
      <c r="X278" s="184">
        <v>130000</v>
      </c>
      <c r="Y278" s="185" t="s">
        <v>285</v>
      </c>
      <c r="Z278" s="184">
        <v>590000</v>
      </c>
      <c r="AA278" s="185">
        <v>45544</v>
      </c>
      <c r="AB278" s="184"/>
      <c r="AH278" s="184">
        <f t="shared" si="31"/>
        <v>740000</v>
      </c>
      <c r="AK278" s="190">
        <f t="shared" si="35"/>
        <v>0</v>
      </c>
      <c r="AL278" s="264" t="s">
        <v>4061</v>
      </c>
      <c r="AM278" s="264" t="s">
        <v>4054</v>
      </c>
      <c r="AN278" s="288"/>
      <c r="AO278" s="135">
        <f t="shared" si="32"/>
        <v>740000</v>
      </c>
      <c r="AP278" s="166">
        <f>0.7%+0.04%+0.08%</f>
        <v>0.0082</v>
      </c>
      <c r="AQ278" s="237">
        <f t="shared" si="33"/>
        <v>0</v>
      </c>
      <c r="AR278" s="237"/>
      <c r="AS278" s="184"/>
      <c r="AT278" s="184"/>
      <c r="AU278" s="184"/>
      <c r="AV278" s="184"/>
      <c r="AW278" s="184"/>
      <c r="AX278" s="184"/>
      <c r="AY278" s="184"/>
      <c r="AZ278" s="184"/>
      <c r="BA278" s="268"/>
      <c r="BB278" s="184"/>
      <c r="BC278" s="268"/>
      <c r="BL278" s="135">
        <v>150000</v>
      </c>
      <c r="BM278" s="135">
        <v>590000</v>
      </c>
      <c r="BT278" s="135" t="s">
        <v>496</v>
      </c>
    </row>
    <row r="279" s="135" customFormat="1" customHeight="1" spans="1:72">
      <c r="A279" s="135">
        <v>228</v>
      </c>
      <c r="B279" s="135">
        <v>1</v>
      </c>
      <c r="C279" s="135" t="s">
        <v>391</v>
      </c>
      <c r="D279" s="263" t="s">
        <v>392</v>
      </c>
      <c r="F279" s="264" t="s">
        <v>393</v>
      </c>
      <c r="G279" s="220" t="s">
        <v>394</v>
      </c>
      <c r="H279" s="844" t="s">
        <v>4062</v>
      </c>
      <c r="I279" s="236" t="s">
        <v>4063</v>
      </c>
      <c r="J279" s="135">
        <v>126.9</v>
      </c>
      <c r="K279" s="135">
        <v>126.9</v>
      </c>
      <c r="L279" s="135">
        <v>6067.77</v>
      </c>
      <c r="M279" s="233">
        <v>770000</v>
      </c>
      <c r="N279" s="184">
        <v>6044.38</v>
      </c>
      <c r="O279" s="287"/>
      <c r="P279" s="263"/>
      <c r="Q279" s="263"/>
      <c r="R279" s="184">
        <f>99000+20000</f>
        <v>119000</v>
      </c>
      <c r="S279" s="185" t="s">
        <v>3253</v>
      </c>
      <c r="T279" s="220"/>
      <c r="U279" s="185" t="s">
        <v>508</v>
      </c>
      <c r="V279" s="184">
        <v>20000</v>
      </c>
      <c r="W279" s="185" t="s">
        <v>3253</v>
      </c>
      <c r="X279" s="184">
        <v>99000</v>
      </c>
      <c r="Y279" s="155" t="s">
        <v>391</v>
      </c>
      <c r="AB279" s="184"/>
      <c r="AH279" s="184">
        <f t="shared" si="31"/>
        <v>119000</v>
      </c>
      <c r="AK279" s="190">
        <f t="shared" si="35"/>
        <v>651000</v>
      </c>
      <c r="AL279" s="264" t="s">
        <v>4064</v>
      </c>
      <c r="AM279" s="264" t="s">
        <v>4065</v>
      </c>
      <c r="AN279" s="288"/>
      <c r="AO279" s="135">
        <f t="shared" si="32"/>
        <v>119000</v>
      </c>
      <c r="AP279" s="166">
        <f>0.6%+0.04%+0.12%+0.03%</f>
        <v>0.0079</v>
      </c>
      <c r="AQ279" s="237">
        <f t="shared" si="33"/>
        <v>0</v>
      </c>
      <c r="AR279" s="237"/>
      <c r="AS279" s="184"/>
      <c r="AT279" s="184"/>
      <c r="AU279" s="184"/>
      <c r="AV279" s="184"/>
      <c r="AW279" s="184"/>
      <c r="AX279" s="184"/>
      <c r="AY279" s="184"/>
      <c r="AZ279" s="184"/>
      <c r="BB279" s="184"/>
      <c r="BP279" s="135">
        <v>119000</v>
      </c>
      <c r="BR279" s="135">
        <f>BP279*AP279</f>
        <v>940.1</v>
      </c>
      <c r="BT279" s="135" t="s">
        <v>496</v>
      </c>
    </row>
    <row r="280" s="132" customFormat="1" customHeight="1" spans="1:55">
      <c r="A280" s="132">
        <v>229</v>
      </c>
      <c r="D280" s="279"/>
      <c r="F280" s="276"/>
      <c r="G280" s="212"/>
      <c r="H280" s="212"/>
      <c r="I280" s="230" t="s">
        <v>4066</v>
      </c>
      <c r="J280" s="283">
        <v>126.5</v>
      </c>
      <c r="M280" s="213"/>
      <c r="N280" s="215">
        <v>7064</v>
      </c>
      <c r="O280" s="284"/>
      <c r="P280" s="279"/>
      <c r="Q280" s="279"/>
      <c r="R280" s="215"/>
      <c r="S280" s="216"/>
      <c r="T280" s="212"/>
      <c r="U280" s="216"/>
      <c r="V280" s="215"/>
      <c r="W280" s="274"/>
      <c r="X280" s="215"/>
      <c r="Y280" s="274"/>
      <c r="AB280" s="215"/>
      <c r="AH280" s="215">
        <f t="shared" si="31"/>
        <v>0</v>
      </c>
      <c r="AK280" s="173"/>
      <c r="AL280" s="276"/>
      <c r="AM280" s="276"/>
      <c r="AN280" s="289"/>
      <c r="AO280" s="132">
        <f t="shared" si="32"/>
        <v>0</v>
      </c>
      <c r="AP280" s="157"/>
      <c r="AQ280" s="251">
        <f t="shared" si="33"/>
        <v>0</v>
      </c>
      <c r="AR280" s="251"/>
      <c r="AS280" s="215"/>
      <c r="AT280" s="215"/>
      <c r="AU280" s="215"/>
      <c r="AV280" s="215"/>
      <c r="AW280" s="215"/>
      <c r="AX280" s="215"/>
      <c r="AY280" s="215"/>
      <c r="AZ280" s="215"/>
      <c r="BA280" s="267"/>
      <c r="BB280" s="215"/>
      <c r="BC280" s="267"/>
    </row>
    <row r="281" s="135" customFormat="1" customHeight="1" spans="1:73">
      <c r="A281" s="132">
        <v>230</v>
      </c>
      <c r="C281" s="135" t="s">
        <v>962</v>
      </c>
      <c r="D281" s="263" t="s">
        <v>4067</v>
      </c>
      <c r="F281" s="264" t="s">
        <v>4068</v>
      </c>
      <c r="G281" s="220" t="s">
        <v>4069</v>
      </c>
      <c r="H281" s="844" t="s">
        <v>4070</v>
      </c>
      <c r="I281" s="236" t="s">
        <v>4071</v>
      </c>
      <c r="J281" s="135">
        <v>126.9</v>
      </c>
      <c r="K281" s="135">
        <v>126.9</v>
      </c>
      <c r="L281" s="135">
        <v>7100</v>
      </c>
      <c r="M281" s="233">
        <v>900990</v>
      </c>
      <c r="N281" s="184">
        <v>7054</v>
      </c>
      <c r="O281" s="190"/>
      <c r="P281" s="263"/>
      <c r="Q281" s="263"/>
      <c r="R281" s="184"/>
      <c r="S281" s="185"/>
      <c r="T281" s="220"/>
      <c r="U281" s="185" t="s">
        <v>721</v>
      </c>
      <c r="V281" s="184">
        <v>250000</v>
      </c>
      <c r="W281" s="185" t="s">
        <v>4072</v>
      </c>
      <c r="X281" s="184">
        <v>10990</v>
      </c>
      <c r="Y281" s="155" t="s">
        <v>962</v>
      </c>
      <c r="Z281" s="135">
        <v>440000</v>
      </c>
      <c r="AA281" s="135" t="s">
        <v>3896</v>
      </c>
      <c r="AB281" s="184">
        <v>200000</v>
      </c>
      <c r="AC281" s="185" t="s">
        <v>3731</v>
      </c>
      <c r="AH281" s="184">
        <f t="shared" si="31"/>
        <v>900990</v>
      </c>
      <c r="AK281" s="190">
        <f>M281-AH281</f>
        <v>0</v>
      </c>
      <c r="AL281" s="264" t="s">
        <v>4073</v>
      </c>
      <c r="AM281" s="264"/>
      <c r="AN281" s="288"/>
      <c r="AO281" s="135">
        <f t="shared" si="32"/>
        <v>900990</v>
      </c>
      <c r="AP281" s="166">
        <f>0.7%+0.05%+0.14%</f>
        <v>0.0089</v>
      </c>
      <c r="AQ281" s="237">
        <f t="shared" si="33"/>
        <v>0</v>
      </c>
      <c r="AR281" s="237"/>
      <c r="AS281" s="184"/>
      <c r="AT281" s="184"/>
      <c r="AU281" s="184"/>
      <c r="AV281" s="184"/>
      <c r="AW281" s="184"/>
      <c r="AX281" s="184"/>
      <c r="AY281" s="184"/>
      <c r="AZ281" s="184"/>
      <c r="BA281" s="268"/>
      <c r="BB281" s="184"/>
      <c r="BC281" s="268"/>
      <c r="BF281" s="135">
        <v>700990</v>
      </c>
      <c r="BG281" s="135">
        <v>200000</v>
      </c>
      <c r="BT281" s="135" t="s">
        <v>496</v>
      </c>
      <c r="BU281" s="135" t="s">
        <v>506</v>
      </c>
    </row>
    <row r="282" s="132" customFormat="1" customHeight="1" spans="1:55">
      <c r="A282" s="132">
        <v>231</v>
      </c>
      <c r="D282" s="279"/>
      <c r="F282" s="276" t="s">
        <v>4074</v>
      </c>
      <c r="G282" s="212"/>
      <c r="H282" s="212"/>
      <c r="I282" s="230" t="s">
        <v>4075</v>
      </c>
      <c r="J282" s="283">
        <v>109.11</v>
      </c>
      <c r="M282" s="213"/>
      <c r="N282" s="215">
        <v>8634</v>
      </c>
      <c r="O282" s="284"/>
      <c r="P282" s="279"/>
      <c r="Q282" s="279"/>
      <c r="R282" s="215"/>
      <c r="S282" s="216"/>
      <c r="T282" s="212"/>
      <c r="U282" s="216"/>
      <c r="V282" s="215"/>
      <c r="W282" s="274"/>
      <c r="X282" s="215"/>
      <c r="Y282" s="274"/>
      <c r="AB282" s="215"/>
      <c r="AH282" s="215">
        <f t="shared" si="31"/>
        <v>0</v>
      </c>
      <c r="AK282" s="173"/>
      <c r="AL282" s="276"/>
      <c r="AM282" s="276"/>
      <c r="AN282" s="289"/>
      <c r="AO282" s="132">
        <f t="shared" si="32"/>
        <v>0</v>
      </c>
      <c r="AP282" s="157"/>
      <c r="AQ282" s="251">
        <f t="shared" si="33"/>
        <v>0</v>
      </c>
      <c r="AR282" s="251"/>
      <c r="AS282" s="215"/>
      <c r="AT282" s="215"/>
      <c r="AU282" s="215"/>
      <c r="AV282" s="215"/>
      <c r="AW282" s="215"/>
      <c r="AX282" s="215"/>
      <c r="AY282" s="215"/>
      <c r="AZ282" s="215"/>
      <c r="BA282" s="267"/>
      <c r="BB282" s="215"/>
      <c r="BC282" s="267"/>
    </row>
    <row r="283" s="135" customFormat="1" customHeight="1" spans="1:55">
      <c r="A283" s="132">
        <v>232</v>
      </c>
      <c r="B283" s="135"/>
      <c r="D283" s="263"/>
      <c r="F283" s="264" t="s">
        <v>4076</v>
      </c>
      <c r="G283" s="220" t="s">
        <v>4077</v>
      </c>
      <c r="H283" s="844" t="s">
        <v>4078</v>
      </c>
      <c r="I283" s="236" t="s">
        <v>4079</v>
      </c>
      <c r="J283" s="135">
        <v>128.07</v>
      </c>
      <c r="K283" s="135">
        <v>128.07</v>
      </c>
      <c r="L283" s="190">
        <v>8495.354</v>
      </c>
      <c r="M283" s="233">
        <v>1088000</v>
      </c>
      <c r="N283" s="184">
        <v>8444</v>
      </c>
      <c r="O283" s="287"/>
      <c r="P283" s="263"/>
      <c r="Q283" s="263"/>
      <c r="R283" s="184">
        <v>100000</v>
      </c>
      <c r="S283" s="185" t="s">
        <v>386</v>
      </c>
      <c r="T283" s="220"/>
      <c r="U283" s="185" t="s">
        <v>508</v>
      </c>
      <c r="V283" s="184">
        <v>20000</v>
      </c>
      <c r="W283" s="185" t="s">
        <v>252</v>
      </c>
      <c r="X283" s="184">
        <v>380000</v>
      </c>
      <c r="Y283" s="185" t="s">
        <v>105</v>
      </c>
      <c r="Z283" s="184">
        <v>100000</v>
      </c>
      <c r="AA283" s="185" t="s">
        <v>386</v>
      </c>
      <c r="AB283" s="184"/>
      <c r="AH283" s="184">
        <f t="shared" si="31"/>
        <v>500000</v>
      </c>
      <c r="AK283" s="190">
        <f>M283-AH283</f>
        <v>588000</v>
      </c>
      <c r="AL283" s="264" t="s">
        <v>4080</v>
      </c>
      <c r="AM283" s="264" t="s">
        <v>4081</v>
      </c>
      <c r="AN283" s="288"/>
      <c r="AO283" s="135">
        <f t="shared" si="32"/>
        <v>0</v>
      </c>
      <c r="AP283" s="162">
        <f>0.4%+0.02%+0.08%</f>
        <v>0.005</v>
      </c>
      <c r="AQ283" s="237">
        <f t="shared" si="33"/>
        <v>0</v>
      </c>
      <c r="AR283" s="237"/>
      <c r="AS283" s="184"/>
      <c r="AT283" s="184"/>
      <c r="AU283" s="184"/>
      <c r="AV283" s="184"/>
      <c r="AW283" s="184"/>
      <c r="AX283" s="184"/>
      <c r="AY283" s="184"/>
      <c r="AZ283" s="184"/>
      <c r="BA283" s="268"/>
      <c r="BB283" s="184"/>
      <c r="BC283" s="268"/>
    </row>
    <row r="284" s="132" customFormat="1" customHeight="1" spans="1:55">
      <c r="A284" s="132">
        <v>233</v>
      </c>
      <c r="D284" s="279"/>
      <c r="F284" s="276"/>
      <c r="G284" s="212"/>
      <c r="H284" s="212"/>
      <c r="I284" s="230" t="s">
        <v>4082</v>
      </c>
      <c r="J284" s="283">
        <v>126.5</v>
      </c>
      <c r="M284" s="213"/>
      <c r="N284" s="215">
        <v>5751.1</v>
      </c>
      <c r="O284" s="284"/>
      <c r="P284" s="279"/>
      <c r="Q284" s="279"/>
      <c r="R284" s="215"/>
      <c r="S284" s="216"/>
      <c r="T284" s="212"/>
      <c r="U284" s="216"/>
      <c r="V284" s="215"/>
      <c r="W284" s="274"/>
      <c r="X284" s="215"/>
      <c r="Y284" s="274"/>
      <c r="AB284" s="215"/>
      <c r="AH284" s="215">
        <f t="shared" si="31"/>
        <v>0</v>
      </c>
      <c r="AK284" s="173"/>
      <c r="AL284" s="276"/>
      <c r="AM284" s="276"/>
      <c r="AN284" s="289"/>
      <c r="AO284" s="132">
        <f t="shared" si="32"/>
        <v>0</v>
      </c>
      <c r="AP284" s="157"/>
      <c r="AQ284" s="251">
        <f t="shared" si="33"/>
        <v>0</v>
      </c>
      <c r="AR284" s="251"/>
      <c r="AS284" s="215"/>
      <c r="AT284" s="215"/>
      <c r="AU284" s="215"/>
      <c r="AV284" s="215"/>
      <c r="AW284" s="215"/>
      <c r="AX284" s="215"/>
      <c r="AY284" s="215"/>
      <c r="AZ284" s="215"/>
      <c r="BA284" s="267"/>
      <c r="BB284" s="215"/>
      <c r="BC284" s="267"/>
    </row>
    <row r="285" s="132" customFormat="1" customHeight="1" spans="1:55">
      <c r="A285" s="132">
        <v>234</v>
      </c>
      <c r="D285" s="279"/>
      <c r="F285" s="276" t="s">
        <v>4083</v>
      </c>
      <c r="G285" s="212"/>
      <c r="H285" s="212"/>
      <c r="I285" s="230" t="s">
        <v>4084</v>
      </c>
      <c r="J285" s="283">
        <v>126.5</v>
      </c>
      <c r="M285" s="213"/>
      <c r="N285" s="215">
        <v>5744.1</v>
      </c>
      <c r="O285" s="284"/>
      <c r="P285" s="279"/>
      <c r="Q285" s="279"/>
      <c r="R285" s="215"/>
      <c r="S285" s="216"/>
      <c r="T285" s="212"/>
      <c r="U285" s="216"/>
      <c r="V285" s="215"/>
      <c r="W285" s="274"/>
      <c r="X285" s="215"/>
      <c r="Y285" s="274"/>
      <c r="AB285" s="215"/>
      <c r="AH285" s="215">
        <f t="shared" si="31"/>
        <v>0</v>
      </c>
      <c r="AK285" s="173"/>
      <c r="AL285" s="276"/>
      <c r="AM285" s="276"/>
      <c r="AN285" s="289"/>
      <c r="AO285" s="132">
        <f t="shared" si="32"/>
        <v>0</v>
      </c>
      <c r="AP285" s="157"/>
      <c r="AQ285" s="251">
        <f t="shared" si="33"/>
        <v>0</v>
      </c>
      <c r="AR285" s="251"/>
      <c r="AS285" s="215"/>
      <c r="AT285" s="215"/>
      <c r="AU285" s="215"/>
      <c r="AV285" s="215"/>
      <c r="AW285" s="215"/>
      <c r="AX285" s="215"/>
      <c r="AY285" s="215"/>
      <c r="AZ285" s="215"/>
      <c r="BA285" s="267"/>
      <c r="BB285" s="215"/>
      <c r="BC285" s="267"/>
    </row>
    <row r="286" s="135" customFormat="1" customHeight="1" spans="1:73">
      <c r="A286" s="132">
        <v>235</v>
      </c>
      <c r="C286" s="155">
        <v>45417</v>
      </c>
      <c r="D286" s="263" t="s">
        <v>4085</v>
      </c>
      <c r="F286" s="264" t="s">
        <v>4086</v>
      </c>
      <c r="G286" s="262" t="s">
        <v>4087</v>
      </c>
      <c r="H286" s="220"/>
      <c r="I286" s="236" t="s">
        <v>4088</v>
      </c>
      <c r="J286" s="135">
        <v>126.5</v>
      </c>
      <c r="K286" s="135">
        <v>126.5</v>
      </c>
      <c r="L286" s="135">
        <v>5849.8</v>
      </c>
      <c r="M286" s="233">
        <v>740000</v>
      </c>
      <c r="N286" s="184">
        <v>5801.38</v>
      </c>
      <c r="O286" s="287"/>
      <c r="P286" s="263"/>
      <c r="Q286" s="263"/>
      <c r="R286" s="184"/>
      <c r="S286" s="185"/>
      <c r="T286" s="220"/>
      <c r="U286" s="185" t="s">
        <v>502</v>
      </c>
      <c r="V286" s="184">
        <f>10495-10495</f>
        <v>0</v>
      </c>
      <c r="W286" s="185" t="s">
        <v>4089</v>
      </c>
      <c r="X286" s="184">
        <v>17000</v>
      </c>
      <c r="Y286" s="185" t="s">
        <v>1001</v>
      </c>
      <c r="Z286" s="135">
        <v>205000</v>
      </c>
      <c r="AA286" s="135" t="s">
        <v>1001</v>
      </c>
      <c r="AB286" s="184">
        <v>518000</v>
      </c>
      <c r="AC286" s="185" t="s">
        <v>624</v>
      </c>
      <c r="AH286" s="184">
        <f t="shared" si="31"/>
        <v>740000</v>
      </c>
      <c r="AK286" s="190">
        <f>M286-AH286</f>
        <v>0</v>
      </c>
      <c r="AL286" s="264" t="s">
        <v>4090</v>
      </c>
      <c r="AM286" s="264"/>
      <c r="AN286" s="288"/>
      <c r="AO286" s="135">
        <f t="shared" si="32"/>
        <v>740000</v>
      </c>
      <c r="AP286" s="162">
        <f>0.4%+0.03%+0.08%</f>
        <v>0.0051</v>
      </c>
      <c r="AQ286" s="237">
        <f t="shared" si="33"/>
        <v>0</v>
      </c>
      <c r="AR286" s="237"/>
      <c r="AS286" s="184"/>
      <c r="AT286" s="184"/>
      <c r="AU286" s="184"/>
      <c r="AV286" s="184"/>
      <c r="AW286" s="184"/>
      <c r="AX286" s="184"/>
      <c r="AY286" s="184"/>
      <c r="AZ286" s="184"/>
      <c r="BA286" s="268"/>
      <c r="BB286" s="184"/>
      <c r="BC286" s="268"/>
      <c r="BI286" s="135">
        <v>222000</v>
      </c>
      <c r="BJ286" s="135">
        <v>518000</v>
      </c>
      <c r="BT286" s="135" t="s">
        <v>496</v>
      </c>
      <c r="BU286" s="135" t="s">
        <v>506</v>
      </c>
    </row>
    <row r="287" s="135" customFormat="1" customHeight="1" spans="1:73">
      <c r="A287" s="132">
        <v>236</v>
      </c>
      <c r="C287" s="135" t="s">
        <v>510</v>
      </c>
      <c r="D287" s="263" t="s">
        <v>4091</v>
      </c>
      <c r="F287" s="264" t="s">
        <v>4092</v>
      </c>
      <c r="G287" s="220" t="s">
        <v>4093</v>
      </c>
      <c r="H287" s="844" t="s">
        <v>4094</v>
      </c>
      <c r="I287" s="236" t="s">
        <v>4095</v>
      </c>
      <c r="J287" s="135">
        <v>126.5</v>
      </c>
      <c r="K287" s="135">
        <v>126.5</v>
      </c>
      <c r="L287" s="135">
        <v>5800</v>
      </c>
      <c r="M287" s="233">
        <v>733700</v>
      </c>
      <c r="N287" s="184">
        <v>5794.38</v>
      </c>
      <c r="O287" s="190"/>
      <c r="P287" s="263"/>
      <c r="Q287" s="263"/>
      <c r="R287" s="184"/>
      <c r="S287" s="185"/>
      <c r="T287" s="220"/>
      <c r="U287" s="185" t="s">
        <v>709</v>
      </c>
      <c r="V287" s="184">
        <v>20000</v>
      </c>
      <c r="W287" s="185" t="s">
        <v>3982</v>
      </c>
      <c r="X287" s="184">
        <v>133700</v>
      </c>
      <c r="Y287" s="185" t="s">
        <v>510</v>
      </c>
      <c r="Z287" s="184">
        <v>580000</v>
      </c>
      <c r="AA287" s="185" t="s">
        <v>1567</v>
      </c>
      <c r="AB287" s="184"/>
      <c r="AH287" s="184">
        <f t="shared" si="31"/>
        <v>733700</v>
      </c>
      <c r="AK287" s="190">
        <f>M287-AH287</f>
        <v>0</v>
      </c>
      <c r="AL287" s="264"/>
      <c r="AM287" s="264"/>
      <c r="AN287" s="288"/>
      <c r="AO287" s="135">
        <f t="shared" si="32"/>
        <v>733700</v>
      </c>
      <c r="AP287" s="162">
        <f>0.4%+0.08%</f>
        <v>0.0048</v>
      </c>
      <c r="AQ287" s="237">
        <f t="shared" si="33"/>
        <v>0</v>
      </c>
      <c r="AR287" s="237"/>
      <c r="AS287" s="184"/>
      <c r="AT287" s="184"/>
      <c r="AU287" s="184"/>
      <c r="AV287" s="184"/>
      <c r="AW287" s="184"/>
      <c r="AX287" s="184"/>
      <c r="AY287" s="184"/>
      <c r="AZ287" s="184"/>
      <c r="BA287" s="268"/>
      <c r="BB287" s="184"/>
      <c r="BC287" s="268"/>
      <c r="BD287" s="135">
        <v>153700</v>
      </c>
      <c r="BE287" s="135">
        <v>580000</v>
      </c>
      <c r="BT287" s="135" t="s">
        <v>496</v>
      </c>
      <c r="BU287" s="135" t="s">
        <v>506</v>
      </c>
    </row>
    <row r="288" s="135" customFormat="1" customHeight="1" spans="1:73">
      <c r="A288" s="132">
        <v>237</v>
      </c>
      <c r="C288" s="135" t="s">
        <v>656</v>
      </c>
      <c r="D288" s="263" t="s">
        <v>4096</v>
      </c>
      <c r="F288" s="264"/>
      <c r="G288" s="220" t="s">
        <v>4097</v>
      </c>
      <c r="H288" s="220"/>
      <c r="I288" s="236" t="s">
        <v>4098</v>
      </c>
      <c r="J288" s="135">
        <v>126.5</v>
      </c>
      <c r="K288" s="135">
        <v>126.5</v>
      </c>
      <c r="L288" s="135">
        <v>5831.38</v>
      </c>
      <c r="M288" s="233">
        <v>737670</v>
      </c>
      <c r="N288" s="184">
        <v>5831.38</v>
      </c>
      <c r="O288" s="190"/>
      <c r="P288" s="263"/>
      <c r="Q288" s="263"/>
      <c r="R288" s="184"/>
      <c r="S288" s="185"/>
      <c r="T288" s="220"/>
      <c r="U288" s="185" t="s">
        <v>721</v>
      </c>
      <c r="V288" s="184">
        <v>147670</v>
      </c>
      <c r="W288" s="185" t="s">
        <v>656</v>
      </c>
      <c r="X288" s="184">
        <v>590000</v>
      </c>
      <c r="Y288" s="185" t="s">
        <v>4099</v>
      </c>
      <c r="AB288" s="184"/>
      <c r="AH288" s="184">
        <f t="shared" si="31"/>
        <v>737670</v>
      </c>
      <c r="AK288" s="190">
        <f>M288-AH288</f>
        <v>0</v>
      </c>
      <c r="AL288" s="264"/>
      <c r="AM288" s="264"/>
      <c r="AN288" s="288"/>
      <c r="AO288" s="135">
        <f t="shared" si="32"/>
        <v>737670</v>
      </c>
      <c r="AP288" s="162">
        <f>0.4%+0.02%+0.08%</f>
        <v>0.005</v>
      </c>
      <c r="AQ288" s="237">
        <f t="shared" si="33"/>
        <v>0</v>
      </c>
      <c r="AR288" s="237"/>
      <c r="AS288" s="184"/>
      <c r="AT288" s="184"/>
      <c r="AU288" s="184"/>
      <c r="AV288" s="184"/>
      <c r="AW288" s="184"/>
      <c r="AX288" s="184"/>
      <c r="AY288" s="184"/>
      <c r="AZ288" s="184"/>
      <c r="BB288" s="184">
        <v>147670</v>
      </c>
      <c r="BE288" s="135">
        <v>590000</v>
      </c>
      <c r="BT288" s="135" t="s">
        <v>496</v>
      </c>
      <c r="BU288" s="135" t="s">
        <v>506</v>
      </c>
    </row>
    <row r="289" s="135" customFormat="1" customHeight="1" spans="1:73">
      <c r="A289" s="132">
        <v>238</v>
      </c>
      <c r="C289" s="135" t="s">
        <v>2378</v>
      </c>
      <c r="D289" s="263" t="s">
        <v>4100</v>
      </c>
      <c r="F289" s="264" t="s">
        <v>4101</v>
      </c>
      <c r="G289" s="220" t="s">
        <v>4102</v>
      </c>
      <c r="H289" s="844" t="s">
        <v>4103</v>
      </c>
      <c r="I289" s="236" t="s">
        <v>4104</v>
      </c>
      <c r="J289" s="135">
        <v>126.5</v>
      </c>
      <c r="K289" s="135">
        <v>126.5</v>
      </c>
      <c r="L289" s="135">
        <v>5833.99</v>
      </c>
      <c r="M289" s="285">
        <v>738000</v>
      </c>
      <c r="N289" s="286">
        <v>5824.38</v>
      </c>
      <c r="O289" s="190"/>
      <c r="P289" s="263"/>
      <c r="Q289" s="263"/>
      <c r="R289" s="184"/>
      <c r="S289" s="185"/>
      <c r="T289" s="220"/>
      <c r="U289" s="185" t="s">
        <v>721</v>
      </c>
      <c r="V289" s="184">
        <v>20000</v>
      </c>
      <c r="W289" s="185" t="s">
        <v>4105</v>
      </c>
      <c r="X289" s="184">
        <v>30000</v>
      </c>
      <c r="Y289" s="292" t="s">
        <v>2378</v>
      </c>
      <c r="Z289" s="184">
        <v>98000</v>
      </c>
      <c r="AA289" s="185" t="s">
        <v>578</v>
      </c>
      <c r="AB289" s="184">
        <v>590000</v>
      </c>
      <c r="AC289" s="185" t="s">
        <v>762</v>
      </c>
      <c r="AH289" s="184">
        <f t="shared" si="31"/>
        <v>738000</v>
      </c>
      <c r="AK289" s="190">
        <f>M289-AH289</f>
        <v>0</v>
      </c>
      <c r="AL289" s="264" t="s">
        <v>4106</v>
      </c>
      <c r="AM289" s="264"/>
      <c r="AN289" s="288"/>
      <c r="AO289" s="135">
        <f t="shared" si="32"/>
        <v>738000</v>
      </c>
      <c r="AP289" s="162">
        <f>0.5%+0.02%+0.08%</f>
        <v>0.006</v>
      </c>
      <c r="AQ289" s="237">
        <f t="shared" si="33"/>
        <v>0</v>
      </c>
      <c r="AR289" s="237"/>
      <c r="AS289" s="184"/>
      <c r="AT289" s="184"/>
      <c r="AU289" s="184"/>
      <c r="AV289" s="184"/>
      <c r="AW289" s="184"/>
      <c r="AX289" s="184"/>
      <c r="AY289" s="184"/>
      <c r="AZ289" s="184"/>
      <c r="BA289" s="268"/>
      <c r="BB289" s="184"/>
      <c r="BC289" s="268"/>
      <c r="BD289" s="135">
        <v>148000</v>
      </c>
      <c r="BE289" s="135">
        <v>590000</v>
      </c>
      <c r="BT289" s="135" t="s">
        <v>496</v>
      </c>
      <c r="BU289" s="135" t="s">
        <v>506</v>
      </c>
    </row>
    <row r="290" s="135" customFormat="1" customHeight="1" spans="1:73">
      <c r="A290" s="132">
        <v>239</v>
      </c>
      <c r="C290" s="263" t="s">
        <v>646</v>
      </c>
      <c r="D290" s="135">
        <v>20230008282</v>
      </c>
      <c r="E290" s="263"/>
      <c r="F290" s="264" t="s">
        <v>4107</v>
      </c>
      <c r="G290" s="262" t="s">
        <v>4108</v>
      </c>
      <c r="H290" s="845" t="s">
        <v>4109</v>
      </c>
      <c r="I290" s="236" t="s">
        <v>4110</v>
      </c>
      <c r="J290" s="135">
        <v>126.5</v>
      </c>
      <c r="K290" s="135">
        <v>126.5</v>
      </c>
      <c r="L290" s="135">
        <v>5851.38</v>
      </c>
      <c r="M290" s="285">
        <v>740201</v>
      </c>
      <c r="N290" s="286">
        <f>5901.38-50</f>
        <v>5851.38</v>
      </c>
      <c r="O290" s="190"/>
      <c r="P290" s="263"/>
      <c r="Q290" s="263"/>
      <c r="R290" s="184"/>
      <c r="S290" s="261"/>
      <c r="T290" s="845" t="s">
        <v>1273</v>
      </c>
      <c r="U290" s="261" t="s">
        <v>590</v>
      </c>
      <c r="V290" s="184">
        <v>10000</v>
      </c>
      <c r="W290" s="261" t="s">
        <v>906</v>
      </c>
      <c r="X290" s="184">
        <v>10000</v>
      </c>
      <c r="Y290" s="261" t="s">
        <v>1008</v>
      </c>
      <c r="Z290" s="184">
        <v>130201</v>
      </c>
      <c r="AA290" s="261" t="s">
        <v>646</v>
      </c>
      <c r="AB290" s="184">
        <v>590000</v>
      </c>
      <c r="AC290" s="261" t="s">
        <v>3550</v>
      </c>
      <c r="AD290" s="155"/>
      <c r="AE290" s="155"/>
      <c r="AF290" s="155"/>
      <c r="AG290" s="155"/>
      <c r="AH290" s="184">
        <f t="shared" si="31"/>
        <v>740201</v>
      </c>
      <c r="AK290" s="190">
        <f t="shared" ref="AK290:AK299" si="36">M290-AH290</f>
        <v>0</v>
      </c>
      <c r="AL290" s="264" t="s">
        <v>4111</v>
      </c>
      <c r="AM290" s="264"/>
      <c r="AN290" s="288"/>
      <c r="AO290" s="135">
        <f t="shared" si="32"/>
        <v>740201</v>
      </c>
      <c r="AP290" s="162">
        <f>0.5%+0.04%+0.14%</f>
        <v>0.0068</v>
      </c>
      <c r="AQ290" s="237">
        <f t="shared" si="33"/>
        <v>300</v>
      </c>
      <c r="AR290" s="237"/>
      <c r="AS290" s="184"/>
      <c r="AT290" s="184">
        <v>100</v>
      </c>
      <c r="AU290" s="184"/>
      <c r="AV290" s="184">
        <v>200</v>
      </c>
      <c r="AW290" s="184"/>
      <c r="AX290" s="184"/>
      <c r="AY290" s="184"/>
      <c r="AZ290" s="184"/>
      <c r="BA290" s="268">
        <v>150201</v>
      </c>
      <c r="BB290" s="184"/>
      <c r="BC290" s="268"/>
      <c r="BD290" s="135">
        <v>590000</v>
      </c>
      <c r="BT290" s="135" t="s">
        <v>496</v>
      </c>
      <c r="BU290" s="135" t="s">
        <v>506</v>
      </c>
    </row>
    <row r="291" s="135" customFormat="1" customHeight="1" spans="1:73">
      <c r="A291" s="132">
        <v>240</v>
      </c>
      <c r="C291" s="135" t="s">
        <v>646</v>
      </c>
      <c r="D291" s="264" t="s">
        <v>4112</v>
      </c>
      <c r="F291" s="264" t="s">
        <v>4113</v>
      </c>
      <c r="G291" s="262" t="s">
        <v>4114</v>
      </c>
      <c r="H291" s="844" t="s">
        <v>4115</v>
      </c>
      <c r="I291" s="236" t="s">
        <v>4116</v>
      </c>
      <c r="J291" s="135">
        <v>126.5</v>
      </c>
      <c r="K291" s="135">
        <v>126.5</v>
      </c>
      <c r="L291" s="135">
        <v>5894.38</v>
      </c>
      <c r="M291" s="285">
        <v>745639</v>
      </c>
      <c r="N291" s="286">
        <v>5894.38</v>
      </c>
      <c r="O291" s="190"/>
      <c r="P291" s="263"/>
      <c r="Q291" s="263"/>
      <c r="R291" s="184"/>
      <c r="S291" s="185"/>
      <c r="T291" s="262" t="s">
        <v>4117</v>
      </c>
      <c r="U291" s="261" t="s">
        <v>4118</v>
      </c>
      <c r="V291" s="184">
        <f>10000-10000</f>
        <v>0</v>
      </c>
      <c r="W291" s="155" t="s">
        <v>4119</v>
      </c>
      <c r="X291" s="184">
        <v>20000</v>
      </c>
      <c r="Y291" s="185" t="s">
        <v>881</v>
      </c>
      <c r="Z291" s="184">
        <v>129639</v>
      </c>
      <c r="AA291" s="185" t="s">
        <v>646</v>
      </c>
      <c r="AB291" s="184">
        <v>596000</v>
      </c>
      <c r="AC291" s="185" t="s">
        <v>3550</v>
      </c>
      <c r="AD291" s="155"/>
      <c r="AE291" s="155"/>
      <c r="AF291" s="155"/>
      <c r="AG291" s="155"/>
      <c r="AH291" s="184">
        <f t="shared" si="31"/>
        <v>745639</v>
      </c>
      <c r="AK291" s="190">
        <f t="shared" si="36"/>
        <v>0</v>
      </c>
      <c r="AL291" s="264" t="s">
        <v>4120</v>
      </c>
      <c r="AM291" s="264"/>
      <c r="AN291" s="288"/>
      <c r="AO291" s="135">
        <f t="shared" si="32"/>
        <v>745639</v>
      </c>
      <c r="AP291" s="162">
        <f>0.5%+0.03%+0.14%</f>
        <v>0.0067</v>
      </c>
      <c r="AQ291" s="237">
        <f t="shared" si="33"/>
        <v>100</v>
      </c>
      <c r="AR291" s="237">
        <v>100</v>
      </c>
      <c r="AS291" s="184"/>
      <c r="AT291" s="184"/>
      <c r="AU291" s="184"/>
      <c r="AV291" s="184"/>
      <c r="AW291" s="184"/>
      <c r="AX291" s="184"/>
      <c r="AY291" s="184"/>
      <c r="AZ291" s="184"/>
      <c r="BA291" s="268">
        <v>149639</v>
      </c>
      <c r="BB291" s="184"/>
      <c r="BC291" s="268"/>
      <c r="BD291" s="135">
        <v>596000</v>
      </c>
      <c r="BT291" s="135" t="s">
        <v>496</v>
      </c>
      <c r="BU291" s="135" t="s">
        <v>506</v>
      </c>
    </row>
    <row r="292" s="135" customFormat="1" customHeight="1" spans="1:73">
      <c r="A292" s="132">
        <v>241</v>
      </c>
      <c r="C292" s="135" t="s">
        <v>968</v>
      </c>
      <c r="D292" s="263" t="s">
        <v>4121</v>
      </c>
      <c r="F292" s="264" t="s">
        <v>4122</v>
      </c>
      <c r="G292" s="220" t="s">
        <v>4123</v>
      </c>
      <c r="H292" s="844" t="s">
        <v>4124</v>
      </c>
      <c r="I292" s="236" t="s">
        <v>4125</v>
      </c>
      <c r="J292" s="135">
        <v>126.5</v>
      </c>
      <c r="K292" s="135">
        <v>126.5</v>
      </c>
      <c r="L292" s="135">
        <v>5916.38</v>
      </c>
      <c r="M292" s="285">
        <v>748422</v>
      </c>
      <c r="N292" s="286">
        <f>5966.38-50</f>
        <v>5916.38</v>
      </c>
      <c r="O292" s="190"/>
      <c r="P292" s="263"/>
      <c r="Q292" s="263"/>
      <c r="R292" s="184"/>
      <c r="S292" s="185"/>
      <c r="T292" s="220"/>
      <c r="U292" s="185" t="s">
        <v>590</v>
      </c>
      <c r="V292" s="184">
        <f>20000+68422+50000</f>
        <v>138422</v>
      </c>
      <c r="W292" s="185" t="s">
        <v>963</v>
      </c>
      <c r="X292" s="184">
        <v>20000</v>
      </c>
      <c r="Y292" s="185" t="s">
        <v>2072</v>
      </c>
      <c r="Z292" s="184">
        <v>590000</v>
      </c>
      <c r="AA292" s="185" t="s">
        <v>2378</v>
      </c>
      <c r="AB292" s="184"/>
      <c r="AH292" s="184">
        <f t="shared" si="31"/>
        <v>748422</v>
      </c>
      <c r="AK292" s="190">
        <f t="shared" si="36"/>
        <v>0</v>
      </c>
      <c r="AL292" s="264" t="s">
        <v>4126</v>
      </c>
      <c r="AM292" s="264"/>
      <c r="AN292" s="288"/>
      <c r="AO292" s="135">
        <f t="shared" si="32"/>
        <v>748422</v>
      </c>
      <c r="AP292" s="162">
        <f>0.5%+0.04%+0.14%</f>
        <v>0.0068</v>
      </c>
      <c r="AQ292" s="237">
        <f t="shared" si="33"/>
        <v>100</v>
      </c>
      <c r="AR292" s="184"/>
      <c r="AS292" s="184">
        <v>100</v>
      </c>
      <c r="AT292" s="184"/>
      <c r="AU292" s="184"/>
      <c r="AV292" s="184"/>
      <c r="AW292" s="184"/>
      <c r="AX292" s="184"/>
      <c r="AY292" s="184"/>
      <c r="AZ292" s="184"/>
      <c r="BA292" s="268"/>
      <c r="BB292" s="184"/>
      <c r="BC292" s="268">
        <v>748422</v>
      </c>
      <c r="BT292" s="135" t="s">
        <v>496</v>
      </c>
      <c r="BU292" s="135" t="s">
        <v>506</v>
      </c>
    </row>
    <row r="293" s="135" customFormat="1" customHeight="1" spans="1:73">
      <c r="A293" s="132">
        <v>242</v>
      </c>
      <c r="C293" s="135" t="s">
        <v>1048</v>
      </c>
      <c r="D293" s="263" t="s">
        <v>4127</v>
      </c>
      <c r="F293" s="264" t="s">
        <v>4128</v>
      </c>
      <c r="G293" s="164" t="s">
        <v>4129</v>
      </c>
      <c r="H293" s="845" t="s">
        <v>4130</v>
      </c>
      <c r="I293" s="232" t="s">
        <v>4131</v>
      </c>
      <c r="J293" s="135">
        <v>126.5</v>
      </c>
      <c r="K293" s="135">
        <v>126.5</v>
      </c>
      <c r="L293" s="135">
        <v>5900</v>
      </c>
      <c r="M293" s="285">
        <f>K293*L293</f>
        <v>746350</v>
      </c>
      <c r="N293" s="286">
        <f>5959.38-59.38</f>
        <v>5900</v>
      </c>
      <c r="O293" s="190"/>
      <c r="P293" s="263"/>
      <c r="Q293" s="263"/>
      <c r="R293" s="184"/>
      <c r="S293" s="185"/>
      <c r="T293" s="844" t="s">
        <v>4132</v>
      </c>
      <c r="U293" s="185" t="s">
        <v>721</v>
      </c>
      <c r="V293" s="184">
        <v>10000</v>
      </c>
      <c r="W293" s="185" t="s">
        <v>906</v>
      </c>
      <c r="X293" s="184">
        <v>10000</v>
      </c>
      <c r="Y293" s="185" t="s">
        <v>963</v>
      </c>
      <c r="Z293" s="184">
        <f>280000+350</f>
        <v>280350</v>
      </c>
      <c r="AA293" s="185" t="s">
        <v>1048</v>
      </c>
      <c r="AB293" s="184">
        <v>446000</v>
      </c>
      <c r="AC293" s="185" t="s">
        <v>578</v>
      </c>
      <c r="AD293" s="155"/>
      <c r="AE293" s="155"/>
      <c r="AF293" s="155"/>
      <c r="AG293" s="155"/>
      <c r="AH293" s="184">
        <f t="shared" si="31"/>
        <v>746350</v>
      </c>
      <c r="AK293" s="190">
        <f t="shared" si="36"/>
        <v>0</v>
      </c>
      <c r="AL293" s="264" t="s">
        <v>4133</v>
      </c>
      <c r="AM293" s="264"/>
      <c r="AN293" s="288"/>
      <c r="AO293" s="135">
        <f t="shared" si="32"/>
        <v>746350</v>
      </c>
      <c r="AP293" s="162">
        <f>0.7%+0.05%+0.14%</f>
        <v>0.0089</v>
      </c>
      <c r="AQ293" s="237">
        <f t="shared" si="33"/>
        <v>200</v>
      </c>
      <c r="AR293" s="184"/>
      <c r="AS293" s="184"/>
      <c r="AT293" s="184"/>
      <c r="AU293" s="184"/>
      <c r="AV293" s="184">
        <v>200</v>
      </c>
      <c r="AW293" s="184"/>
      <c r="AX293" s="184"/>
      <c r="AY293" s="184"/>
      <c r="AZ293" s="184">
        <v>300350</v>
      </c>
      <c r="BA293" s="268"/>
      <c r="BB293" s="184"/>
      <c r="BC293" s="268"/>
      <c r="BD293" s="135">
        <v>446000</v>
      </c>
      <c r="BT293" s="135" t="s">
        <v>496</v>
      </c>
      <c r="BU293" s="135" t="s">
        <v>506</v>
      </c>
    </row>
    <row r="294" s="135" customFormat="1" customHeight="1" spans="1:73">
      <c r="A294" s="132">
        <v>243</v>
      </c>
      <c r="C294" s="135" t="s">
        <v>1019</v>
      </c>
      <c r="D294" s="263" t="s">
        <v>4134</v>
      </c>
      <c r="F294" s="135" t="s">
        <v>4135</v>
      </c>
      <c r="G294" s="262" t="s">
        <v>4136</v>
      </c>
      <c r="H294" s="262"/>
      <c r="I294" s="236" t="s">
        <v>4137</v>
      </c>
      <c r="J294" s="135">
        <v>126.5</v>
      </c>
      <c r="K294" s="135">
        <v>126.5</v>
      </c>
      <c r="L294" s="135">
        <v>6011.38</v>
      </c>
      <c r="M294" s="285">
        <v>760440</v>
      </c>
      <c r="N294" s="286">
        <v>6011.38</v>
      </c>
      <c r="O294" s="190"/>
      <c r="P294" s="263"/>
      <c r="Q294" s="263"/>
      <c r="R294" s="184"/>
      <c r="S294" s="185"/>
      <c r="T294" s="845" t="s">
        <v>4138</v>
      </c>
      <c r="U294" s="262" t="s">
        <v>709</v>
      </c>
      <c r="V294" s="184">
        <f>10000+60000+440+400000</f>
        <v>470440</v>
      </c>
      <c r="W294" s="185" t="s">
        <v>866</v>
      </c>
      <c r="X294" s="184">
        <v>290000</v>
      </c>
      <c r="Y294" s="185" t="s">
        <v>534</v>
      </c>
      <c r="AA294" s="155"/>
      <c r="AB294" s="184"/>
      <c r="AH294" s="184">
        <f t="shared" si="31"/>
        <v>760440</v>
      </c>
      <c r="AK294" s="190">
        <f t="shared" si="36"/>
        <v>0</v>
      </c>
      <c r="AL294" s="264" t="s">
        <v>4139</v>
      </c>
      <c r="AM294" s="264"/>
      <c r="AN294" s="288"/>
      <c r="AO294" s="135">
        <f t="shared" si="32"/>
        <v>760440</v>
      </c>
      <c r="AP294" s="162">
        <f>0.7%+0.14%</f>
        <v>0.0084</v>
      </c>
      <c r="AQ294" s="237">
        <f t="shared" si="33"/>
        <v>300</v>
      </c>
      <c r="AR294" s="184"/>
      <c r="AS294" s="184"/>
      <c r="AT294" s="184"/>
      <c r="AU294" s="184"/>
      <c r="AV294" s="184">
        <f>100+200</f>
        <v>300</v>
      </c>
      <c r="AW294" s="184"/>
      <c r="AX294" s="184"/>
      <c r="AY294" s="184"/>
      <c r="AZ294" s="184"/>
      <c r="BA294" s="268"/>
      <c r="BB294" s="184"/>
      <c r="BC294" s="268">
        <v>760440</v>
      </c>
      <c r="BT294" s="135" t="s">
        <v>496</v>
      </c>
      <c r="BU294" s="135" t="s">
        <v>506</v>
      </c>
    </row>
    <row r="295" s="135" customFormat="1" customHeight="1" spans="1:73">
      <c r="A295" s="132">
        <v>244</v>
      </c>
      <c r="C295" s="135" t="s">
        <v>1430</v>
      </c>
      <c r="D295" s="263" t="s">
        <v>4140</v>
      </c>
      <c r="F295" s="264" t="s">
        <v>4141</v>
      </c>
      <c r="G295" s="220" t="s">
        <v>4142</v>
      </c>
      <c r="H295" s="844" t="s">
        <v>4143</v>
      </c>
      <c r="I295" s="232" t="s">
        <v>4144</v>
      </c>
      <c r="J295" s="135">
        <v>126.5</v>
      </c>
      <c r="K295" s="135">
        <v>126.5</v>
      </c>
      <c r="L295" s="135">
        <v>5954.38</v>
      </c>
      <c r="M295" s="285">
        <v>753229</v>
      </c>
      <c r="N295" s="286">
        <f>6004.38-50</f>
        <v>5954.38</v>
      </c>
      <c r="O295" s="190"/>
      <c r="P295" s="263"/>
      <c r="Q295" s="263"/>
      <c r="R295" s="184"/>
      <c r="S295" s="185"/>
      <c r="T295" s="844" t="s">
        <v>1573</v>
      </c>
      <c r="U295" s="185" t="s">
        <v>502</v>
      </c>
      <c r="V295" s="184">
        <v>10000</v>
      </c>
      <c r="W295" s="185" t="s">
        <v>2138</v>
      </c>
      <c r="X295" s="184">
        <v>10000</v>
      </c>
      <c r="Y295" s="185" t="s">
        <v>1008</v>
      </c>
      <c r="Z295" s="184">
        <v>233229</v>
      </c>
      <c r="AA295" s="185" t="s">
        <v>1430</v>
      </c>
      <c r="AB295" s="184">
        <v>500000</v>
      </c>
      <c r="AC295" s="185" t="s">
        <v>1408</v>
      </c>
      <c r="AH295" s="184">
        <f t="shared" si="31"/>
        <v>753229</v>
      </c>
      <c r="AK295" s="190">
        <f t="shared" si="36"/>
        <v>0</v>
      </c>
      <c r="AL295" s="264"/>
      <c r="AM295" s="264"/>
      <c r="AN295" s="288"/>
      <c r="AO295" s="135">
        <f t="shared" si="32"/>
        <v>753229</v>
      </c>
      <c r="AP295" s="162">
        <f>0.5%+0.14%</f>
        <v>0.0064</v>
      </c>
      <c r="AQ295" s="237">
        <f t="shared" si="33"/>
        <v>300</v>
      </c>
      <c r="AR295" s="184"/>
      <c r="AS295" s="184"/>
      <c r="AT295" s="184"/>
      <c r="AU295" s="184">
        <v>100</v>
      </c>
      <c r="AV295" s="184">
        <v>200</v>
      </c>
      <c r="AW295" s="184"/>
      <c r="AX295" s="184"/>
      <c r="AY295" s="184"/>
      <c r="AZ295" s="184">
        <v>253229</v>
      </c>
      <c r="BA295" s="268"/>
      <c r="BB295" s="184">
        <v>500000</v>
      </c>
      <c r="BC295" s="268"/>
      <c r="BT295" s="135" t="s">
        <v>496</v>
      </c>
      <c r="BU295" s="135" t="s">
        <v>506</v>
      </c>
    </row>
    <row r="296" s="135" customFormat="1" customHeight="1" spans="1:73">
      <c r="A296" s="132">
        <v>245</v>
      </c>
      <c r="C296" s="135" t="s">
        <v>1955</v>
      </c>
      <c r="D296" s="281" t="s">
        <v>4145</v>
      </c>
      <c r="F296" s="264"/>
      <c r="G296" s="220" t="s">
        <v>4146</v>
      </c>
      <c r="H296" s="220"/>
      <c r="I296" s="236" t="s">
        <v>4147</v>
      </c>
      <c r="J296" s="135">
        <v>126.5</v>
      </c>
      <c r="K296" s="135">
        <v>126.5</v>
      </c>
      <c r="L296" s="135">
        <v>5986.38</v>
      </c>
      <c r="M296" s="285">
        <v>757277</v>
      </c>
      <c r="N296" s="184">
        <f>6036.38-50</f>
        <v>5986.38</v>
      </c>
      <c r="O296" s="190"/>
      <c r="P296" s="281"/>
      <c r="Q296" s="281"/>
      <c r="R296" s="184"/>
      <c r="T296" s="845" t="s">
        <v>1443</v>
      </c>
      <c r="U296" s="135" t="s">
        <v>502</v>
      </c>
      <c r="V296" s="184">
        <v>10000</v>
      </c>
      <c r="W296" s="135" t="s">
        <v>1083</v>
      </c>
      <c r="X296" s="184">
        <f>10000+97277</f>
        <v>107277</v>
      </c>
      <c r="Y296" s="135" t="s">
        <v>1954</v>
      </c>
      <c r="Z296" s="184">
        <v>40000</v>
      </c>
      <c r="AA296" s="135" t="s">
        <v>1955</v>
      </c>
      <c r="AB296" s="184">
        <v>600000</v>
      </c>
      <c r="AC296" s="135" t="s">
        <v>741</v>
      </c>
      <c r="AD296" s="293"/>
      <c r="AE296" s="293"/>
      <c r="AF296" s="293"/>
      <c r="AG296" s="293"/>
      <c r="AH296" s="184">
        <f t="shared" si="31"/>
        <v>757277</v>
      </c>
      <c r="AK296" s="190">
        <f t="shared" si="36"/>
        <v>0</v>
      </c>
      <c r="AL296" s="264"/>
      <c r="AM296" s="264"/>
      <c r="AN296" s="295"/>
      <c r="AO296" s="135">
        <f t="shared" si="32"/>
        <v>757277</v>
      </c>
      <c r="AP296" s="162">
        <f>0.5%+0.14%</f>
        <v>0.0064</v>
      </c>
      <c r="AQ296" s="237">
        <f t="shared" si="33"/>
        <v>300</v>
      </c>
      <c r="AR296" s="184"/>
      <c r="AS296" s="184"/>
      <c r="AT296" s="184"/>
      <c r="AU296" s="184"/>
      <c r="AV296" s="184">
        <f>100+200</f>
        <v>300</v>
      </c>
      <c r="AW296" s="184"/>
      <c r="AX296" s="184"/>
      <c r="AY296" s="184"/>
      <c r="AZ296" s="184"/>
      <c r="BA296" s="135">
        <v>157277</v>
      </c>
      <c r="BB296" s="184"/>
      <c r="BD296" s="135">
        <v>600000</v>
      </c>
      <c r="BT296" s="135" t="s">
        <v>496</v>
      </c>
      <c r="BU296" s="135" t="s">
        <v>506</v>
      </c>
    </row>
    <row r="297" s="135" customFormat="1" customHeight="1" spans="1:73">
      <c r="A297" s="132">
        <v>246</v>
      </c>
      <c r="C297" s="155">
        <v>45393</v>
      </c>
      <c r="D297" s="263" t="s">
        <v>4148</v>
      </c>
      <c r="F297" s="264" t="s">
        <v>4149</v>
      </c>
      <c r="G297" s="262" t="s">
        <v>4150</v>
      </c>
      <c r="H297" s="262"/>
      <c r="I297" s="232" t="s">
        <v>4151</v>
      </c>
      <c r="J297" s="135">
        <v>126.5</v>
      </c>
      <c r="K297" s="135">
        <v>126.5</v>
      </c>
      <c r="L297" s="135">
        <v>6029.38</v>
      </c>
      <c r="M297" s="285">
        <v>762717</v>
      </c>
      <c r="N297" s="286">
        <v>6029.38</v>
      </c>
      <c r="O297" s="190"/>
      <c r="P297" s="263"/>
      <c r="Q297" s="263"/>
      <c r="R297" s="184"/>
      <c r="S297" s="261"/>
      <c r="T297" s="262"/>
      <c r="U297" s="261" t="s">
        <v>502</v>
      </c>
      <c r="V297" s="184">
        <v>12717</v>
      </c>
      <c r="W297" s="261" t="s">
        <v>3688</v>
      </c>
      <c r="X297" s="184">
        <v>220000</v>
      </c>
      <c r="Y297" s="261" t="s">
        <v>3668</v>
      </c>
      <c r="Z297" s="135">
        <v>530000</v>
      </c>
      <c r="AA297" s="135" t="s">
        <v>669</v>
      </c>
      <c r="AB297" s="184"/>
      <c r="AH297" s="184">
        <f t="shared" si="31"/>
        <v>762717</v>
      </c>
      <c r="AK297" s="190">
        <f t="shared" si="36"/>
        <v>0</v>
      </c>
      <c r="AL297" s="264" t="s">
        <v>4152</v>
      </c>
      <c r="AM297" s="264"/>
      <c r="AN297" s="288"/>
      <c r="AO297" s="135">
        <f t="shared" si="32"/>
        <v>762717</v>
      </c>
      <c r="AP297" s="166">
        <f>0.6%+0.12%</f>
        <v>0.0072</v>
      </c>
      <c r="AQ297" s="237">
        <f t="shared" si="33"/>
        <v>0</v>
      </c>
      <c r="AR297" s="184"/>
      <c r="AS297" s="184"/>
      <c r="AT297" s="184"/>
      <c r="AU297" s="184"/>
      <c r="AV297" s="184"/>
      <c r="AW297" s="184"/>
      <c r="AX297" s="184"/>
      <c r="AY297" s="184"/>
      <c r="AZ297" s="184"/>
      <c r="BA297" s="268"/>
      <c r="BB297" s="184"/>
      <c r="BC297" s="268"/>
      <c r="BH297" s="135">
        <v>762717</v>
      </c>
      <c r="BT297" s="135" t="s">
        <v>496</v>
      </c>
      <c r="BU297" s="135" t="s">
        <v>506</v>
      </c>
    </row>
    <row r="298" s="135" customFormat="1" customHeight="1" spans="1:73">
      <c r="A298" s="132">
        <v>247</v>
      </c>
      <c r="C298" s="135" t="s">
        <v>4153</v>
      </c>
      <c r="D298" s="263" t="s">
        <v>4154</v>
      </c>
      <c r="F298" s="264" t="s">
        <v>4155</v>
      </c>
      <c r="G298" s="262" t="s">
        <v>4156</v>
      </c>
      <c r="H298" s="845" t="s">
        <v>4157</v>
      </c>
      <c r="I298" s="236" t="s">
        <v>4158</v>
      </c>
      <c r="J298" s="135">
        <v>126.5</v>
      </c>
      <c r="K298" s="135">
        <v>126.5</v>
      </c>
      <c r="L298" s="135">
        <v>6065</v>
      </c>
      <c r="M298" s="285">
        <v>767223</v>
      </c>
      <c r="N298" s="286">
        <v>6061.38</v>
      </c>
      <c r="O298" s="190"/>
      <c r="P298" s="263"/>
      <c r="Q298" s="263"/>
      <c r="R298" s="184"/>
      <c r="S298" s="185"/>
      <c r="T298" s="262" t="s">
        <v>4159</v>
      </c>
      <c r="U298" s="261" t="s">
        <v>4160</v>
      </c>
      <c r="V298" s="184">
        <f>10000-10000</f>
        <v>0</v>
      </c>
      <c r="W298" s="155" t="s">
        <v>1842</v>
      </c>
      <c r="X298" s="184">
        <v>20000</v>
      </c>
      <c r="Y298" s="185" t="s">
        <v>751</v>
      </c>
      <c r="Z298" s="135">
        <v>497223</v>
      </c>
      <c r="AA298" s="155" t="s">
        <v>4153</v>
      </c>
      <c r="AB298" s="184">
        <v>250000</v>
      </c>
      <c r="AC298" s="185" t="s">
        <v>3654</v>
      </c>
      <c r="AD298" s="155"/>
      <c r="AE298" s="155"/>
      <c r="AF298" s="155"/>
      <c r="AG298" s="155"/>
      <c r="AH298" s="184">
        <f t="shared" si="31"/>
        <v>767223</v>
      </c>
      <c r="AK298" s="190">
        <f t="shared" si="36"/>
        <v>0</v>
      </c>
      <c r="AL298" s="264" t="s">
        <v>4161</v>
      </c>
      <c r="AM298" s="264"/>
      <c r="AN298" s="288"/>
      <c r="AO298" s="135">
        <f t="shared" si="32"/>
        <v>767223</v>
      </c>
      <c r="AP298" s="162">
        <f>0.5%+0.04%+0.12%</f>
        <v>0.0066</v>
      </c>
      <c r="AQ298" s="237">
        <f t="shared" si="33"/>
        <v>100</v>
      </c>
      <c r="AR298" s="184"/>
      <c r="AS298" s="184"/>
      <c r="AT298" s="184">
        <v>100</v>
      </c>
      <c r="AU298" s="184"/>
      <c r="AV298" s="184"/>
      <c r="AW298" s="184"/>
      <c r="AX298" s="184"/>
      <c r="AY298" s="184"/>
      <c r="AZ298" s="184"/>
      <c r="BA298" s="268"/>
      <c r="BB298" s="184"/>
      <c r="BC298" s="268"/>
      <c r="BE298" s="135">
        <v>517223</v>
      </c>
      <c r="BG298" s="135">
        <v>250000</v>
      </c>
      <c r="BT298" s="135" t="s">
        <v>496</v>
      </c>
      <c r="BU298" s="135" t="s">
        <v>506</v>
      </c>
    </row>
    <row r="299" s="135" customFormat="1" customHeight="1" spans="1:77">
      <c r="A299" s="132">
        <v>248</v>
      </c>
      <c r="C299" s="135" t="s">
        <v>3378</v>
      </c>
      <c r="D299" s="263" t="s">
        <v>4162</v>
      </c>
      <c r="F299" s="264" t="s">
        <v>4163</v>
      </c>
      <c r="G299" s="262" t="s">
        <v>4164</v>
      </c>
      <c r="H299" s="845" t="s">
        <v>4165</v>
      </c>
      <c r="I299" s="232" t="s">
        <v>4166</v>
      </c>
      <c r="J299" s="135">
        <v>126.5</v>
      </c>
      <c r="K299" s="135">
        <v>126.5</v>
      </c>
      <c r="L299" s="135">
        <v>6054.38</v>
      </c>
      <c r="M299" s="285">
        <v>765879</v>
      </c>
      <c r="N299" s="286">
        <v>6054.38</v>
      </c>
      <c r="O299" s="190"/>
      <c r="P299" s="263"/>
      <c r="Q299" s="263"/>
      <c r="R299" s="184"/>
      <c r="S299" s="185"/>
      <c r="T299" s="262"/>
      <c r="U299" s="262" t="s">
        <v>515</v>
      </c>
      <c r="V299" s="184">
        <v>20000</v>
      </c>
      <c r="W299" s="185" t="s">
        <v>3552</v>
      </c>
      <c r="X299" s="184">
        <v>135879</v>
      </c>
      <c r="Y299" s="155" t="s">
        <v>3378</v>
      </c>
      <c r="Z299" s="184">
        <v>610000</v>
      </c>
      <c r="AA299" s="185" t="s">
        <v>3884</v>
      </c>
      <c r="AB299" s="184"/>
      <c r="AC299" s="155"/>
      <c r="AD299" s="155"/>
      <c r="AE299" s="155"/>
      <c r="AF299" s="155"/>
      <c r="AG299" s="155"/>
      <c r="AH299" s="184">
        <f t="shared" si="31"/>
        <v>765879</v>
      </c>
      <c r="AK299" s="190">
        <f t="shared" si="36"/>
        <v>0</v>
      </c>
      <c r="AL299" s="264" t="s">
        <v>4167</v>
      </c>
      <c r="AM299" s="264"/>
      <c r="AN299" s="288"/>
      <c r="AO299" s="135">
        <f t="shared" si="32"/>
        <v>765879</v>
      </c>
      <c r="AP299" s="166">
        <f>0.7%+0.04%+0.12%</f>
        <v>0.0086</v>
      </c>
      <c r="AQ299" s="237">
        <f t="shared" si="33"/>
        <v>0</v>
      </c>
      <c r="AR299" s="184"/>
      <c r="AS299" s="184"/>
      <c r="AT299" s="184"/>
      <c r="AU299" s="184"/>
      <c r="AV299" s="184"/>
      <c r="AW299" s="184"/>
      <c r="AX299" s="184"/>
      <c r="AY299" s="184"/>
      <c r="AZ299" s="184"/>
      <c r="BA299" s="268"/>
      <c r="BB299" s="184"/>
      <c r="BC299" s="268"/>
      <c r="BG299" s="135">
        <v>155879</v>
      </c>
      <c r="BH299" s="135">
        <v>610000</v>
      </c>
      <c r="BT299" s="135" t="s">
        <v>496</v>
      </c>
      <c r="BU299" s="135" t="s">
        <v>506</v>
      </c>
      <c r="BY299" s="135">
        <f>BW299-BX299</f>
        <v>0</v>
      </c>
    </row>
    <row r="300" s="135" customFormat="1" customHeight="1" spans="1:73">
      <c r="A300" s="132">
        <v>249</v>
      </c>
      <c r="C300" s="135" t="s">
        <v>3883</v>
      </c>
      <c r="D300" s="263" t="s">
        <v>4168</v>
      </c>
      <c r="F300" s="264" t="s">
        <v>4169</v>
      </c>
      <c r="G300" s="262" t="s">
        <v>4170</v>
      </c>
      <c r="H300" s="262"/>
      <c r="I300" s="236" t="s">
        <v>4171</v>
      </c>
      <c r="J300" s="135">
        <v>126.5</v>
      </c>
      <c r="K300" s="135">
        <v>126.5</v>
      </c>
      <c r="L300" s="135">
        <v>6081.38</v>
      </c>
      <c r="M300" s="285">
        <v>769295</v>
      </c>
      <c r="N300" s="286">
        <v>6081.38</v>
      </c>
      <c r="O300" s="190"/>
      <c r="P300" s="263"/>
      <c r="Q300" s="263"/>
      <c r="R300" s="184"/>
      <c r="S300" s="185"/>
      <c r="T300" s="262"/>
      <c r="U300" s="261" t="s">
        <v>508</v>
      </c>
      <c r="V300" s="184">
        <v>9295</v>
      </c>
      <c r="W300" s="185" t="s">
        <v>3388</v>
      </c>
      <c r="X300" s="184">
        <v>150000</v>
      </c>
      <c r="Y300" s="185" t="s">
        <v>3639</v>
      </c>
      <c r="Z300" s="184">
        <v>610000</v>
      </c>
      <c r="AA300" s="185" t="s">
        <v>4172</v>
      </c>
      <c r="AB300" s="184"/>
      <c r="AH300" s="184">
        <f t="shared" si="31"/>
        <v>769295</v>
      </c>
      <c r="AK300" s="190">
        <f t="shared" ref="AK300:AK324" si="37">M300-AH300</f>
        <v>0</v>
      </c>
      <c r="AL300" s="264"/>
      <c r="AM300" s="264"/>
      <c r="AN300" s="288"/>
      <c r="AO300" s="135">
        <f t="shared" si="32"/>
        <v>769295</v>
      </c>
      <c r="AP300" s="166">
        <f>0.7%+0.05%+0.12%</f>
        <v>0.0087</v>
      </c>
      <c r="AQ300" s="237">
        <f t="shared" si="33"/>
        <v>0</v>
      </c>
      <c r="AR300" s="184"/>
      <c r="AS300" s="184"/>
      <c r="AT300" s="184"/>
      <c r="AU300" s="184"/>
      <c r="AV300" s="184"/>
      <c r="AW300" s="184"/>
      <c r="AX300" s="184"/>
      <c r="AY300" s="184"/>
      <c r="AZ300" s="184"/>
      <c r="BA300" s="268"/>
      <c r="BB300" s="184"/>
      <c r="BC300" s="268"/>
      <c r="BH300" s="135">
        <v>159295</v>
      </c>
      <c r="BI300" s="135">
        <v>610000</v>
      </c>
      <c r="BT300" s="135" t="s">
        <v>496</v>
      </c>
      <c r="BU300" s="135" t="s">
        <v>506</v>
      </c>
    </row>
    <row r="301" s="135" customFormat="1" customHeight="1" spans="1:73">
      <c r="A301" s="132">
        <v>250</v>
      </c>
      <c r="C301" s="155">
        <v>45483</v>
      </c>
      <c r="D301" s="263" t="s">
        <v>4173</v>
      </c>
      <c r="F301" s="264" t="s">
        <v>4174</v>
      </c>
      <c r="G301" s="164" t="s">
        <v>4175</v>
      </c>
      <c r="H301" s="164"/>
      <c r="I301" s="232" t="s">
        <v>4176</v>
      </c>
      <c r="J301" s="135">
        <v>126.5</v>
      </c>
      <c r="K301" s="135">
        <v>126.5</v>
      </c>
      <c r="L301" s="135">
        <v>6119</v>
      </c>
      <c r="M301" s="285">
        <v>774053</v>
      </c>
      <c r="N301" s="286">
        <v>6074.38</v>
      </c>
      <c r="O301" s="288"/>
      <c r="P301" s="263"/>
      <c r="Q301" s="263"/>
      <c r="R301" s="184"/>
      <c r="S301" s="185"/>
      <c r="T301" s="220"/>
      <c r="U301" s="185" t="s">
        <v>515</v>
      </c>
      <c r="V301" s="184">
        <v>145053</v>
      </c>
      <c r="W301" s="185" t="s">
        <v>3244</v>
      </c>
      <c r="X301" s="184">
        <v>10000</v>
      </c>
      <c r="Y301" s="292" t="s">
        <v>4177</v>
      </c>
      <c r="Z301" s="184">
        <v>619000</v>
      </c>
      <c r="AA301" s="185">
        <v>45540</v>
      </c>
      <c r="AB301" s="184"/>
      <c r="AH301" s="184">
        <f t="shared" si="31"/>
        <v>774053</v>
      </c>
      <c r="AK301" s="190">
        <f t="shared" si="37"/>
        <v>0</v>
      </c>
      <c r="AL301" s="264" t="s">
        <v>4178</v>
      </c>
      <c r="AM301" s="264"/>
      <c r="AN301" s="288"/>
      <c r="AO301" s="135">
        <f t="shared" si="32"/>
        <v>774053</v>
      </c>
      <c r="AP301" s="198">
        <f>0.7%+0.03%+0.08%</f>
        <v>0.0081</v>
      </c>
      <c r="AQ301" s="237">
        <f t="shared" si="33"/>
        <v>0</v>
      </c>
      <c r="AR301" s="184"/>
      <c r="AS301" s="184"/>
      <c r="AT301" s="184"/>
      <c r="AU301" s="184"/>
      <c r="AV301" s="184"/>
      <c r="AW301" s="184"/>
      <c r="AX301" s="184"/>
      <c r="AY301" s="184"/>
      <c r="AZ301" s="184"/>
      <c r="BA301" s="268"/>
      <c r="BB301" s="184"/>
      <c r="BC301" s="268"/>
      <c r="BK301" s="135">
        <v>155053</v>
      </c>
      <c r="BM301" s="135">
        <v>619000</v>
      </c>
      <c r="BT301" s="135" t="s">
        <v>496</v>
      </c>
      <c r="BU301" s="135" t="s">
        <v>506</v>
      </c>
    </row>
    <row r="302" s="132" customFormat="1" customHeight="1" spans="1:55">
      <c r="A302" s="132">
        <v>251</v>
      </c>
      <c r="D302" s="279"/>
      <c r="F302" s="276"/>
      <c r="G302" s="219"/>
      <c r="H302" s="219"/>
      <c r="I302" s="230" t="s">
        <v>4179</v>
      </c>
      <c r="J302" s="283">
        <v>126.5</v>
      </c>
      <c r="M302" s="270"/>
      <c r="N302" s="271">
        <v>7084</v>
      </c>
      <c r="O302" s="289"/>
      <c r="P302" s="279"/>
      <c r="Q302" s="279"/>
      <c r="R302" s="215"/>
      <c r="S302" s="265"/>
      <c r="T302" s="266"/>
      <c r="U302" s="265"/>
      <c r="V302" s="215"/>
      <c r="W302" s="273"/>
      <c r="X302" s="215"/>
      <c r="Y302" s="275"/>
      <c r="AB302" s="215"/>
      <c r="AH302" s="215">
        <f t="shared" si="31"/>
        <v>0</v>
      </c>
      <c r="AK302" s="173">
        <f t="shared" si="37"/>
        <v>0</v>
      </c>
      <c r="AL302" s="276"/>
      <c r="AM302" s="276"/>
      <c r="AN302" s="289"/>
      <c r="AO302" s="132">
        <f t="shared" si="32"/>
        <v>0</v>
      </c>
      <c r="AP302" s="157"/>
      <c r="AQ302" s="251">
        <f t="shared" si="33"/>
        <v>0</v>
      </c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67"/>
      <c r="BB302" s="215"/>
      <c r="BC302" s="267"/>
    </row>
    <row r="303" s="132" customFormat="1" customHeight="1" spans="1:55">
      <c r="A303" s="132">
        <v>252</v>
      </c>
      <c r="D303" s="279"/>
      <c r="F303" s="276"/>
      <c r="G303" s="219"/>
      <c r="H303" s="219"/>
      <c r="I303" s="228" t="s">
        <v>4180</v>
      </c>
      <c r="J303" s="283">
        <v>126.5</v>
      </c>
      <c r="M303" s="270"/>
      <c r="N303" s="271">
        <v>7074</v>
      </c>
      <c r="O303" s="289"/>
      <c r="P303" s="279"/>
      <c r="Q303" s="279"/>
      <c r="R303" s="215"/>
      <c r="S303" s="216"/>
      <c r="T303" s="266"/>
      <c r="U303" s="219"/>
      <c r="V303" s="215"/>
      <c r="W303" s="274"/>
      <c r="X303" s="215"/>
      <c r="Y303" s="275"/>
      <c r="AB303" s="215"/>
      <c r="AH303" s="215">
        <f t="shared" si="31"/>
        <v>0</v>
      </c>
      <c r="AK303" s="173">
        <f t="shared" si="37"/>
        <v>0</v>
      </c>
      <c r="AL303" s="276"/>
      <c r="AM303" s="276"/>
      <c r="AN303" s="289"/>
      <c r="AO303" s="132">
        <f t="shared" si="32"/>
        <v>0</v>
      </c>
      <c r="AP303" s="157"/>
      <c r="AQ303" s="251">
        <f t="shared" si="33"/>
        <v>0</v>
      </c>
      <c r="AR303" s="215"/>
      <c r="AS303" s="215"/>
      <c r="AT303" s="215"/>
      <c r="AU303" s="215"/>
      <c r="AV303" s="215"/>
      <c r="AW303" s="215"/>
      <c r="AX303" s="215"/>
      <c r="AY303" s="215"/>
      <c r="AZ303" s="215"/>
      <c r="BA303" s="267"/>
      <c r="BB303" s="215"/>
      <c r="BC303" s="267"/>
    </row>
    <row r="304" s="135" customFormat="1" customHeight="1" spans="1:73">
      <c r="A304" s="132">
        <v>253</v>
      </c>
      <c r="C304" s="135" t="s">
        <v>2529</v>
      </c>
      <c r="D304" s="263" t="s">
        <v>4181</v>
      </c>
      <c r="F304" s="264" t="s">
        <v>4182</v>
      </c>
      <c r="G304" s="164" t="s">
        <v>4183</v>
      </c>
      <c r="H304" s="846" t="s">
        <v>4184</v>
      </c>
      <c r="I304" s="232" t="s">
        <v>4185</v>
      </c>
      <c r="J304" s="135">
        <v>128.47</v>
      </c>
      <c r="K304" s="135">
        <v>128.47</v>
      </c>
      <c r="L304" s="135">
        <v>8391.065</v>
      </c>
      <c r="M304" s="285">
        <v>1078000</v>
      </c>
      <c r="N304" s="286">
        <f>8464-72.93</f>
        <v>8391.07</v>
      </c>
      <c r="O304" s="190"/>
      <c r="P304" s="263"/>
      <c r="Q304" s="263"/>
      <c r="R304" s="184"/>
      <c r="S304" s="261"/>
      <c r="T304" s="845" t="s">
        <v>2086</v>
      </c>
      <c r="U304" s="261" t="s">
        <v>594</v>
      </c>
      <c r="V304" s="184">
        <f>10000-10000</f>
        <v>0</v>
      </c>
      <c r="W304" s="261" t="s">
        <v>895</v>
      </c>
      <c r="X304" s="184">
        <f>10000-10000</f>
        <v>0</v>
      </c>
      <c r="Y304" s="261" t="s">
        <v>963</v>
      </c>
      <c r="Z304" s="184">
        <f>28000-28000</f>
        <v>0</v>
      </c>
      <c r="AA304" s="261" t="s">
        <v>1430</v>
      </c>
      <c r="AB304" s="184">
        <v>1000</v>
      </c>
      <c r="AC304" s="135" t="s">
        <v>2529</v>
      </c>
      <c r="AD304" s="184">
        <v>277000</v>
      </c>
      <c r="AE304" s="261" t="s">
        <v>798</v>
      </c>
      <c r="AF304" s="135">
        <v>800000</v>
      </c>
      <c r="AG304" s="135" t="s">
        <v>1000</v>
      </c>
      <c r="AH304" s="184">
        <f t="shared" si="31"/>
        <v>1078000</v>
      </c>
      <c r="AK304" s="190">
        <f t="shared" si="37"/>
        <v>0</v>
      </c>
      <c r="AL304" s="264" t="s">
        <v>4186</v>
      </c>
      <c r="AM304" s="264"/>
      <c r="AN304" s="288"/>
      <c r="AO304" s="135">
        <f t="shared" si="32"/>
        <v>1078000</v>
      </c>
      <c r="AP304" s="162">
        <f>0.6%+0.05%+0.14%</f>
        <v>0.0079</v>
      </c>
      <c r="AQ304" s="237">
        <f t="shared" si="33"/>
        <v>300</v>
      </c>
      <c r="AR304" s="184"/>
      <c r="AS304" s="184"/>
      <c r="AT304" s="184">
        <v>100</v>
      </c>
      <c r="AU304" s="184"/>
      <c r="AV304" s="184">
        <v>200</v>
      </c>
      <c r="AW304" s="184"/>
      <c r="AX304" s="184"/>
      <c r="AY304" s="184"/>
      <c r="AZ304" s="184"/>
      <c r="BA304" s="268"/>
      <c r="BB304" s="184">
        <v>1078000</v>
      </c>
      <c r="BC304" s="268"/>
      <c r="BT304" s="135" t="s">
        <v>496</v>
      </c>
      <c r="BU304" s="135" t="s">
        <v>506</v>
      </c>
    </row>
    <row r="305" s="132" customFormat="1" customHeight="1" spans="1:55">
      <c r="A305" s="132">
        <v>254</v>
      </c>
      <c r="D305" s="279"/>
      <c r="F305" s="276"/>
      <c r="I305" s="230" t="s">
        <v>4187</v>
      </c>
      <c r="J305" s="290">
        <v>109.1</v>
      </c>
      <c r="M305" s="270"/>
      <c r="N305" s="271">
        <v>8654</v>
      </c>
      <c r="O305" s="289"/>
      <c r="P305" s="279"/>
      <c r="Q305" s="279"/>
      <c r="R305" s="215"/>
      <c r="S305" s="216"/>
      <c r="T305" s="266"/>
      <c r="U305" s="265"/>
      <c r="V305" s="215"/>
      <c r="W305" s="275"/>
      <c r="X305" s="215"/>
      <c r="Y305" s="275"/>
      <c r="AB305" s="215"/>
      <c r="AH305" s="215">
        <f t="shared" si="31"/>
        <v>0</v>
      </c>
      <c r="AK305" s="173">
        <f t="shared" si="37"/>
        <v>0</v>
      </c>
      <c r="AL305" s="276"/>
      <c r="AM305" s="276"/>
      <c r="AN305" s="289"/>
      <c r="AO305" s="132">
        <f t="shared" si="32"/>
        <v>0</v>
      </c>
      <c r="AP305" s="157"/>
      <c r="AQ305" s="251">
        <f t="shared" si="33"/>
        <v>0</v>
      </c>
      <c r="AR305" s="215"/>
      <c r="AS305" s="215"/>
      <c r="AT305" s="215"/>
      <c r="AU305" s="215"/>
      <c r="AV305" s="215"/>
      <c r="AW305" s="215"/>
      <c r="AX305" s="215"/>
      <c r="AY305" s="215"/>
      <c r="AZ305" s="215"/>
      <c r="BA305" s="267"/>
      <c r="BB305" s="215"/>
      <c r="BC305" s="267"/>
    </row>
    <row r="306" s="135" customFormat="1" customHeight="1" spans="1:73">
      <c r="A306" s="132">
        <v>255</v>
      </c>
      <c r="C306" s="155">
        <v>45446</v>
      </c>
      <c r="D306" s="263" t="s">
        <v>4188</v>
      </c>
      <c r="F306" s="264" t="s">
        <v>4189</v>
      </c>
      <c r="G306" s="164" t="s">
        <v>4190</v>
      </c>
      <c r="H306" s="846" t="s">
        <v>4191</v>
      </c>
      <c r="I306" s="236" t="s">
        <v>4192</v>
      </c>
      <c r="J306" s="135">
        <v>126.9</v>
      </c>
      <c r="K306" s="135">
        <v>126.9</v>
      </c>
      <c r="L306" s="135">
        <v>5764.1</v>
      </c>
      <c r="M306" s="285">
        <v>731464</v>
      </c>
      <c r="N306" s="286">
        <v>5764.1</v>
      </c>
      <c r="O306" s="288"/>
      <c r="P306" s="263"/>
      <c r="Q306" s="263"/>
      <c r="R306" s="184"/>
      <c r="S306" s="185"/>
      <c r="T306" s="262" t="s">
        <v>4193</v>
      </c>
      <c r="U306" s="261" t="s">
        <v>4194</v>
      </c>
      <c r="V306" s="184">
        <f>10000-10000</f>
        <v>0</v>
      </c>
      <c r="W306" s="261" t="s">
        <v>2160</v>
      </c>
      <c r="X306" s="184">
        <f>10000-10000</f>
        <v>0</v>
      </c>
      <c r="Y306" s="185" t="s">
        <v>1954</v>
      </c>
      <c r="Z306" s="184">
        <v>20000</v>
      </c>
      <c r="AA306" s="185" t="s">
        <v>3803</v>
      </c>
      <c r="AB306" s="184">
        <f>126464+15000</f>
        <v>141464</v>
      </c>
      <c r="AC306" s="185" t="s">
        <v>3394</v>
      </c>
      <c r="AD306" s="184">
        <v>570000</v>
      </c>
      <c r="AE306" s="185" t="s">
        <v>777</v>
      </c>
      <c r="AH306" s="184">
        <f t="shared" si="31"/>
        <v>731464</v>
      </c>
      <c r="AK306" s="190">
        <f t="shared" si="37"/>
        <v>0</v>
      </c>
      <c r="AL306" s="264" t="s">
        <v>4195</v>
      </c>
      <c r="AM306" s="264"/>
      <c r="AN306" s="288"/>
      <c r="AO306" s="135">
        <f t="shared" si="32"/>
        <v>731464</v>
      </c>
      <c r="AP306" s="162">
        <f>0.7%+0.08%</f>
        <v>0.0078</v>
      </c>
      <c r="AQ306" s="237">
        <f t="shared" si="33"/>
        <v>200</v>
      </c>
      <c r="AR306" s="184"/>
      <c r="AS306" s="184"/>
      <c r="AT306" s="184"/>
      <c r="AU306" s="184"/>
      <c r="AV306" s="184">
        <v>200</v>
      </c>
      <c r="AW306" s="184"/>
      <c r="AX306" s="184"/>
      <c r="AY306" s="184"/>
      <c r="AZ306" s="184"/>
      <c r="BA306" s="268"/>
      <c r="BB306" s="184"/>
      <c r="BC306" s="268"/>
      <c r="BJ306" s="135">
        <v>161464</v>
      </c>
      <c r="BL306" s="135">
        <v>570000</v>
      </c>
      <c r="BT306" s="135" t="s">
        <v>496</v>
      </c>
      <c r="BU306" s="135" t="s">
        <v>506</v>
      </c>
    </row>
    <row r="307" s="132" customFormat="1" customHeight="1" spans="1:55">
      <c r="A307" s="132">
        <v>256</v>
      </c>
      <c r="D307" s="279"/>
      <c r="F307" s="276"/>
      <c r="I307" s="228" t="s">
        <v>4196</v>
      </c>
      <c r="J307" s="283">
        <v>126.49</v>
      </c>
      <c r="M307" s="270"/>
      <c r="N307" s="271">
        <v>5758.1</v>
      </c>
      <c r="O307" s="289"/>
      <c r="P307" s="279"/>
      <c r="Q307" s="279"/>
      <c r="R307" s="215"/>
      <c r="S307" s="216"/>
      <c r="T307" s="266"/>
      <c r="U307" s="265"/>
      <c r="V307" s="215"/>
      <c r="W307" s="273"/>
      <c r="X307" s="215"/>
      <c r="Y307" s="275"/>
      <c r="AB307" s="215"/>
      <c r="AH307" s="215">
        <f t="shared" si="31"/>
        <v>0</v>
      </c>
      <c r="AK307" s="173">
        <f t="shared" si="37"/>
        <v>0</v>
      </c>
      <c r="AL307" s="276"/>
      <c r="AM307" s="276"/>
      <c r="AN307" s="289"/>
      <c r="AO307" s="132">
        <f t="shared" si="32"/>
        <v>0</v>
      </c>
      <c r="AP307" s="157"/>
      <c r="AQ307" s="251">
        <f t="shared" si="33"/>
        <v>0</v>
      </c>
      <c r="AR307" s="215"/>
      <c r="AS307" s="215"/>
      <c r="AT307" s="215"/>
      <c r="AU307" s="215"/>
      <c r="AV307" s="215"/>
      <c r="AW307" s="215"/>
      <c r="AX307" s="215"/>
      <c r="AY307" s="215"/>
      <c r="AZ307" s="215"/>
      <c r="BA307" s="267"/>
      <c r="BB307" s="215"/>
      <c r="BC307" s="267"/>
    </row>
    <row r="308" s="135" customFormat="1" customHeight="1" spans="1:73">
      <c r="A308" s="132">
        <v>257</v>
      </c>
      <c r="C308" s="135" t="s">
        <v>646</v>
      </c>
      <c r="D308" s="263" t="s">
        <v>4197</v>
      </c>
      <c r="F308" s="264" t="s">
        <v>4198</v>
      </c>
      <c r="G308" s="135" t="s">
        <v>4199</v>
      </c>
      <c r="H308" s="834" t="s">
        <v>4200</v>
      </c>
      <c r="I308" s="236" t="s">
        <v>4201</v>
      </c>
      <c r="J308" s="135">
        <v>126.9</v>
      </c>
      <c r="K308" s="135">
        <v>126.9</v>
      </c>
      <c r="L308" s="135">
        <v>5800</v>
      </c>
      <c r="M308" s="285">
        <v>736020</v>
      </c>
      <c r="N308" s="286">
        <f>5808.38-8.38</f>
        <v>5800</v>
      </c>
      <c r="O308" s="190"/>
      <c r="P308" s="263"/>
      <c r="Q308" s="263"/>
      <c r="R308" s="184"/>
      <c r="S308" s="185"/>
      <c r="T308" s="220"/>
      <c r="U308" s="185" t="s">
        <v>508</v>
      </c>
      <c r="V308" s="184">
        <v>20000</v>
      </c>
      <c r="W308" s="185" t="s">
        <v>646</v>
      </c>
      <c r="X308" s="184">
        <v>201020</v>
      </c>
      <c r="Y308" s="185" t="s">
        <v>541</v>
      </c>
      <c r="Z308" s="184">
        <v>515000</v>
      </c>
      <c r="AA308" s="185" t="s">
        <v>698</v>
      </c>
      <c r="AB308" s="184"/>
      <c r="AH308" s="184">
        <f t="shared" si="31"/>
        <v>736020</v>
      </c>
      <c r="AK308" s="190">
        <f t="shared" si="37"/>
        <v>0</v>
      </c>
      <c r="AL308" s="264" t="s">
        <v>4202</v>
      </c>
      <c r="AM308" s="264"/>
      <c r="AN308" s="288"/>
      <c r="AO308" s="135">
        <f t="shared" si="32"/>
        <v>736020</v>
      </c>
      <c r="AP308" s="162">
        <f>0.4%+0.04%+0.12%</f>
        <v>0.0056</v>
      </c>
      <c r="AQ308" s="237">
        <f t="shared" si="33"/>
        <v>0</v>
      </c>
      <c r="AR308" s="184"/>
      <c r="AS308" s="184"/>
      <c r="AT308" s="184"/>
      <c r="AU308" s="184"/>
      <c r="AV308" s="184"/>
      <c r="AW308" s="184"/>
      <c r="AX308" s="184"/>
      <c r="AY308" s="184"/>
      <c r="AZ308" s="184"/>
      <c r="BA308" s="268"/>
      <c r="BB308" s="184">
        <v>221020</v>
      </c>
      <c r="BC308" s="268"/>
      <c r="BD308" s="135">
        <v>515000</v>
      </c>
      <c r="BT308" s="135" t="s">
        <v>496</v>
      </c>
      <c r="BU308" s="135" t="s">
        <v>506</v>
      </c>
    </row>
    <row r="309" s="135" customFormat="1" customHeight="1" spans="1:73">
      <c r="A309" s="132">
        <v>258</v>
      </c>
      <c r="C309" s="135" t="s">
        <v>639</v>
      </c>
      <c r="D309" s="263" t="s">
        <v>4203</v>
      </c>
      <c r="F309" s="264"/>
      <c r="G309" s="262" t="s">
        <v>4204</v>
      </c>
      <c r="H309" s="846" t="s">
        <v>4205</v>
      </c>
      <c r="I309" s="232" t="s">
        <v>4206</v>
      </c>
      <c r="J309" s="135">
        <v>126.49</v>
      </c>
      <c r="K309" s="135">
        <v>126.49</v>
      </c>
      <c r="L309" s="135">
        <v>5850</v>
      </c>
      <c r="M309" s="285">
        <v>739967</v>
      </c>
      <c r="N309" s="286">
        <v>5808.38</v>
      </c>
      <c r="O309" s="190"/>
      <c r="P309" s="263"/>
      <c r="Q309" s="263"/>
      <c r="R309" s="184"/>
      <c r="S309" s="261"/>
      <c r="T309" s="262"/>
      <c r="U309" s="261" t="s">
        <v>508</v>
      </c>
      <c r="V309" s="184">
        <v>20000</v>
      </c>
      <c r="W309" s="261" t="s">
        <v>1840</v>
      </c>
      <c r="X309" s="184">
        <v>419967</v>
      </c>
      <c r="Y309" s="261" t="s">
        <v>639</v>
      </c>
      <c r="Z309" s="135">
        <v>300000</v>
      </c>
      <c r="AA309" s="135" t="s">
        <v>690</v>
      </c>
      <c r="AB309" s="184"/>
      <c r="AH309" s="184">
        <f t="shared" si="31"/>
        <v>739967</v>
      </c>
      <c r="AK309" s="190">
        <f t="shared" si="37"/>
        <v>0</v>
      </c>
      <c r="AL309" s="264" t="s">
        <v>4207</v>
      </c>
      <c r="AM309" s="264"/>
      <c r="AN309" s="288"/>
      <c r="AO309" s="135">
        <f t="shared" si="32"/>
        <v>739967</v>
      </c>
      <c r="AP309" s="162">
        <f>0.4%+0.05%+0.12%</f>
        <v>0.0057</v>
      </c>
      <c r="AQ309" s="237">
        <f t="shared" si="33"/>
        <v>0</v>
      </c>
      <c r="AR309" s="184"/>
      <c r="AS309" s="184"/>
      <c r="AT309" s="184"/>
      <c r="AU309" s="184"/>
      <c r="AV309" s="184"/>
      <c r="AW309" s="184"/>
      <c r="AX309" s="184"/>
      <c r="AY309" s="184"/>
      <c r="AZ309" s="184"/>
      <c r="BA309" s="268"/>
      <c r="BB309" s="184">
        <v>739967</v>
      </c>
      <c r="BC309" s="268"/>
      <c r="BT309" s="135" t="s">
        <v>496</v>
      </c>
      <c r="BU309" s="135" t="s">
        <v>506</v>
      </c>
    </row>
    <row r="310" s="135" customFormat="1" customHeight="1" spans="1:73">
      <c r="A310" s="132">
        <v>259</v>
      </c>
      <c r="C310" s="135" t="s">
        <v>784</v>
      </c>
      <c r="D310" s="263" t="s">
        <v>4208</v>
      </c>
      <c r="F310" s="264" t="s">
        <v>4209</v>
      </c>
      <c r="G310" s="164" t="s">
        <v>4210</v>
      </c>
      <c r="H310" s="846" t="s">
        <v>4211</v>
      </c>
      <c r="I310" s="236" t="s">
        <v>4212</v>
      </c>
      <c r="J310" s="135">
        <v>126.9</v>
      </c>
      <c r="K310" s="135">
        <v>126.9</v>
      </c>
      <c r="L310" s="135">
        <v>5844.38</v>
      </c>
      <c r="M310" s="285">
        <v>741652</v>
      </c>
      <c r="N310" s="286">
        <v>5844.38</v>
      </c>
      <c r="O310" s="190"/>
      <c r="P310" s="263"/>
      <c r="Q310" s="263"/>
      <c r="R310" s="184"/>
      <c r="S310" s="185"/>
      <c r="T310" s="220"/>
      <c r="U310" s="185" t="s">
        <v>515</v>
      </c>
      <c r="V310" s="184">
        <v>20000</v>
      </c>
      <c r="W310" s="185" t="s">
        <v>646</v>
      </c>
      <c r="X310" s="184">
        <f>80000+51652</f>
        <v>131652</v>
      </c>
      <c r="Y310" s="185" t="s">
        <v>541</v>
      </c>
      <c r="Z310" s="184">
        <v>590000</v>
      </c>
      <c r="AA310" s="185" t="s">
        <v>4213</v>
      </c>
      <c r="AB310" s="184"/>
      <c r="AH310" s="184">
        <f t="shared" si="31"/>
        <v>741652</v>
      </c>
      <c r="AK310" s="190">
        <f t="shared" si="37"/>
        <v>0</v>
      </c>
      <c r="AL310" s="264" t="s">
        <v>4214</v>
      </c>
      <c r="AM310" s="264"/>
      <c r="AN310" s="288"/>
      <c r="AO310" s="135">
        <f t="shared" si="32"/>
        <v>741652</v>
      </c>
      <c r="AP310" s="162">
        <f>0.4%+0.02%+0.12%</f>
        <v>0.0054</v>
      </c>
      <c r="AQ310" s="237">
        <f t="shared" si="33"/>
        <v>0</v>
      </c>
      <c r="AR310" s="184"/>
      <c r="AS310" s="184"/>
      <c r="AT310" s="184"/>
      <c r="AU310" s="184"/>
      <c r="AV310" s="184"/>
      <c r="AW310" s="184"/>
      <c r="AX310" s="184"/>
      <c r="AY310" s="184"/>
      <c r="AZ310" s="184"/>
      <c r="BA310" s="268"/>
      <c r="BB310" s="184">
        <v>151652</v>
      </c>
      <c r="BC310" s="268"/>
      <c r="BD310" s="135">
        <v>590000</v>
      </c>
      <c r="BT310" s="135" t="s">
        <v>496</v>
      </c>
      <c r="BU310" s="135" t="s">
        <v>506</v>
      </c>
    </row>
    <row r="311" s="135" customFormat="1" customHeight="1" spans="1:73">
      <c r="A311" s="132">
        <v>260</v>
      </c>
      <c r="C311" s="135" t="s">
        <v>907</v>
      </c>
      <c r="D311" s="263" t="s">
        <v>4215</v>
      </c>
      <c r="F311" s="264"/>
      <c r="G311" s="164" t="s">
        <v>4216</v>
      </c>
      <c r="H311" s="164"/>
      <c r="I311" s="232" t="s">
        <v>4217</v>
      </c>
      <c r="J311" s="135">
        <v>126.49</v>
      </c>
      <c r="K311" s="135">
        <v>126.49</v>
      </c>
      <c r="L311" s="135">
        <v>5838.38</v>
      </c>
      <c r="M311" s="285">
        <v>738497</v>
      </c>
      <c r="N311" s="286">
        <v>5838.38</v>
      </c>
      <c r="O311" s="190"/>
      <c r="P311" s="263"/>
      <c r="Q311" s="263"/>
      <c r="R311" s="184"/>
      <c r="S311" s="185"/>
      <c r="T311" s="262"/>
      <c r="U311" s="261" t="s">
        <v>515</v>
      </c>
      <c r="V311" s="184">
        <v>20000</v>
      </c>
      <c r="W311" s="185" t="s">
        <v>690</v>
      </c>
      <c r="X311" s="184">
        <v>128497</v>
      </c>
      <c r="Y311" s="292" t="s">
        <v>907</v>
      </c>
      <c r="Z311" s="184">
        <v>590000</v>
      </c>
      <c r="AA311" s="185" t="s">
        <v>706</v>
      </c>
      <c r="AB311" s="184"/>
      <c r="AH311" s="184">
        <f t="shared" si="31"/>
        <v>738497</v>
      </c>
      <c r="AK311" s="190">
        <f t="shared" si="37"/>
        <v>0</v>
      </c>
      <c r="AL311" s="264"/>
      <c r="AM311" s="264"/>
      <c r="AN311" s="288"/>
      <c r="AO311" s="135">
        <f t="shared" si="32"/>
        <v>738497</v>
      </c>
      <c r="AP311" s="162">
        <f>0.4%+0.02%+0.08%</f>
        <v>0.005</v>
      </c>
      <c r="AQ311" s="237">
        <f t="shared" si="33"/>
        <v>300</v>
      </c>
      <c r="AR311" s="184"/>
      <c r="AS311" s="184"/>
      <c r="AT311" s="184"/>
      <c r="AU311" s="184">
        <v>100</v>
      </c>
      <c r="AV311" s="184">
        <v>200</v>
      </c>
      <c r="AW311" s="184"/>
      <c r="AX311" s="184"/>
      <c r="AY311" s="184"/>
      <c r="AZ311" s="184"/>
      <c r="BA311" s="268"/>
      <c r="BB311" s="184">
        <v>148497</v>
      </c>
      <c r="BC311" s="268"/>
      <c r="BD311" s="135">
        <v>590000</v>
      </c>
      <c r="BT311" s="135" t="s">
        <v>496</v>
      </c>
      <c r="BU311" s="135" t="s">
        <v>506</v>
      </c>
    </row>
    <row r="312" s="135" customFormat="1" customHeight="1" spans="1:73">
      <c r="A312" s="132">
        <v>261</v>
      </c>
      <c r="C312" s="135" t="s">
        <v>1430</v>
      </c>
      <c r="D312" s="263" t="s">
        <v>4218</v>
      </c>
      <c r="F312" s="264" t="s">
        <v>4219</v>
      </c>
      <c r="G312" s="135" t="s">
        <v>4220</v>
      </c>
      <c r="H312" s="834" t="s">
        <v>4221</v>
      </c>
      <c r="I312" s="236" t="s">
        <v>4222</v>
      </c>
      <c r="J312" s="135">
        <v>126.9</v>
      </c>
      <c r="K312" s="135">
        <v>126.9</v>
      </c>
      <c r="L312" s="135">
        <v>5864.38</v>
      </c>
      <c r="M312" s="285">
        <v>744190</v>
      </c>
      <c r="N312" s="286">
        <f>5914.38-50</f>
        <v>5864.38</v>
      </c>
      <c r="O312" s="190"/>
      <c r="P312" s="263"/>
      <c r="Q312" s="263"/>
      <c r="R312" s="184"/>
      <c r="S312" s="185"/>
      <c r="T312" s="220"/>
      <c r="U312" s="135" t="s">
        <v>1427</v>
      </c>
      <c r="V312" s="184">
        <v>20000</v>
      </c>
      <c r="W312" s="155" t="s">
        <v>1308</v>
      </c>
      <c r="X312" s="184">
        <f>200000+238190+36000</f>
        <v>474190</v>
      </c>
      <c r="Y312" s="185" t="s">
        <v>963</v>
      </c>
      <c r="Z312" s="184">
        <v>250000</v>
      </c>
      <c r="AA312" s="185" t="s">
        <v>2378</v>
      </c>
      <c r="AB312" s="184"/>
      <c r="AH312" s="184">
        <f t="shared" si="31"/>
        <v>744190</v>
      </c>
      <c r="AK312" s="190">
        <f t="shared" si="37"/>
        <v>0</v>
      </c>
      <c r="AL312" s="264" t="s">
        <v>4223</v>
      </c>
      <c r="AM312" s="264"/>
      <c r="AN312" s="288"/>
      <c r="AO312" s="135">
        <f t="shared" si="32"/>
        <v>744190</v>
      </c>
      <c r="AP312" s="162">
        <f>0.5%+0.04%+0.14%</f>
        <v>0.0068</v>
      </c>
      <c r="AQ312" s="237">
        <f t="shared" si="33"/>
        <v>0</v>
      </c>
      <c r="AR312" s="184"/>
      <c r="AS312" s="184"/>
      <c r="AT312" s="184"/>
      <c r="AU312" s="184"/>
      <c r="AV312" s="184"/>
      <c r="AW312" s="184"/>
      <c r="AX312" s="184"/>
      <c r="AY312" s="184"/>
      <c r="AZ312" s="184">
        <v>494190</v>
      </c>
      <c r="BA312" s="268"/>
      <c r="BB312" s="184"/>
      <c r="BC312" s="268">
        <v>250000</v>
      </c>
      <c r="BT312" s="135" t="s">
        <v>496</v>
      </c>
      <c r="BU312" s="135" t="s">
        <v>506</v>
      </c>
    </row>
    <row r="313" s="135" customFormat="1" customHeight="1" spans="1:73">
      <c r="A313" s="132">
        <v>262</v>
      </c>
      <c r="C313" s="135" t="s">
        <v>656</v>
      </c>
      <c r="D313" s="263" t="s">
        <v>4224</v>
      </c>
      <c r="F313" s="264" t="s">
        <v>4225</v>
      </c>
      <c r="G313" s="164" t="s">
        <v>4226</v>
      </c>
      <c r="H313" s="834" t="s">
        <v>4227</v>
      </c>
      <c r="I313" s="232" t="s">
        <v>4228</v>
      </c>
      <c r="J313" s="135">
        <v>126.49</v>
      </c>
      <c r="K313" s="135">
        <v>126.49</v>
      </c>
      <c r="L313" s="135">
        <v>5858.38</v>
      </c>
      <c r="M313" s="285">
        <v>741027</v>
      </c>
      <c r="N313" s="286">
        <f>5908.38-50</f>
        <v>5858.38</v>
      </c>
      <c r="O313" s="190"/>
      <c r="P313" s="263"/>
      <c r="Q313" s="263"/>
      <c r="R313" s="184"/>
      <c r="S313" s="185"/>
      <c r="T313" s="845" t="s">
        <v>1970</v>
      </c>
      <c r="U313" s="261" t="s">
        <v>977</v>
      </c>
      <c r="V313" s="184">
        <f>10000</f>
        <v>10000</v>
      </c>
      <c r="W313" s="261" t="s">
        <v>4229</v>
      </c>
      <c r="X313" s="184">
        <f>10000+151027</f>
        <v>161027</v>
      </c>
      <c r="Y313" s="185" t="s">
        <v>963</v>
      </c>
      <c r="Z313" s="184">
        <v>130000</v>
      </c>
      <c r="AA313" s="185" t="s">
        <v>1524</v>
      </c>
      <c r="AB313" s="184">
        <v>440000</v>
      </c>
      <c r="AC313" s="185" t="s">
        <v>4230</v>
      </c>
      <c r="AH313" s="184">
        <f t="shared" si="31"/>
        <v>741027</v>
      </c>
      <c r="AK313" s="190">
        <f t="shared" si="37"/>
        <v>0</v>
      </c>
      <c r="AL313" s="264" t="s">
        <v>4231</v>
      </c>
      <c r="AM313" s="264"/>
      <c r="AN313" s="288"/>
      <c r="AO313" s="135">
        <f t="shared" si="32"/>
        <v>741027</v>
      </c>
      <c r="AP313" s="162">
        <f>0.7%+0.14%</f>
        <v>0.0084</v>
      </c>
      <c r="AQ313" s="237">
        <f t="shared" si="33"/>
        <v>300</v>
      </c>
      <c r="AR313" s="237"/>
      <c r="AS313" s="184">
        <v>100</v>
      </c>
      <c r="AT313" s="184"/>
      <c r="AU313" s="184"/>
      <c r="AV313" s="184">
        <v>200</v>
      </c>
      <c r="AW313" s="184"/>
      <c r="AX313" s="184"/>
      <c r="AY313" s="184"/>
      <c r="AZ313" s="184"/>
      <c r="BB313" s="184"/>
      <c r="BC313" s="135">
        <v>301027</v>
      </c>
      <c r="BD313" s="135">
        <v>440000</v>
      </c>
      <c r="BT313" s="135" t="s">
        <v>496</v>
      </c>
      <c r="BU313" s="135" t="s">
        <v>506</v>
      </c>
    </row>
    <row r="314" s="135" customFormat="1" customHeight="1" spans="1:73">
      <c r="A314" s="132">
        <v>263</v>
      </c>
      <c r="C314" s="135" t="s">
        <v>4232</v>
      </c>
      <c r="D314" s="263" t="s">
        <v>4233</v>
      </c>
      <c r="F314" s="264" t="s">
        <v>4234</v>
      </c>
      <c r="G314" s="135" t="s">
        <v>4235</v>
      </c>
      <c r="H314" s="834" t="s">
        <v>3267</v>
      </c>
      <c r="I314" s="236" t="s">
        <v>4236</v>
      </c>
      <c r="J314" s="135">
        <v>126.9</v>
      </c>
      <c r="K314" s="135">
        <v>126.9</v>
      </c>
      <c r="L314" s="135">
        <v>5980</v>
      </c>
      <c r="M314" s="285">
        <f>K314*L314</f>
        <v>758862</v>
      </c>
      <c r="N314" s="286">
        <v>5979.38</v>
      </c>
      <c r="O314" s="190"/>
      <c r="P314" s="263"/>
      <c r="Q314" s="263"/>
      <c r="R314" s="184"/>
      <c r="S314" s="185"/>
      <c r="T314" s="220"/>
      <c r="U314" s="185" t="s">
        <v>709</v>
      </c>
      <c r="V314" s="184">
        <v>20000</v>
      </c>
      <c r="W314" s="185" t="s">
        <v>1840</v>
      </c>
      <c r="X314" s="184">
        <v>238862</v>
      </c>
      <c r="Y314" s="185" t="s">
        <v>4232</v>
      </c>
      <c r="Z314" s="184">
        <v>500000</v>
      </c>
      <c r="AA314" s="185" t="s">
        <v>762</v>
      </c>
      <c r="AB314" s="184"/>
      <c r="AH314" s="184">
        <f t="shared" si="31"/>
        <v>758862</v>
      </c>
      <c r="AK314" s="190">
        <f t="shared" si="37"/>
        <v>0</v>
      </c>
      <c r="AL314" s="264" t="s">
        <v>4237</v>
      </c>
      <c r="AM314" s="264"/>
      <c r="AN314" s="288"/>
      <c r="AO314" s="135">
        <f t="shared" si="32"/>
        <v>758862</v>
      </c>
      <c r="AP314" s="162">
        <f>0.7%+0.12%</f>
        <v>0.0082</v>
      </c>
      <c r="AQ314" s="237">
        <f t="shared" si="33"/>
        <v>100</v>
      </c>
      <c r="AR314" s="237">
        <v>100</v>
      </c>
      <c r="AS314" s="184"/>
      <c r="AT314" s="184"/>
      <c r="AU314" s="184"/>
      <c r="AV314" s="184"/>
      <c r="AW314" s="184"/>
      <c r="AX314" s="184"/>
      <c r="AY314" s="184"/>
      <c r="AZ314" s="184"/>
      <c r="BA314" s="268"/>
      <c r="BB314" s="184"/>
      <c r="BC314" s="268"/>
      <c r="BD314" s="135">
        <v>258862</v>
      </c>
      <c r="BE314" s="135">
        <v>500000</v>
      </c>
      <c r="BT314" s="135" t="s">
        <v>496</v>
      </c>
      <c r="BU314" s="135" t="s">
        <v>506</v>
      </c>
    </row>
    <row r="315" s="135" customFormat="1" customHeight="1" spans="1:73">
      <c r="A315" s="132">
        <v>264</v>
      </c>
      <c r="C315" s="135" t="s">
        <v>1019</v>
      </c>
      <c r="D315" s="263" t="s">
        <v>4238</v>
      </c>
      <c r="F315" s="264" t="s">
        <v>4239</v>
      </c>
      <c r="G315" s="164" t="s">
        <v>4240</v>
      </c>
      <c r="H315" s="846" t="s">
        <v>4241</v>
      </c>
      <c r="I315" s="232" t="s">
        <v>4242</v>
      </c>
      <c r="J315" s="135">
        <v>126.49</v>
      </c>
      <c r="K315" s="135">
        <v>126.49</v>
      </c>
      <c r="L315" s="135">
        <v>5923.38</v>
      </c>
      <c r="M315" s="285">
        <v>749248</v>
      </c>
      <c r="N315" s="286">
        <f>5973.38-50</f>
        <v>5923.38</v>
      </c>
      <c r="O315" s="190"/>
      <c r="P315" s="263"/>
      <c r="Q315" s="263"/>
      <c r="R315" s="184"/>
      <c r="S315" s="261"/>
      <c r="T315" s="845" t="s">
        <v>2897</v>
      </c>
      <c r="U315" s="261" t="s">
        <v>508</v>
      </c>
      <c r="V315" s="184">
        <v>10000</v>
      </c>
      <c r="W315" s="261" t="s">
        <v>2947</v>
      </c>
      <c r="X315" s="184">
        <f>90000+100248</f>
        <v>190248</v>
      </c>
      <c r="Y315" s="261" t="s">
        <v>963</v>
      </c>
      <c r="Z315" s="184">
        <v>549000</v>
      </c>
      <c r="AA315" s="261" t="s">
        <v>1580</v>
      </c>
      <c r="AB315" s="184"/>
      <c r="AH315" s="184">
        <f t="shared" si="31"/>
        <v>749248</v>
      </c>
      <c r="AK315" s="190">
        <f t="shared" si="37"/>
        <v>0</v>
      </c>
      <c r="AL315" s="264" t="s">
        <v>4243</v>
      </c>
      <c r="AM315" s="264"/>
      <c r="AN315" s="288"/>
      <c r="AO315" s="135">
        <f t="shared" si="32"/>
        <v>749248</v>
      </c>
      <c r="AP315" s="162">
        <f>0.5%+0.05%+0.14%</f>
        <v>0.0069</v>
      </c>
      <c r="AQ315" s="237">
        <f t="shared" si="33"/>
        <v>300</v>
      </c>
      <c r="AR315" s="184"/>
      <c r="AS315" s="184"/>
      <c r="AT315" s="184">
        <v>100</v>
      </c>
      <c r="AU315" s="184"/>
      <c r="AV315" s="184">
        <v>200</v>
      </c>
      <c r="AW315" s="184"/>
      <c r="AX315" s="184"/>
      <c r="AY315" s="184"/>
      <c r="AZ315" s="184">
        <v>200248</v>
      </c>
      <c r="BA315" s="268"/>
      <c r="BB315" s="184"/>
      <c r="BC315" s="268">
        <v>549000</v>
      </c>
      <c r="BT315" s="135" t="s">
        <v>496</v>
      </c>
      <c r="BU315" s="135" t="s">
        <v>506</v>
      </c>
    </row>
    <row r="316" s="135" customFormat="1" customHeight="1" spans="1:73">
      <c r="A316" s="132">
        <v>265</v>
      </c>
      <c r="C316" s="135" t="s">
        <v>2694</v>
      </c>
      <c r="D316" s="263" t="s">
        <v>4244</v>
      </c>
      <c r="F316" s="264" t="s">
        <v>4245</v>
      </c>
      <c r="G316" s="164" t="s">
        <v>4246</v>
      </c>
      <c r="H316" s="846" t="s">
        <v>4247</v>
      </c>
      <c r="I316" s="236" t="s">
        <v>4248</v>
      </c>
      <c r="J316" s="135">
        <v>126.9</v>
      </c>
      <c r="K316" s="135">
        <v>126.9</v>
      </c>
      <c r="L316" s="135">
        <v>6024.38</v>
      </c>
      <c r="M316" s="285">
        <v>764494</v>
      </c>
      <c r="N316" s="286">
        <v>6024.38</v>
      </c>
      <c r="O316" s="190"/>
      <c r="P316" s="263"/>
      <c r="Q316" s="263"/>
      <c r="R316" s="184"/>
      <c r="S316" s="261"/>
      <c r="T316" s="262" t="s">
        <v>4249</v>
      </c>
      <c r="U316" s="261" t="s">
        <v>4250</v>
      </c>
      <c r="V316" s="184">
        <f>10000-10000</f>
        <v>0</v>
      </c>
      <c r="W316" s="261" t="s">
        <v>2052</v>
      </c>
      <c r="X316" s="135">
        <v>20000</v>
      </c>
      <c r="Y316" s="135" t="s">
        <v>4251</v>
      </c>
      <c r="Z316" s="184">
        <v>134494</v>
      </c>
      <c r="AA316" s="292" t="s">
        <v>2694</v>
      </c>
      <c r="AB316" s="184">
        <v>610000</v>
      </c>
      <c r="AC316" s="261" t="s">
        <v>2378</v>
      </c>
      <c r="AH316" s="184">
        <f t="shared" si="31"/>
        <v>764494</v>
      </c>
      <c r="AK316" s="190">
        <f t="shared" si="37"/>
        <v>0</v>
      </c>
      <c r="AL316" s="264" t="s">
        <v>4252</v>
      </c>
      <c r="AM316" s="264"/>
      <c r="AN316" s="288"/>
      <c r="AO316" s="135">
        <f t="shared" si="32"/>
        <v>764494</v>
      </c>
      <c r="AP316" s="162">
        <f>0.6%+0.04%+0.12%</f>
        <v>0.0076</v>
      </c>
      <c r="AQ316" s="237">
        <f t="shared" si="33"/>
        <v>100</v>
      </c>
      <c r="AR316" s="237">
        <v>100</v>
      </c>
      <c r="AS316" s="184"/>
      <c r="AT316" s="184"/>
      <c r="AU316" s="184"/>
      <c r="AV316" s="184"/>
      <c r="AW316" s="184"/>
      <c r="AX316" s="184"/>
      <c r="AY316" s="184"/>
      <c r="AZ316" s="184">
        <v>154494</v>
      </c>
      <c r="BA316" s="268"/>
      <c r="BB316" s="184"/>
      <c r="BC316" s="268">
        <v>610000</v>
      </c>
      <c r="BT316" s="135" t="s">
        <v>496</v>
      </c>
      <c r="BU316" s="135" t="s">
        <v>506</v>
      </c>
    </row>
    <row r="317" s="135" customFormat="1" customHeight="1" spans="1:73">
      <c r="A317" s="132">
        <v>266</v>
      </c>
      <c r="C317" s="135" t="s">
        <v>4232</v>
      </c>
      <c r="D317" s="263" t="s">
        <v>4253</v>
      </c>
      <c r="F317" s="264" t="s">
        <v>4254</v>
      </c>
      <c r="G317" s="164" t="s">
        <v>4255</v>
      </c>
      <c r="H317" s="846" t="s">
        <v>3313</v>
      </c>
      <c r="I317" s="232" t="s">
        <v>4256</v>
      </c>
      <c r="J317" s="135">
        <v>126.49</v>
      </c>
      <c r="K317" s="135">
        <v>126.49</v>
      </c>
      <c r="L317" s="135">
        <v>6019</v>
      </c>
      <c r="M317" s="285">
        <v>761343</v>
      </c>
      <c r="N317" s="286">
        <v>6018.38</v>
      </c>
      <c r="O317" s="190"/>
      <c r="P317" s="263"/>
      <c r="Q317" s="263"/>
      <c r="R317" s="184"/>
      <c r="S317" s="185"/>
      <c r="T317" s="262"/>
      <c r="U317" s="261" t="s">
        <v>709</v>
      </c>
      <c r="V317" s="184">
        <f>10000-10000</f>
        <v>0</v>
      </c>
      <c r="W317" s="185" t="s">
        <v>2947</v>
      </c>
      <c r="X317" s="184">
        <v>20000</v>
      </c>
      <c r="Y317" s="185" t="s">
        <v>1840</v>
      </c>
      <c r="Z317" s="184">
        <v>241343</v>
      </c>
      <c r="AA317" s="185" t="s">
        <v>4232</v>
      </c>
      <c r="AB317" s="184">
        <v>500000</v>
      </c>
      <c r="AC317" s="185" t="s">
        <v>762</v>
      </c>
      <c r="AH317" s="184">
        <f t="shared" si="31"/>
        <v>761343</v>
      </c>
      <c r="AK317" s="190">
        <f t="shared" si="37"/>
        <v>0</v>
      </c>
      <c r="AL317" s="264" t="s">
        <v>4257</v>
      </c>
      <c r="AM317" s="264"/>
      <c r="AN317" s="288"/>
      <c r="AO317" s="135">
        <f t="shared" si="32"/>
        <v>761343</v>
      </c>
      <c r="AP317" s="162">
        <f>0.7%+0.12%</f>
        <v>0.0082</v>
      </c>
      <c r="AQ317" s="237">
        <f t="shared" si="33"/>
        <v>100</v>
      </c>
      <c r="AR317" s="237">
        <v>100</v>
      </c>
      <c r="AS317" s="184"/>
      <c r="AT317" s="184"/>
      <c r="AU317" s="184"/>
      <c r="AV317" s="184"/>
      <c r="AW317" s="184"/>
      <c r="AX317" s="184"/>
      <c r="AY317" s="184"/>
      <c r="AZ317" s="184"/>
      <c r="BA317" s="268"/>
      <c r="BB317" s="184"/>
      <c r="BC317" s="268"/>
      <c r="BD317" s="135">
        <v>261343</v>
      </c>
      <c r="BE317" s="135">
        <v>500000</v>
      </c>
      <c r="BT317" s="135" t="s">
        <v>496</v>
      </c>
      <c r="BU317" s="135" t="s">
        <v>506</v>
      </c>
    </row>
    <row r="318" s="135" customFormat="1" customHeight="1" spans="1:73">
      <c r="A318" s="132">
        <v>267</v>
      </c>
      <c r="C318" s="135" t="s">
        <v>2672</v>
      </c>
      <c r="D318" s="263" t="s">
        <v>4258</v>
      </c>
      <c r="F318" s="264" t="s">
        <v>4259</v>
      </c>
      <c r="G318" s="164" t="s">
        <v>4260</v>
      </c>
      <c r="H318" s="846" t="s">
        <v>4261</v>
      </c>
      <c r="I318" s="232" t="s">
        <v>4262</v>
      </c>
      <c r="J318" s="135">
        <v>126.9</v>
      </c>
      <c r="K318" s="135">
        <v>126.9</v>
      </c>
      <c r="L318" s="135">
        <v>5999.38</v>
      </c>
      <c r="M318" s="285">
        <v>761321</v>
      </c>
      <c r="N318" s="286">
        <f>6049.38-50</f>
        <v>5999.38</v>
      </c>
      <c r="O318" s="190"/>
      <c r="P318" s="263"/>
      <c r="Q318" s="263"/>
      <c r="R318" s="184"/>
      <c r="S318" s="185"/>
      <c r="T318" s="845" t="s">
        <v>1293</v>
      </c>
      <c r="U318" s="164" t="s">
        <v>524</v>
      </c>
      <c r="V318" s="184">
        <v>10000</v>
      </c>
      <c r="W318" s="185" t="s">
        <v>1692</v>
      </c>
      <c r="X318" s="184">
        <v>62321</v>
      </c>
      <c r="Y318" s="185" t="s">
        <v>1832</v>
      </c>
      <c r="Z318" s="135">
        <v>80000</v>
      </c>
      <c r="AA318" s="135" t="s">
        <v>1826</v>
      </c>
      <c r="AB318" s="184">
        <v>609000</v>
      </c>
      <c r="AC318" s="135" t="s">
        <v>1524</v>
      </c>
      <c r="AH318" s="184">
        <f t="shared" si="31"/>
        <v>761321</v>
      </c>
      <c r="AK318" s="190">
        <f t="shared" si="37"/>
        <v>0</v>
      </c>
      <c r="AL318" s="264" t="s">
        <v>4263</v>
      </c>
      <c r="AM318" s="264"/>
      <c r="AN318" s="288"/>
      <c r="AO318" s="135">
        <f t="shared" si="32"/>
        <v>761321</v>
      </c>
      <c r="AP318" s="162">
        <f>0.7%+0.05%+0.12%</f>
        <v>0.0087</v>
      </c>
      <c r="AQ318" s="237">
        <f t="shared" si="33"/>
        <v>300</v>
      </c>
      <c r="AR318" s="184"/>
      <c r="AS318" s="184"/>
      <c r="AT318" s="184"/>
      <c r="AU318" s="135">
        <v>100</v>
      </c>
      <c r="AV318" s="184"/>
      <c r="AW318" s="184">
        <v>200</v>
      </c>
      <c r="AX318" s="184"/>
      <c r="AY318" s="184"/>
      <c r="AZ318" s="184">
        <v>152321</v>
      </c>
      <c r="BA318" s="268"/>
      <c r="BB318" s="184"/>
      <c r="BC318" s="268"/>
      <c r="BD318" s="135">
        <v>609000</v>
      </c>
      <c r="BT318" s="135" t="s">
        <v>496</v>
      </c>
      <c r="BU318" s="135" t="s">
        <v>506</v>
      </c>
    </row>
    <row r="319" s="135" customFormat="1" customHeight="1" spans="1:72">
      <c r="A319" s="132">
        <v>268</v>
      </c>
      <c r="D319" s="263"/>
      <c r="F319" s="264" t="s">
        <v>4264</v>
      </c>
      <c r="G319" s="164" t="s">
        <v>4265</v>
      </c>
      <c r="H319" s="164"/>
      <c r="I319" s="291" t="s">
        <v>4266</v>
      </c>
      <c r="J319" s="135">
        <v>126.49</v>
      </c>
      <c r="K319" s="135">
        <v>126.49</v>
      </c>
      <c r="L319" s="135">
        <v>6047.91</v>
      </c>
      <c r="M319" s="285">
        <v>765000</v>
      </c>
      <c r="N319" s="286">
        <v>6043.38</v>
      </c>
      <c r="O319" s="288"/>
      <c r="P319" s="263"/>
      <c r="Q319" s="263"/>
      <c r="R319" s="184"/>
      <c r="S319" s="185"/>
      <c r="T319" s="262"/>
      <c r="U319" s="261" t="s">
        <v>508</v>
      </c>
      <c r="V319" s="184">
        <f>10000-10000</f>
        <v>0</v>
      </c>
      <c r="W319" s="185" t="s">
        <v>2785</v>
      </c>
      <c r="X319" s="184">
        <v>20000</v>
      </c>
      <c r="Y319" s="185" t="s">
        <v>4267</v>
      </c>
      <c r="AB319" s="184"/>
      <c r="AH319" s="184">
        <f t="shared" si="31"/>
        <v>20000</v>
      </c>
      <c r="AK319" s="190">
        <f t="shared" si="37"/>
        <v>745000</v>
      </c>
      <c r="AL319" s="264" t="s">
        <v>4268</v>
      </c>
      <c r="AM319" s="264"/>
      <c r="AN319" s="288"/>
      <c r="AO319" s="135">
        <f t="shared" si="32"/>
        <v>0</v>
      </c>
      <c r="AP319" s="162">
        <f>0.6%+0.02%+0.08%</f>
        <v>0.007</v>
      </c>
      <c r="AQ319" s="237">
        <f t="shared" si="33"/>
        <v>100</v>
      </c>
      <c r="AR319" s="184"/>
      <c r="AS319" s="184">
        <v>100</v>
      </c>
      <c r="AT319" s="184"/>
      <c r="AU319" s="184"/>
      <c r="AV319" s="184"/>
      <c r="AW319" s="184"/>
      <c r="AX319" s="184"/>
      <c r="AY319" s="184"/>
      <c r="AZ319" s="184"/>
      <c r="BA319" s="268"/>
      <c r="BB319" s="184"/>
      <c r="BC319" s="268"/>
      <c r="BT319" s="135" t="s">
        <v>496</v>
      </c>
    </row>
    <row r="320" s="135" customFormat="1" customHeight="1" spans="1:73">
      <c r="A320" s="132">
        <v>269</v>
      </c>
      <c r="C320" s="135" t="s">
        <v>686</v>
      </c>
      <c r="D320" s="263" t="s">
        <v>4269</v>
      </c>
      <c r="F320" s="282" t="s">
        <v>4270</v>
      </c>
      <c r="G320" s="164" t="s">
        <v>4271</v>
      </c>
      <c r="H320" s="164"/>
      <c r="I320" s="236" t="s">
        <v>4272</v>
      </c>
      <c r="J320" s="135">
        <v>126.9</v>
      </c>
      <c r="K320" s="135">
        <v>126.9</v>
      </c>
      <c r="L320" s="135">
        <v>6074.38</v>
      </c>
      <c r="M320" s="285">
        <v>770839</v>
      </c>
      <c r="N320" s="286">
        <v>6074.38</v>
      </c>
      <c r="O320" s="190"/>
      <c r="P320" s="263"/>
      <c r="Q320" s="263"/>
      <c r="R320" s="184"/>
      <c r="S320" s="261"/>
      <c r="T320" s="262"/>
      <c r="U320" s="261" t="s">
        <v>721</v>
      </c>
      <c r="V320" s="184">
        <v>10000</v>
      </c>
      <c r="W320" s="261" t="s">
        <v>646</v>
      </c>
      <c r="X320" s="184">
        <v>390839</v>
      </c>
      <c r="Y320" s="261" t="s">
        <v>541</v>
      </c>
      <c r="Z320" s="184">
        <v>370000</v>
      </c>
      <c r="AA320" s="261" t="s">
        <v>777</v>
      </c>
      <c r="AB320" s="184"/>
      <c r="AH320" s="184">
        <f t="shared" si="31"/>
        <v>770839</v>
      </c>
      <c r="AK320" s="190">
        <f t="shared" si="37"/>
        <v>0</v>
      </c>
      <c r="AL320" s="264" t="s">
        <v>4273</v>
      </c>
      <c r="AM320" s="264"/>
      <c r="AN320" s="288"/>
      <c r="AO320" s="135">
        <f t="shared" si="32"/>
        <v>770839</v>
      </c>
      <c r="AP320" s="162">
        <f>0.7%+0.04%+0.12%</f>
        <v>0.0086</v>
      </c>
      <c r="AQ320" s="237">
        <f t="shared" si="33"/>
        <v>0</v>
      </c>
      <c r="AR320" s="184"/>
      <c r="AS320" s="184"/>
      <c r="AT320" s="184"/>
      <c r="AU320" s="184"/>
      <c r="AV320" s="184"/>
      <c r="AW320" s="184"/>
      <c r="AX320" s="184"/>
      <c r="AY320" s="184"/>
      <c r="AZ320" s="184"/>
      <c r="BA320" s="268"/>
      <c r="BB320" s="184">
        <v>400839</v>
      </c>
      <c r="BC320" s="268"/>
      <c r="BL320" s="135">
        <v>370000</v>
      </c>
      <c r="BT320" s="135" t="s">
        <v>496</v>
      </c>
      <c r="BU320" s="135" t="s">
        <v>506</v>
      </c>
    </row>
    <row r="321" s="135" customFormat="1" ht="41" customHeight="1" spans="1:73">
      <c r="A321" s="132">
        <v>270</v>
      </c>
      <c r="C321" s="135" t="s">
        <v>646</v>
      </c>
      <c r="D321" s="263" t="s">
        <v>4274</v>
      </c>
      <c r="F321" s="264"/>
      <c r="G321" s="164" t="s">
        <v>4275</v>
      </c>
      <c r="H321" s="164"/>
      <c r="I321" s="236" t="s">
        <v>4276</v>
      </c>
      <c r="J321" s="135">
        <v>126.49</v>
      </c>
      <c r="K321" s="135">
        <v>126.49</v>
      </c>
      <c r="L321" s="135">
        <v>6068.385</v>
      </c>
      <c r="M321" s="285">
        <v>767590</v>
      </c>
      <c r="N321" s="286">
        <v>6068.38</v>
      </c>
      <c r="O321" s="190"/>
      <c r="P321" s="263"/>
      <c r="Q321" s="263"/>
      <c r="R321" s="184"/>
      <c r="S321" s="261"/>
      <c r="T321" s="262" t="s">
        <v>4277</v>
      </c>
      <c r="U321" s="261" t="s">
        <v>590</v>
      </c>
      <c r="V321" s="184">
        <f>10000-10000</f>
        <v>0</v>
      </c>
      <c r="W321" s="261" t="s">
        <v>1495</v>
      </c>
      <c r="X321" s="184">
        <v>20000</v>
      </c>
      <c r="Y321" s="261" t="s">
        <v>646</v>
      </c>
      <c r="Z321" s="135">
        <v>407590</v>
      </c>
      <c r="AA321" s="135" t="s">
        <v>646</v>
      </c>
      <c r="AB321" s="184">
        <v>340000</v>
      </c>
      <c r="AC321" s="261" t="s">
        <v>3009</v>
      </c>
      <c r="AH321" s="184">
        <f t="shared" si="31"/>
        <v>767590</v>
      </c>
      <c r="AK321" s="190">
        <f t="shared" si="37"/>
        <v>0</v>
      </c>
      <c r="AL321" s="264"/>
      <c r="AM321" s="264"/>
      <c r="AN321" s="288"/>
      <c r="AO321" s="135">
        <f t="shared" si="32"/>
        <v>767590</v>
      </c>
      <c r="AP321" s="162">
        <f>0.7%+0.05%+0.12%</f>
        <v>0.0087</v>
      </c>
      <c r="AQ321" s="237">
        <f t="shared" si="33"/>
        <v>100</v>
      </c>
      <c r="AR321" s="184"/>
      <c r="AS321" s="184"/>
      <c r="AT321" s="184">
        <v>100</v>
      </c>
      <c r="AU321" s="184"/>
      <c r="AV321" s="184"/>
      <c r="AW321" s="184"/>
      <c r="AX321" s="184"/>
      <c r="AY321" s="184"/>
      <c r="AZ321" s="184"/>
      <c r="BB321" s="184">
        <v>767590</v>
      </c>
      <c r="BT321" s="135" t="s">
        <v>496</v>
      </c>
      <c r="BU321" s="135" t="s">
        <v>506</v>
      </c>
    </row>
    <row r="322" s="135" customFormat="1" customHeight="1" spans="1:73">
      <c r="A322" s="132">
        <v>271</v>
      </c>
      <c r="C322" s="155">
        <v>45418</v>
      </c>
      <c r="D322" s="263" t="s">
        <v>4278</v>
      </c>
      <c r="F322" s="264" t="s">
        <v>4279</v>
      </c>
      <c r="G322" s="262" t="s">
        <v>4280</v>
      </c>
      <c r="H322" s="845" t="s">
        <v>4281</v>
      </c>
      <c r="I322" s="236" t="s">
        <v>4282</v>
      </c>
      <c r="J322" s="135">
        <v>126.9</v>
      </c>
      <c r="K322" s="135">
        <v>126.9</v>
      </c>
      <c r="L322" s="135">
        <v>6095</v>
      </c>
      <c r="M322" s="285">
        <v>773456</v>
      </c>
      <c r="N322" s="286">
        <v>6094.38</v>
      </c>
      <c r="O322" s="288"/>
      <c r="P322" s="263"/>
      <c r="Q322" s="263"/>
      <c r="R322" s="184"/>
      <c r="S322" s="261"/>
      <c r="T322" s="262"/>
      <c r="U322" s="261" t="s">
        <v>502</v>
      </c>
      <c r="V322" s="184">
        <v>20000</v>
      </c>
      <c r="W322" s="261" t="s">
        <v>751</v>
      </c>
      <c r="X322" s="184">
        <v>123456</v>
      </c>
      <c r="Y322" s="261" t="s">
        <v>3451</v>
      </c>
      <c r="Z322" s="135">
        <v>360000</v>
      </c>
      <c r="AA322" s="135" t="s">
        <v>4283</v>
      </c>
      <c r="AB322" s="184">
        <v>70000</v>
      </c>
      <c r="AC322" s="261" t="s">
        <v>855</v>
      </c>
      <c r="AD322" s="184">
        <v>200000</v>
      </c>
      <c r="AE322" s="261" t="s">
        <v>4284</v>
      </c>
      <c r="AH322" s="184">
        <f t="shared" si="31"/>
        <v>773456</v>
      </c>
      <c r="AK322" s="190">
        <f t="shared" si="37"/>
        <v>0</v>
      </c>
      <c r="AL322" s="264" t="s">
        <v>4285</v>
      </c>
      <c r="AM322" s="264"/>
      <c r="AN322" s="288"/>
      <c r="AO322" s="135">
        <f t="shared" si="32"/>
        <v>773456</v>
      </c>
      <c r="AP322" s="166">
        <f>0.6%+0.12%</f>
        <v>0.0072</v>
      </c>
      <c r="AQ322" s="237">
        <f t="shared" si="33"/>
        <v>0</v>
      </c>
      <c r="AR322" s="184"/>
      <c r="AS322" s="184"/>
      <c r="AT322" s="184"/>
      <c r="AU322" s="184"/>
      <c r="AV322" s="184"/>
      <c r="AW322" s="184"/>
      <c r="AX322" s="184"/>
      <c r="AY322" s="184"/>
      <c r="AZ322" s="184"/>
      <c r="BA322" s="268"/>
      <c r="BB322" s="184"/>
      <c r="BC322" s="268"/>
      <c r="BJ322" s="135">
        <v>573456</v>
      </c>
      <c r="BK322" s="135">
        <v>200000</v>
      </c>
      <c r="BT322" s="135" t="s">
        <v>496</v>
      </c>
      <c r="BU322" s="135" t="s">
        <v>506</v>
      </c>
    </row>
    <row r="323" s="135" customFormat="1" customHeight="1" spans="1:73">
      <c r="A323" s="132">
        <v>272</v>
      </c>
      <c r="C323" s="135" t="s">
        <v>1005</v>
      </c>
      <c r="D323" s="263" t="s">
        <v>4286</v>
      </c>
      <c r="F323" s="264" t="s">
        <v>4287</v>
      </c>
      <c r="G323" s="262" t="s">
        <v>4288</v>
      </c>
      <c r="H323" s="846" t="s">
        <v>4289</v>
      </c>
      <c r="I323" s="236" t="s">
        <v>4290</v>
      </c>
      <c r="J323" s="135">
        <v>126.49</v>
      </c>
      <c r="K323" s="135">
        <v>126.49</v>
      </c>
      <c r="L323" s="135">
        <v>6088.38</v>
      </c>
      <c r="M323" s="285">
        <v>770120</v>
      </c>
      <c r="N323" s="286">
        <v>6088.38</v>
      </c>
      <c r="O323" s="288"/>
      <c r="P323" s="263"/>
      <c r="Q323" s="263"/>
      <c r="R323" s="184"/>
      <c r="S323" s="185"/>
      <c r="T323" s="262" t="s">
        <v>4291</v>
      </c>
      <c r="U323" s="261" t="s">
        <v>4292</v>
      </c>
      <c r="V323" s="184">
        <f>10000-10000</f>
        <v>0</v>
      </c>
      <c r="W323" s="293" t="s">
        <v>1428</v>
      </c>
      <c r="X323" s="184">
        <v>20000</v>
      </c>
      <c r="Y323" s="185" t="s">
        <v>520</v>
      </c>
      <c r="Z323" s="184">
        <v>134120</v>
      </c>
      <c r="AA323" s="185" t="s">
        <v>1005</v>
      </c>
      <c r="AB323" s="184">
        <v>616000</v>
      </c>
      <c r="AC323" s="185" t="s">
        <v>671</v>
      </c>
      <c r="AH323" s="184">
        <f t="shared" si="31"/>
        <v>770120</v>
      </c>
      <c r="AK323" s="190">
        <f t="shared" si="37"/>
        <v>0</v>
      </c>
      <c r="AL323" s="264" t="s">
        <v>4293</v>
      </c>
      <c r="AM323" s="264"/>
      <c r="AN323" s="288"/>
      <c r="AO323" s="135">
        <f t="shared" si="32"/>
        <v>770120</v>
      </c>
      <c r="AP323" s="162">
        <f>0.7%+0.12%</f>
        <v>0.0082</v>
      </c>
      <c r="AQ323" s="237">
        <f t="shared" si="33"/>
        <v>0</v>
      </c>
      <c r="AR323" s="184"/>
      <c r="AS323" s="184"/>
      <c r="AT323" s="184"/>
      <c r="AU323" s="184"/>
      <c r="AV323" s="184"/>
      <c r="AW323" s="184"/>
      <c r="AX323" s="184"/>
      <c r="AY323" s="184"/>
      <c r="AZ323" s="184"/>
      <c r="BA323" s="268"/>
      <c r="BB323" s="184"/>
      <c r="BC323" s="268"/>
      <c r="BI323" s="135">
        <v>154120</v>
      </c>
      <c r="BK323" s="135">
        <v>616000</v>
      </c>
      <c r="BT323" s="135" t="s">
        <v>496</v>
      </c>
      <c r="BU323" s="135" t="s">
        <v>506</v>
      </c>
    </row>
    <row r="324" s="135" customFormat="1" customHeight="1" spans="1:73">
      <c r="A324" s="132">
        <v>273</v>
      </c>
      <c r="C324" s="155">
        <v>45362</v>
      </c>
      <c r="D324" s="263" t="s">
        <v>4294</v>
      </c>
      <c r="F324" s="282" t="s">
        <v>4295</v>
      </c>
      <c r="G324" s="164" t="s">
        <v>4296</v>
      </c>
      <c r="H324" s="846" t="s">
        <v>4297</v>
      </c>
      <c r="I324" s="236" t="s">
        <v>4298</v>
      </c>
      <c r="J324" s="135">
        <v>126.9</v>
      </c>
      <c r="K324" s="135">
        <v>126.9</v>
      </c>
      <c r="L324" s="135">
        <v>7120</v>
      </c>
      <c r="M324" s="285">
        <v>903528</v>
      </c>
      <c r="N324" s="286">
        <v>7104</v>
      </c>
      <c r="O324" s="190"/>
      <c r="P324" s="263"/>
      <c r="Q324" s="263"/>
      <c r="R324" s="184"/>
      <c r="S324" s="261"/>
      <c r="T324" s="262"/>
      <c r="U324" s="261" t="s">
        <v>721</v>
      </c>
      <c r="V324" s="184">
        <v>20000</v>
      </c>
      <c r="W324" s="261" t="s">
        <v>4299</v>
      </c>
      <c r="X324" s="184">
        <f>683528+20000</f>
        <v>703528</v>
      </c>
      <c r="Y324" s="261" t="s">
        <v>630</v>
      </c>
      <c r="Z324" s="184">
        <v>180000</v>
      </c>
      <c r="AA324" s="261" t="s">
        <v>817</v>
      </c>
      <c r="AB324" s="184"/>
      <c r="AH324" s="184">
        <f t="shared" si="31"/>
        <v>903528</v>
      </c>
      <c r="AK324" s="190">
        <f t="shared" si="37"/>
        <v>0</v>
      </c>
      <c r="AL324" s="264" t="s">
        <v>4300</v>
      </c>
      <c r="AM324" s="264"/>
      <c r="AN324" s="288"/>
      <c r="AO324" s="135">
        <f t="shared" si="32"/>
        <v>903528</v>
      </c>
      <c r="AP324" s="166">
        <f>0.7%+0.05%+0.14%</f>
        <v>0.0089</v>
      </c>
      <c r="AQ324" s="237">
        <f t="shared" si="33"/>
        <v>0</v>
      </c>
      <c r="AR324" s="184"/>
      <c r="AS324" s="184"/>
      <c r="AT324" s="184"/>
      <c r="AU324" s="184"/>
      <c r="AV324" s="184"/>
      <c r="AW324" s="184"/>
      <c r="AX324" s="184"/>
      <c r="AY324" s="184"/>
      <c r="AZ324" s="184"/>
      <c r="BA324" s="268"/>
      <c r="BB324" s="184"/>
      <c r="BC324" s="268"/>
      <c r="BG324" s="135">
        <v>723528</v>
      </c>
      <c r="BI324" s="135">
        <v>180000</v>
      </c>
      <c r="BT324" s="135" t="s">
        <v>496</v>
      </c>
      <c r="BU324" s="135" t="s">
        <v>506</v>
      </c>
    </row>
    <row r="325" s="132" customFormat="1" customHeight="1" spans="1:55">
      <c r="A325" s="132">
        <v>274</v>
      </c>
      <c r="D325" s="279"/>
      <c r="F325" s="276"/>
      <c r="G325" s="219"/>
      <c r="H325" s="219"/>
      <c r="I325" s="230" t="s">
        <v>4301</v>
      </c>
      <c r="J325" s="283">
        <v>126.49</v>
      </c>
      <c r="M325" s="270"/>
      <c r="N325" s="271">
        <v>7094</v>
      </c>
      <c r="O325" s="289"/>
      <c r="P325" s="279"/>
      <c r="Q325" s="279"/>
      <c r="R325" s="215"/>
      <c r="S325" s="265"/>
      <c r="T325" s="212"/>
      <c r="U325" s="216"/>
      <c r="V325" s="215"/>
      <c r="W325" s="274"/>
      <c r="X325" s="215"/>
      <c r="Y325" s="275"/>
      <c r="AB325" s="215"/>
      <c r="AH325" s="215">
        <f t="shared" ref="AH325:AH388" si="38">V325+X325+Z325+AB325+AD325+AF325</f>
        <v>0</v>
      </c>
      <c r="AK325" s="173"/>
      <c r="AL325" s="276"/>
      <c r="AM325" s="276"/>
      <c r="AN325" s="289"/>
      <c r="AO325" s="132">
        <f t="shared" ref="AO325:AO388" si="39">SUM(AZ325:BQ325)</f>
        <v>0</v>
      </c>
      <c r="AP325" s="157"/>
      <c r="AQ325" s="251">
        <f t="shared" ref="AQ325:AQ388" si="40">AR325+AS325+AT325+AU325+AV325+AW325+AX325+AY325</f>
        <v>0</v>
      </c>
      <c r="AR325" s="215"/>
      <c r="AS325" s="215"/>
      <c r="AT325" s="215"/>
      <c r="AU325" s="215"/>
      <c r="AV325" s="215"/>
      <c r="AW325" s="215"/>
      <c r="AX325" s="215"/>
      <c r="AY325" s="215"/>
      <c r="AZ325" s="215"/>
      <c r="BA325" s="267"/>
      <c r="BB325" s="215"/>
      <c r="BC325" s="267"/>
    </row>
    <row r="326" s="132" customFormat="1" customHeight="1" spans="4:55">
      <c r="D326" s="279"/>
      <c r="F326" s="276"/>
      <c r="G326" s="219"/>
      <c r="H326" s="219"/>
      <c r="I326" s="230" t="s">
        <v>4302</v>
      </c>
      <c r="J326" s="269">
        <v>45.49</v>
      </c>
      <c r="M326" s="270"/>
      <c r="N326" s="271"/>
      <c r="O326" s="289"/>
      <c r="P326" s="279"/>
      <c r="Q326" s="279"/>
      <c r="R326" s="215"/>
      <c r="S326" s="216"/>
      <c r="T326" s="266"/>
      <c r="U326" s="265"/>
      <c r="V326" s="215"/>
      <c r="W326" s="275"/>
      <c r="AB326" s="215"/>
      <c r="AH326" s="215">
        <f t="shared" si="38"/>
        <v>0</v>
      </c>
      <c r="AK326" s="173"/>
      <c r="AL326" s="276"/>
      <c r="AM326" s="276"/>
      <c r="AN326" s="289"/>
      <c r="AO326" s="132">
        <f t="shared" si="39"/>
        <v>0</v>
      </c>
      <c r="AP326" s="157"/>
      <c r="AQ326" s="251">
        <f t="shared" si="40"/>
        <v>0</v>
      </c>
      <c r="AR326" s="215"/>
      <c r="AS326" s="215"/>
      <c r="AT326" s="215"/>
      <c r="AU326" s="215"/>
      <c r="AV326" s="215"/>
      <c r="AW326" s="215"/>
      <c r="AX326" s="215"/>
      <c r="AY326" s="215"/>
      <c r="AZ326" s="215"/>
      <c r="BA326" s="267"/>
      <c r="BB326" s="215"/>
      <c r="BC326" s="267"/>
    </row>
    <row r="327" s="132" customFormat="1" customHeight="1" spans="4:55">
      <c r="D327" s="279"/>
      <c r="F327" s="276"/>
      <c r="G327" s="219"/>
      <c r="H327" s="219"/>
      <c r="I327" s="230" t="s">
        <v>4303</v>
      </c>
      <c r="J327" s="269">
        <v>14.74</v>
      </c>
      <c r="M327" s="270"/>
      <c r="N327" s="271"/>
      <c r="O327" s="289"/>
      <c r="P327" s="279"/>
      <c r="Q327" s="279"/>
      <c r="R327" s="215"/>
      <c r="S327" s="216"/>
      <c r="T327" s="212"/>
      <c r="U327" s="216"/>
      <c r="V327" s="215"/>
      <c r="X327" s="215"/>
      <c r="Y327" s="275"/>
      <c r="AB327" s="215"/>
      <c r="AH327" s="215">
        <f t="shared" si="38"/>
        <v>0</v>
      </c>
      <c r="AK327" s="173"/>
      <c r="AL327" s="276"/>
      <c r="AM327" s="276"/>
      <c r="AN327" s="289"/>
      <c r="AO327" s="132">
        <f t="shared" si="39"/>
        <v>0</v>
      </c>
      <c r="AP327" s="157"/>
      <c r="AQ327" s="251">
        <f t="shared" si="40"/>
        <v>0</v>
      </c>
      <c r="AR327" s="215"/>
      <c r="AS327" s="215"/>
      <c r="AT327" s="215"/>
      <c r="AU327" s="215"/>
      <c r="AV327" s="215"/>
      <c r="AW327" s="215"/>
      <c r="AX327" s="215"/>
      <c r="AY327" s="215"/>
      <c r="AZ327" s="215"/>
      <c r="BA327" s="267"/>
      <c r="BB327" s="215"/>
      <c r="BC327" s="267"/>
    </row>
    <row r="328" s="132" customFormat="1" customHeight="1" spans="4:54">
      <c r="D328" s="279"/>
      <c r="F328" s="276"/>
      <c r="G328" s="219"/>
      <c r="H328" s="219"/>
      <c r="I328" s="230" t="s">
        <v>4304</v>
      </c>
      <c r="J328" s="269">
        <v>22.03</v>
      </c>
      <c r="M328" s="270"/>
      <c r="N328" s="271"/>
      <c r="O328" s="289"/>
      <c r="P328" s="279"/>
      <c r="Q328" s="279"/>
      <c r="R328" s="215"/>
      <c r="S328" s="216"/>
      <c r="T328" s="212"/>
      <c r="U328" s="216"/>
      <c r="V328" s="215"/>
      <c r="W328" s="274"/>
      <c r="X328" s="215"/>
      <c r="Y328" s="275"/>
      <c r="AB328" s="215"/>
      <c r="AH328" s="215">
        <f t="shared" si="38"/>
        <v>0</v>
      </c>
      <c r="AK328" s="173"/>
      <c r="AL328" s="276"/>
      <c r="AM328" s="276"/>
      <c r="AN328" s="289"/>
      <c r="AO328" s="132">
        <f t="shared" si="39"/>
        <v>0</v>
      </c>
      <c r="AP328" s="157"/>
      <c r="AQ328" s="251">
        <f t="shared" si="40"/>
        <v>0</v>
      </c>
      <c r="AR328" s="215"/>
      <c r="AS328" s="215"/>
      <c r="AT328" s="215"/>
      <c r="AU328" s="215"/>
      <c r="AV328" s="215"/>
      <c r="AW328" s="215"/>
      <c r="AX328" s="215"/>
      <c r="AY328" s="215"/>
      <c r="AZ328" s="215"/>
      <c r="BB328" s="215"/>
    </row>
    <row r="329" s="132" customFormat="1" customHeight="1" spans="4:55">
      <c r="D329" s="279"/>
      <c r="F329" s="276"/>
      <c r="G329" s="212"/>
      <c r="H329" s="212"/>
      <c r="I329" s="230" t="s">
        <v>4305</v>
      </c>
      <c r="J329" s="269">
        <v>69.4</v>
      </c>
      <c r="M329" s="270"/>
      <c r="N329" s="271"/>
      <c r="O329" s="284"/>
      <c r="P329" s="279"/>
      <c r="Q329" s="279"/>
      <c r="R329" s="215"/>
      <c r="S329" s="216"/>
      <c r="T329" s="212"/>
      <c r="U329" s="212"/>
      <c r="V329" s="215"/>
      <c r="W329" s="274"/>
      <c r="X329" s="215"/>
      <c r="Y329" s="274"/>
      <c r="AA329" s="274"/>
      <c r="AB329" s="215"/>
      <c r="AH329" s="215">
        <f t="shared" si="38"/>
        <v>0</v>
      </c>
      <c r="AK329" s="173"/>
      <c r="AL329" s="276"/>
      <c r="AM329" s="276"/>
      <c r="AN329" s="289"/>
      <c r="AO329" s="132">
        <f t="shared" si="39"/>
        <v>0</v>
      </c>
      <c r="AP329" s="157"/>
      <c r="AQ329" s="251">
        <f t="shared" si="40"/>
        <v>0</v>
      </c>
      <c r="AR329" s="215"/>
      <c r="AS329" s="215"/>
      <c r="AT329" s="215"/>
      <c r="AU329" s="215"/>
      <c r="AV329" s="215"/>
      <c r="AW329" s="215"/>
      <c r="AX329" s="215"/>
      <c r="AY329" s="215"/>
      <c r="AZ329" s="215"/>
      <c r="BA329" s="267"/>
      <c r="BB329" s="215"/>
      <c r="BC329" s="267"/>
    </row>
    <row r="330" s="132" customFormat="1" customHeight="1" spans="4:55">
      <c r="D330" s="279"/>
      <c r="F330" s="276"/>
      <c r="G330" s="212"/>
      <c r="H330" s="212"/>
      <c r="I330" s="230" t="s">
        <v>4306</v>
      </c>
      <c r="J330" s="269">
        <v>66.06</v>
      </c>
      <c r="M330" s="270"/>
      <c r="N330" s="271"/>
      <c r="O330" s="284"/>
      <c r="P330" s="279"/>
      <c r="Q330" s="279"/>
      <c r="R330" s="215"/>
      <c r="S330" s="216"/>
      <c r="T330" s="212"/>
      <c r="U330" s="216"/>
      <c r="V330" s="215"/>
      <c r="W330" s="274"/>
      <c r="X330" s="215"/>
      <c r="Y330" s="242"/>
      <c r="AB330" s="215"/>
      <c r="AH330" s="215">
        <f t="shared" si="38"/>
        <v>0</v>
      </c>
      <c r="AK330" s="173"/>
      <c r="AL330" s="276"/>
      <c r="AM330" s="276"/>
      <c r="AN330" s="289"/>
      <c r="AO330" s="132">
        <f t="shared" si="39"/>
        <v>0</v>
      </c>
      <c r="AP330" s="157"/>
      <c r="AQ330" s="251">
        <f t="shared" si="40"/>
        <v>0</v>
      </c>
      <c r="AR330" s="215"/>
      <c r="AS330" s="215"/>
      <c r="AT330" s="215"/>
      <c r="AU330" s="215"/>
      <c r="AV330" s="215"/>
      <c r="AW330" s="215"/>
      <c r="AX330" s="215"/>
      <c r="AY330" s="215"/>
      <c r="AZ330" s="215"/>
      <c r="BA330" s="267"/>
      <c r="BB330" s="215"/>
      <c r="BC330" s="267"/>
    </row>
    <row r="331" s="132" customFormat="1" customHeight="1" spans="4:55">
      <c r="D331" s="279"/>
      <c r="F331" s="276"/>
      <c r="G331" s="266"/>
      <c r="H331" s="266"/>
      <c r="I331" s="230" t="s">
        <v>4307</v>
      </c>
      <c r="J331" s="269">
        <v>22.03</v>
      </c>
      <c r="M331" s="270"/>
      <c r="N331" s="271"/>
      <c r="O331" s="284"/>
      <c r="P331" s="279"/>
      <c r="Q331" s="279"/>
      <c r="R331" s="215"/>
      <c r="S331" s="216"/>
      <c r="T331" s="266"/>
      <c r="U331" s="265"/>
      <c r="V331" s="215"/>
      <c r="W331" s="273"/>
      <c r="X331" s="301"/>
      <c r="Z331" s="301"/>
      <c r="AB331" s="215"/>
      <c r="AH331" s="215">
        <f t="shared" si="38"/>
        <v>0</v>
      </c>
      <c r="AK331" s="173"/>
      <c r="AL331" s="276"/>
      <c r="AM331" s="276"/>
      <c r="AN331" s="289"/>
      <c r="AO331" s="132">
        <f t="shared" si="39"/>
        <v>0</v>
      </c>
      <c r="AP331" s="157"/>
      <c r="AQ331" s="251">
        <f t="shared" si="40"/>
        <v>0</v>
      </c>
      <c r="AR331" s="215"/>
      <c r="AS331" s="215"/>
      <c r="AT331" s="215"/>
      <c r="AU331" s="215"/>
      <c r="AV331" s="215"/>
      <c r="AW331" s="215"/>
      <c r="AX331" s="215"/>
      <c r="AY331" s="215"/>
      <c r="AZ331" s="215"/>
      <c r="BA331" s="267"/>
      <c r="BB331" s="215"/>
      <c r="BC331" s="267"/>
    </row>
    <row r="332" s="132" customFormat="1" customHeight="1" spans="4:55">
      <c r="D332" s="276"/>
      <c r="F332" s="296"/>
      <c r="G332" s="266"/>
      <c r="H332" s="266"/>
      <c r="I332" s="230" t="s">
        <v>4308</v>
      </c>
      <c r="J332" s="269">
        <v>22.03</v>
      </c>
      <c r="M332" s="270"/>
      <c r="N332" s="271"/>
      <c r="O332" s="284"/>
      <c r="P332" s="279"/>
      <c r="Q332" s="279"/>
      <c r="R332" s="215"/>
      <c r="S332" s="216"/>
      <c r="T332" s="266"/>
      <c r="U332" s="265"/>
      <c r="V332" s="215"/>
      <c r="W332" s="242"/>
      <c r="AB332" s="215"/>
      <c r="AH332" s="215">
        <f t="shared" si="38"/>
        <v>0</v>
      </c>
      <c r="AK332" s="173"/>
      <c r="AL332" s="276"/>
      <c r="AM332" s="276"/>
      <c r="AN332" s="289"/>
      <c r="AO332" s="132">
        <f t="shared" si="39"/>
        <v>0</v>
      </c>
      <c r="AP332" s="157"/>
      <c r="AQ332" s="251">
        <f t="shared" si="40"/>
        <v>0</v>
      </c>
      <c r="AR332" s="215"/>
      <c r="AS332" s="215"/>
      <c r="AT332" s="215"/>
      <c r="AU332" s="215"/>
      <c r="AV332" s="215"/>
      <c r="AW332" s="215"/>
      <c r="AX332" s="215"/>
      <c r="AY332" s="215"/>
      <c r="AZ332" s="215"/>
      <c r="BA332" s="267"/>
      <c r="BB332" s="215"/>
      <c r="BC332" s="267"/>
    </row>
    <row r="333" s="132" customFormat="1" ht="65" customHeight="1" spans="6:54">
      <c r="F333" s="276"/>
      <c r="G333" s="266"/>
      <c r="H333" s="266"/>
      <c r="I333" s="230" t="s">
        <v>4309</v>
      </c>
      <c r="J333" s="269">
        <v>66.06</v>
      </c>
      <c r="M333" s="213"/>
      <c r="N333" s="215"/>
      <c r="O333" s="173"/>
      <c r="R333" s="215"/>
      <c r="S333" s="265"/>
      <c r="T333" s="266"/>
      <c r="U333" s="265"/>
      <c r="V333" s="215"/>
      <c r="W333" s="273"/>
      <c r="X333" s="215"/>
      <c r="Y333" s="242"/>
      <c r="AA333" s="274"/>
      <c r="AB333" s="215"/>
      <c r="AH333" s="215">
        <f t="shared" si="38"/>
        <v>0</v>
      </c>
      <c r="AK333" s="173"/>
      <c r="AL333" s="276"/>
      <c r="AM333" s="276"/>
      <c r="AN333" s="294"/>
      <c r="AO333" s="132">
        <f t="shared" si="39"/>
        <v>0</v>
      </c>
      <c r="AP333" s="157"/>
      <c r="AQ333" s="251">
        <f t="shared" si="40"/>
        <v>0</v>
      </c>
      <c r="AR333" s="215"/>
      <c r="AS333" s="215"/>
      <c r="AT333" s="215"/>
      <c r="AU333" s="215"/>
      <c r="AV333" s="215"/>
      <c r="AW333" s="215"/>
      <c r="AX333" s="215"/>
      <c r="AY333" s="215"/>
      <c r="AZ333" s="215"/>
      <c r="BB333" s="215"/>
    </row>
    <row r="334" s="132" customFormat="1" customHeight="1" spans="4:55">
      <c r="D334" s="276"/>
      <c r="F334" s="276"/>
      <c r="G334" s="266"/>
      <c r="H334" s="266"/>
      <c r="I334" s="230" t="s">
        <v>4310</v>
      </c>
      <c r="J334" s="269">
        <v>66.06</v>
      </c>
      <c r="M334" s="270"/>
      <c r="N334" s="271"/>
      <c r="O334" s="284"/>
      <c r="P334" s="279"/>
      <c r="Q334" s="279"/>
      <c r="R334" s="215"/>
      <c r="S334" s="265"/>
      <c r="T334" s="266"/>
      <c r="U334" s="265"/>
      <c r="V334" s="215"/>
      <c r="W334" s="302"/>
      <c r="X334" s="215"/>
      <c r="Y334" s="242"/>
      <c r="AA334" s="274"/>
      <c r="AB334" s="215"/>
      <c r="AH334" s="215">
        <f t="shared" si="38"/>
        <v>0</v>
      </c>
      <c r="AK334" s="173"/>
      <c r="AL334" s="276"/>
      <c r="AM334" s="276"/>
      <c r="AN334" s="289"/>
      <c r="AO334" s="132">
        <f t="shared" si="39"/>
        <v>0</v>
      </c>
      <c r="AP334" s="157"/>
      <c r="AQ334" s="251">
        <f t="shared" si="40"/>
        <v>0</v>
      </c>
      <c r="AR334" s="215"/>
      <c r="AS334" s="215"/>
      <c r="AT334" s="215"/>
      <c r="AU334" s="215"/>
      <c r="AV334" s="215"/>
      <c r="AW334" s="215"/>
      <c r="AX334" s="215"/>
      <c r="AY334" s="215"/>
      <c r="AZ334" s="215"/>
      <c r="BA334" s="267"/>
      <c r="BB334" s="215"/>
      <c r="BC334" s="267"/>
    </row>
    <row r="335" s="132" customFormat="1" customHeight="1" spans="4:55">
      <c r="D335" s="279"/>
      <c r="F335" s="276"/>
      <c r="G335" s="212"/>
      <c r="H335" s="212"/>
      <c r="I335" s="230" t="s">
        <v>4311</v>
      </c>
      <c r="J335" s="269">
        <v>10.72</v>
      </c>
      <c r="M335" s="270"/>
      <c r="N335" s="271"/>
      <c r="O335" s="284"/>
      <c r="P335" s="279"/>
      <c r="Q335" s="279"/>
      <c r="R335" s="215"/>
      <c r="S335" s="216"/>
      <c r="T335" s="212"/>
      <c r="U335" s="216"/>
      <c r="V335" s="215"/>
      <c r="X335" s="215"/>
      <c r="AB335" s="215"/>
      <c r="AH335" s="215">
        <f t="shared" si="38"/>
        <v>0</v>
      </c>
      <c r="AK335" s="173"/>
      <c r="AL335" s="276"/>
      <c r="AM335" s="276"/>
      <c r="AN335" s="289"/>
      <c r="AO335" s="132">
        <f t="shared" si="39"/>
        <v>0</v>
      </c>
      <c r="AP335" s="157"/>
      <c r="AQ335" s="251">
        <f t="shared" si="40"/>
        <v>0</v>
      </c>
      <c r="AR335" s="215"/>
      <c r="AS335" s="215"/>
      <c r="AT335" s="215"/>
      <c r="AU335" s="215"/>
      <c r="AV335" s="215"/>
      <c r="AW335" s="215"/>
      <c r="AX335" s="215"/>
      <c r="AY335" s="215"/>
      <c r="AZ335" s="215"/>
      <c r="BA335" s="267"/>
      <c r="BB335" s="215"/>
      <c r="BC335" s="267"/>
    </row>
    <row r="336" s="132" customFormat="1" customHeight="1" spans="3:55">
      <c r="C336" s="274"/>
      <c r="D336" s="279"/>
      <c r="F336" s="276"/>
      <c r="G336" s="212"/>
      <c r="H336" s="212"/>
      <c r="I336" s="230" t="s">
        <v>4312</v>
      </c>
      <c r="J336" s="299">
        <v>11.05</v>
      </c>
      <c r="M336" s="270"/>
      <c r="N336" s="271"/>
      <c r="O336" s="284"/>
      <c r="P336" s="279"/>
      <c r="Q336" s="279"/>
      <c r="R336" s="215"/>
      <c r="S336" s="216"/>
      <c r="T336" s="212"/>
      <c r="U336" s="216"/>
      <c r="V336" s="215"/>
      <c r="W336" s="274"/>
      <c r="X336" s="215"/>
      <c r="Y336" s="274"/>
      <c r="AA336" s="274"/>
      <c r="AB336" s="215"/>
      <c r="AC336" s="274"/>
      <c r="AD336" s="274"/>
      <c r="AE336" s="274"/>
      <c r="AF336" s="274"/>
      <c r="AG336" s="274"/>
      <c r="AH336" s="215">
        <f t="shared" si="38"/>
        <v>0</v>
      </c>
      <c r="AK336" s="173"/>
      <c r="AL336" s="276"/>
      <c r="AM336" s="276"/>
      <c r="AN336" s="289"/>
      <c r="AO336" s="132">
        <f t="shared" si="39"/>
        <v>0</v>
      </c>
      <c r="AP336" s="157"/>
      <c r="AQ336" s="251">
        <f t="shared" si="40"/>
        <v>0</v>
      </c>
      <c r="AR336" s="215"/>
      <c r="AS336" s="215"/>
      <c r="AT336" s="215"/>
      <c r="AU336" s="215"/>
      <c r="AV336" s="215"/>
      <c r="AW336" s="215"/>
      <c r="AX336" s="215"/>
      <c r="AY336" s="215"/>
      <c r="AZ336" s="215"/>
      <c r="BA336" s="267"/>
      <c r="BB336" s="215"/>
      <c r="BC336" s="267"/>
    </row>
    <row r="337" s="132" customFormat="1" customHeight="1" spans="6:55">
      <c r="F337" s="278"/>
      <c r="G337" s="266"/>
      <c r="H337" s="266"/>
      <c r="I337" s="230" t="s">
        <v>4313</v>
      </c>
      <c r="J337" s="269">
        <v>38.52</v>
      </c>
      <c r="M337" s="270"/>
      <c r="N337" s="271"/>
      <c r="O337" s="284"/>
      <c r="P337" s="279"/>
      <c r="Q337" s="279"/>
      <c r="R337" s="215"/>
      <c r="S337" s="265"/>
      <c r="T337" s="266"/>
      <c r="U337" s="265"/>
      <c r="V337" s="215"/>
      <c r="W337" s="242"/>
      <c r="X337" s="215"/>
      <c r="Y337" s="242"/>
      <c r="Z337" s="212"/>
      <c r="AA337" s="242"/>
      <c r="AB337" s="215"/>
      <c r="AH337" s="215">
        <f t="shared" si="38"/>
        <v>0</v>
      </c>
      <c r="AK337" s="173"/>
      <c r="AL337" s="276"/>
      <c r="AM337" s="276"/>
      <c r="AN337" s="289"/>
      <c r="AO337" s="132">
        <f t="shared" si="39"/>
        <v>0</v>
      </c>
      <c r="AP337" s="157"/>
      <c r="AQ337" s="251">
        <f t="shared" si="40"/>
        <v>0</v>
      </c>
      <c r="AR337" s="215"/>
      <c r="AS337" s="215"/>
      <c r="AT337" s="215"/>
      <c r="AU337" s="215"/>
      <c r="AV337" s="215"/>
      <c r="AW337" s="215"/>
      <c r="AX337" s="215"/>
      <c r="AY337" s="215"/>
      <c r="AZ337" s="215"/>
      <c r="BA337" s="267"/>
      <c r="BB337" s="215"/>
      <c r="BC337" s="267"/>
    </row>
    <row r="338" s="132" customFormat="1" customHeight="1" spans="6:55">
      <c r="F338" s="276"/>
      <c r="G338" s="266"/>
      <c r="H338" s="266"/>
      <c r="I338" s="230" t="s">
        <v>4314</v>
      </c>
      <c r="J338" s="299">
        <v>18.4</v>
      </c>
      <c r="M338" s="213"/>
      <c r="N338" s="215"/>
      <c r="O338" s="173"/>
      <c r="P338" s="296"/>
      <c r="Q338" s="276"/>
      <c r="R338" s="215"/>
      <c r="S338" s="216"/>
      <c r="T338" s="266"/>
      <c r="U338" s="265"/>
      <c r="V338" s="215"/>
      <c r="W338" s="303"/>
      <c r="X338" s="215"/>
      <c r="Y338" s="242"/>
      <c r="AA338" s="274"/>
      <c r="AB338" s="215"/>
      <c r="AC338" s="304"/>
      <c r="AD338" s="304"/>
      <c r="AE338" s="304"/>
      <c r="AF338" s="304"/>
      <c r="AG338" s="304"/>
      <c r="AH338" s="215">
        <f t="shared" si="38"/>
        <v>0</v>
      </c>
      <c r="AK338" s="173"/>
      <c r="AL338" s="276"/>
      <c r="AM338" s="276"/>
      <c r="AN338" s="294"/>
      <c r="AO338" s="132">
        <f t="shared" si="39"/>
        <v>0</v>
      </c>
      <c r="AP338" s="157"/>
      <c r="AQ338" s="251">
        <f t="shared" si="40"/>
        <v>0</v>
      </c>
      <c r="AR338" s="215"/>
      <c r="AS338" s="215"/>
      <c r="AT338" s="215"/>
      <c r="AU338" s="215"/>
      <c r="AV338" s="215"/>
      <c r="AW338" s="215"/>
      <c r="AX338" s="215"/>
      <c r="AY338" s="215"/>
      <c r="AZ338" s="215"/>
      <c r="BA338" s="267"/>
      <c r="BB338" s="215"/>
      <c r="BC338" s="267"/>
    </row>
    <row r="339" s="132" customFormat="1" ht="62" customHeight="1" spans="4:55">
      <c r="D339" s="279"/>
      <c r="F339" s="276"/>
      <c r="G339" s="266"/>
      <c r="H339" s="266"/>
      <c r="I339" s="230" t="s">
        <v>4315</v>
      </c>
      <c r="J339" s="269">
        <v>14.87</v>
      </c>
      <c r="M339" s="270"/>
      <c r="N339" s="271"/>
      <c r="O339" s="284"/>
      <c r="P339" s="279"/>
      <c r="Q339" s="279"/>
      <c r="R339" s="215"/>
      <c r="S339" s="265"/>
      <c r="T339" s="266"/>
      <c r="U339" s="265"/>
      <c r="V339" s="215"/>
      <c r="W339" s="273"/>
      <c r="Y339" s="274"/>
      <c r="AA339" s="274"/>
      <c r="AB339" s="215"/>
      <c r="AH339" s="215">
        <f t="shared" si="38"/>
        <v>0</v>
      </c>
      <c r="AK339" s="173"/>
      <c r="AL339" s="276"/>
      <c r="AM339" s="276"/>
      <c r="AN339" s="289"/>
      <c r="AO339" s="132">
        <f t="shared" si="39"/>
        <v>0</v>
      </c>
      <c r="AP339" s="157"/>
      <c r="AQ339" s="251">
        <f t="shared" si="40"/>
        <v>0</v>
      </c>
      <c r="AR339" s="215"/>
      <c r="AS339" s="215"/>
      <c r="AT339" s="215"/>
      <c r="AU339" s="215"/>
      <c r="AV339" s="215"/>
      <c r="AW339" s="215"/>
      <c r="AX339" s="215"/>
      <c r="AY339" s="215"/>
      <c r="AZ339" s="215"/>
      <c r="BA339" s="267"/>
      <c r="BB339" s="215"/>
      <c r="BC339" s="267"/>
    </row>
    <row r="340" s="132" customFormat="1" ht="47" customHeight="1" spans="4:55">
      <c r="D340" s="279"/>
      <c r="F340" s="276"/>
      <c r="G340" s="266"/>
      <c r="H340" s="266"/>
      <c r="I340" s="230" t="s">
        <v>4316</v>
      </c>
      <c r="J340" s="299">
        <v>14.12</v>
      </c>
      <c r="M340" s="270"/>
      <c r="N340" s="271"/>
      <c r="O340" s="284"/>
      <c r="P340" s="279"/>
      <c r="Q340" s="279"/>
      <c r="R340" s="215"/>
      <c r="S340" s="216"/>
      <c r="T340" s="266"/>
      <c r="U340" s="265"/>
      <c r="V340" s="215"/>
      <c r="W340" s="303"/>
      <c r="X340" s="215"/>
      <c r="Y340" s="242"/>
      <c r="AB340" s="215"/>
      <c r="AH340" s="215">
        <f t="shared" si="38"/>
        <v>0</v>
      </c>
      <c r="AK340" s="173"/>
      <c r="AL340" s="276"/>
      <c r="AM340" s="276"/>
      <c r="AN340" s="289"/>
      <c r="AO340" s="132">
        <f t="shared" si="39"/>
        <v>0</v>
      </c>
      <c r="AP340" s="157"/>
      <c r="AQ340" s="251">
        <f t="shared" si="40"/>
        <v>0</v>
      </c>
      <c r="AR340" s="215"/>
      <c r="AS340" s="215"/>
      <c r="AT340" s="215"/>
      <c r="AU340" s="215"/>
      <c r="AV340" s="215"/>
      <c r="AW340" s="215"/>
      <c r="AX340" s="215"/>
      <c r="AY340" s="215"/>
      <c r="AZ340" s="215"/>
      <c r="BA340" s="267"/>
      <c r="BB340" s="215"/>
      <c r="BC340" s="267"/>
    </row>
    <row r="341" s="132" customFormat="1" customHeight="1" spans="4:55">
      <c r="D341" s="279"/>
      <c r="F341" s="276"/>
      <c r="G341" s="266"/>
      <c r="H341" s="266"/>
      <c r="I341" s="230" t="s">
        <v>4317</v>
      </c>
      <c r="J341" s="269">
        <v>11.05</v>
      </c>
      <c r="M341" s="270"/>
      <c r="N341" s="271"/>
      <c r="O341" s="284"/>
      <c r="P341" s="279"/>
      <c r="Q341" s="279"/>
      <c r="R341" s="215"/>
      <c r="S341" s="265"/>
      <c r="T341" s="266"/>
      <c r="U341" s="265"/>
      <c r="V341" s="215"/>
      <c r="W341" s="273"/>
      <c r="X341" s="215"/>
      <c r="Y341" s="242"/>
      <c r="Z341" s="301"/>
      <c r="AB341" s="215"/>
      <c r="AH341" s="215">
        <f t="shared" si="38"/>
        <v>0</v>
      </c>
      <c r="AK341" s="173"/>
      <c r="AL341" s="276"/>
      <c r="AM341" s="276"/>
      <c r="AN341" s="289"/>
      <c r="AO341" s="132">
        <f t="shared" si="39"/>
        <v>0</v>
      </c>
      <c r="AP341" s="157"/>
      <c r="AQ341" s="251">
        <f t="shared" si="40"/>
        <v>0</v>
      </c>
      <c r="AR341" s="215"/>
      <c r="AS341" s="215"/>
      <c r="AT341" s="215"/>
      <c r="AU341" s="215"/>
      <c r="AV341" s="215"/>
      <c r="AW341" s="215"/>
      <c r="AX341" s="215"/>
      <c r="AY341" s="215"/>
      <c r="AZ341" s="215"/>
      <c r="BA341" s="267"/>
      <c r="BB341" s="215"/>
      <c r="BC341" s="267"/>
    </row>
    <row r="342" s="132" customFormat="1" customHeight="1" spans="4:54">
      <c r="D342" s="279"/>
      <c r="F342" s="276"/>
      <c r="G342" s="266"/>
      <c r="H342" s="266"/>
      <c r="I342" s="230" t="s">
        <v>4318</v>
      </c>
      <c r="J342" s="299">
        <v>11.05</v>
      </c>
      <c r="K342" s="173"/>
      <c r="M342" s="270"/>
      <c r="N342" s="271"/>
      <c r="O342" s="284"/>
      <c r="P342" s="279"/>
      <c r="Q342" s="279"/>
      <c r="R342" s="215"/>
      <c r="S342" s="216"/>
      <c r="T342" s="266"/>
      <c r="U342" s="266"/>
      <c r="V342" s="215"/>
      <c r="W342" s="216"/>
      <c r="X342" s="215"/>
      <c r="Y342" s="274"/>
      <c r="AA342" s="274"/>
      <c r="AB342" s="215"/>
      <c r="AC342" s="274"/>
      <c r="AD342" s="274"/>
      <c r="AE342" s="274"/>
      <c r="AF342" s="274"/>
      <c r="AG342" s="274"/>
      <c r="AH342" s="215">
        <f t="shared" si="38"/>
        <v>0</v>
      </c>
      <c r="AK342" s="173"/>
      <c r="AL342" s="276"/>
      <c r="AM342" s="276"/>
      <c r="AN342" s="289"/>
      <c r="AO342" s="132">
        <f t="shared" si="39"/>
        <v>0</v>
      </c>
      <c r="AP342" s="157"/>
      <c r="AQ342" s="251">
        <f t="shared" si="40"/>
        <v>0</v>
      </c>
      <c r="AR342" s="215"/>
      <c r="AS342" s="215"/>
      <c r="AT342" s="215"/>
      <c r="AU342" s="215"/>
      <c r="AV342" s="215"/>
      <c r="AW342" s="215"/>
      <c r="AX342" s="215"/>
      <c r="AY342" s="215"/>
      <c r="AZ342" s="215"/>
      <c r="BB342" s="215"/>
    </row>
    <row r="343" s="132" customFormat="1" ht="52" customHeight="1" spans="4:55">
      <c r="D343" s="279"/>
      <c r="F343" s="297"/>
      <c r="G343" s="266"/>
      <c r="H343" s="266"/>
      <c r="I343" s="230" t="s">
        <v>4319</v>
      </c>
      <c r="J343" s="269">
        <v>14.12</v>
      </c>
      <c r="M343" s="213"/>
      <c r="N343" s="215"/>
      <c r="O343" s="173"/>
      <c r="P343" s="279"/>
      <c r="Q343" s="279"/>
      <c r="R343" s="215"/>
      <c r="S343" s="265"/>
      <c r="T343" s="266"/>
      <c r="U343" s="265"/>
      <c r="V343" s="215"/>
      <c r="W343" s="273"/>
      <c r="AB343" s="215"/>
      <c r="AH343" s="215">
        <f t="shared" si="38"/>
        <v>0</v>
      </c>
      <c r="AK343" s="173"/>
      <c r="AL343" s="276"/>
      <c r="AM343" s="276"/>
      <c r="AN343" s="294"/>
      <c r="AO343" s="132">
        <f t="shared" si="39"/>
        <v>0</v>
      </c>
      <c r="AP343" s="157"/>
      <c r="AQ343" s="251">
        <f t="shared" si="40"/>
        <v>0</v>
      </c>
      <c r="AR343" s="215"/>
      <c r="AS343" s="215"/>
      <c r="AT343" s="215"/>
      <c r="AU343" s="215"/>
      <c r="AV343" s="215"/>
      <c r="AW343" s="215"/>
      <c r="AX343" s="215"/>
      <c r="AY343" s="215"/>
      <c r="AZ343" s="215"/>
      <c r="BA343" s="267"/>
      <c r="BB343" s="215"/>
      <c r="BC343" s="267"/>
    </row>
    <row r="344" s="132" customFormat="1" customHeight="1" spans="4:55">
      <c r="D344" s="279"/>
      <c r="F344" s="276"/>
      <c r="G344" s="266"/>
      <c r="H344" s="266"/>
      <c r="I344" s="230" t="s">
        <v>4320</v>
      </c>
      <c r="J344" s="299">
        <v>22.68</v>
      </c>
      <c r="M344" s="270"/>
      <c r="N344" s="271"/>
      <c r="O344" s="284"/>
      <c r="P344" s="279"/>
      <c r="Q344" s="279"/>
      <c r="R344" s="215"/>
      <c r="S344" s="265"/>
      <c r="T344" s="266"/>
      <c r="U344" s="265"/>
      <c r="V344" s="215"/>
      <c r="W344" s="274"/>
      <c r="X344" s="215"/>
      <c r="Y344" s="274"/>
      <c r="AA344" s="274"/>
      <c r="AB344" s="215"/>
      <c r="AH344" s="215">
        <f t="shared" si="38"/>
        <v>0</v>
      </c>
      <c r="AK344" s="173"/>
      <c r="AL344" s="276"/>
      <c r="AM344" s="276"/>
      <c r="AN344" s="289"/>
      <c r="AO344" s="132">
        <f t="shared" si="39"/>
        <v>0</v>
      </c>
      <c r="AP344" s="157"/>
      <c r="AQ344" s="251">
        <f t="shared" si="40"/>
        <v>0</v>
      </c>
      <c r="AR344" s="215"/>
      <c r="AS344" s="215"/>
      <c r="AT344" s="215"/>
      <c r="AU344" s="215"/>
      <c r="AV344" s="215"/>
      <c r="AW344" s="215"/>
      <c r="AX344" s="215"/>
      <c r="AY344" s="215"/>
      <c r="AZ344" s="215"/>
      <c r="BA344" s="267"/>
      <c r="BB344" s="215"/>
      <c r="BC344" s="267"/>
    </row>
    <row r="345" s="135" customFormat="1" customHeight="1" spans="1:73">
      <c r="A345" s="220">
        <v>275</v>
      </c>
      <c r="C345" s="135" t="s">
        <v>656</v>
      </c>
      <c r="D345" s="263" t="s">
        <v>4321</v>
      </c>
      <c r="F345" s="282"/>
      <c r="G345" s="262" t="s">
        <v>4322</v>
      </c>
      <c r="H345" s="262"/>
      <c r="I345" s="236" t="s">
        <v>4323</v>
      </c>
      <c r="J345" s="135">
        <v>150.01</v>
      </c>
      <c r="K345" s="135">
        <v>150.01</v>
      </c>
      <c r="L345" s="135">
        <v>8264</v>
      </c>
      <c r="M345" s="285">
        <v>1239683</v>
      </c>
      <c r="N345" s="286">
        <v>8264</v>
      </c>
      <c r="O345" s="190"/>
      <c r="P345" s="263"/>
      <c r="Q345" s="263"/>
      <c r="R345" s="184"/>
      <c r="T345" s="845" t="s">
        <v>4324</v>
      </c>
      <c r="U345" s="261" t="s">
        <v>4325</v>
      </c>
      <c r="V345" s="184"/>
      <c r="W345" s="261"/>
      <c r="X345" s="184">
        <f>10000-10000</f>
        <v>0</v>
      </c>
      <c r="Y345" s="261" t="s">
        <v>1008</v>
      </c>
      <c r="Z345" s="184">
        <v>10000</v>
      </c>
      <c r="AA345" s="185" t="s">
        <v>646</v>
      </c>
      <c r="AB345" s="184">
        <v>129683</v>
      </c>
      <c r="AC345" s="185" t="s">
        <v>656</v>
      </c>
      <c r="AD345" s="135">
        <v>300000</v>
      </c>
      <c r="AE345" s="135" t="s">
        <v>2409</v>
      </c>
      <c r="AF345" s="135">
        <v>800000</v>
      </c>
      <c r="AG345" s="135" t="s">
        <v>762</v>
      </c>
      <c r="AH345" s="184">
        <f t="shared" si="38"/>
        <v>1239683</v>
      </c>
      <c r="AK345" s="190">
        <f t="shared" ref="AK345:AK351" si="41">M345-AH345</f>
        <v>0</v>
      </c>
      <c r="AL345" s="282"/>
      <c r="AM345" s="264"/>
      <c r="AN345" s="288"/>
      <c r="AO345" s="135">
        <f t="shared" si="39"/>
        <v>1239683</v>
      </c>
      <c r="AP345" s="162">
        <f>0.7%+0.05%+0.12%</f>
        <v>0.0087</v>
      </c>
      <c r="AQ345" s="237">
        <f t="shared" si="40"/>
        <v>200</v>
      </c>
      <c r="AR345" s="184"/>
      <c r="AS345" s="184"/>
      <c r="AT345" s="184"/>
      <c r="AU345" s="184">
        <v>100</v>
      </c>
      <c r="AV345" s="184">
        <v>100</v>
      </c>
      <c r="AW345" s="184"/>
      <c r="AX345" s="184"/>
      <c r="AY345" s="184"/>
      <c r="AZ345" s="184"/>
      <c r="BA345" s="268"/>
      <c r="BB345" s="184"/>
      <c r="BC345" s="268">
        <v>439683</v>
      </c>
      <c r="BE345" s="135">
        <v>800000</v>
      </c>
      <c r="BT345" s="135" t="s">
        <v>496</v>
      </c>
      <c r="BU345" s="135" t="s">
        <v>506</v>
      </c>
    </row>
    <row r="346" s="135" customFormat="1" ht="44" customHeight="1" spans="1:72">
      <c r="A346" s="220">
        <v>276</v>
      </c>
      <c r="C346" s="155">
        <v>45410</v>
      </c>
      <c r="D346" s="264" t="s">
        <v>4326</v>
      </c>
      <c r="F346" s="264" t="s">
        <v>4327</v>
      </c>
      <c r="G346" s="262" t="s">
        <v>4328</v>
      </c>
      <c r="H346" s="845" t="s">
        <v>4329</v>
      </c>
      <c r="I346" s="232" t="s">
        <v>4330</v>
      </c>
      <c r="J346" s="135">
        <v>140.45</v>
      </c>
      <c r="K346" s="135">
        <v>140.45</v>
      </c>
      <c r="L346" s="135">
        <v>8254</v>
      </c>
      <c r="M346" s="285">
        <v>1159275</v>
      </c>
      <c r="N346" s="286">
        <v>8254</v>
      </c>
      <c r="O346" s="287"/>
      <c r="P346" s="263"/>
      <c r="Q346" s="263"/>
      <c r="R346" s="184"/>
      <c r="S346" s="185"/>
      <c r="T346" s="262"/>
      <c r="U346" s="261" t="s">
        <v>721</v>
      </c>
      <c r="V346" s="184">
        <v>2000</v>
      </c>
      <c r="W346" s="185" t="s">
        <v>4331</v>
      </c>
      <c r="X346" s="184">
        <v>7275</v>
      </c>
      <c r="Y346" s="185" t="s">
        <v>3802</v>
      </c>
      <c r="Z346" s="184">
        <v>5000</v>
      </c>
      <c r="AA346" s="185" t="s">
        <v>4332</v>
      </c>
      <c r="AB346" s="184">
        <v>265000</v>
      </c>
      <c r="AC346" s="185" t="s">
        <v>3832</v>
      </c>
      <c r="AD346" s="135">
        <v>80000</v>
      </c>
      <c r="AE346" s="155">
        <v>45564</v>
      </c>
      <c r="AF346" s="184">
        <v>800000</v>
      </c>
      <c r="AG346" s="185" t="s">
        <v>736</v>
      </c>
      <c r="AH346" s="184">
        <f t="shared" si="38"/>
        <v>1159275</v>
      </c>
      <c r="AK346" s="190">
        <f t="shared" si="41"/>
        <v>0</v>
      </c>
      <c r="AL346" s="264" t="s">
        <v>4333</v>
      </c>
      <c r="AM346" s="264"/>
      <c r="AN346" s="288"/>
      <c r="AO346" s="135">
        <f t="shared" si="39"/>
        <v>1159275</v>
      </c>
      <c r="AP346" s="166">
        <f>0.7%+0.05%+0.12%</f>
        <v>0.0087</v>
      </c>
      <c r="AQ346" s="237">
        <f t="shared" si="40"/>
        <v>100</v>
      </c>
      <c r="AR346" s="184"/>
      <c r="AS346" s="184"/>
      <c r="AT346" s="184">
        <v>100</v>
      </c>
      <c r="AU346" s="184"/>
      <c r="AV346" s="184"/>
      <c r="AW346" s="184"/>
      <c r="AX346" s="184"/>
      <c r="AY346" s="184"/>
      <c r="AZ346" s="184"/>
      <c r="BB346" s="184"/>
      <c r="BM346" s="135">
        <v>359275</v>
      </c>
      <c r="BN346" s="135">
        <v>800000</v>
      </c>
      <c r="BT346" s="135" t="s">
        <v>496</v>
      </c>
    </row>
    <row r="347" s="135" customFormat="1" customHeight="1" spans="1:72">
      <c r="A347" s="220">
        <v>277</v>
      </c>
      <c r="B347" s="135"/>
      <c r="C347" s="135" t="s">
        <v>88</v>
      </c>
      <c r="D347" s="135">
        <v>20240005473</v>
      </c>
      <c r="F347" s="264" t="s">
        <v>279</v>
      </c>
      <c r="G347" s="262" t="s">
        <v>280</v>
      </c>
      <c r="H347" s="845" t="s">
        <v>4334</v>
      </c>
      <c r="I347" s="236" t="s">
        <v>4335</v>
      </c>
      <c r="J347" s="135">
        <v>147.09</v>
      </c>
      <c r="K347" s="135">
        <v>147.09</v>
      </c>
      <c r="L347" s="190">
        <v>5568</v>
      </c>
      <c r="M347" s="233">
        <v>819000</v>
      </c>
      <c r="N347" s="184">
        <v>5568</v>
      </c>
      <c r="O347" s="190"/>
      <c r="R347" s="184"/>
      <c r="S347" s="185"/>
      <c r="T347" s="220"/>
      <c r="U347" s="185" t="s">
        <v>502</v>
      </c>
      <c r="V347" s="184">
        <v>20000</v>
      </c>
      <c r="W347" s="185">
        <v>45561</v>
      </c>
      <c r="X347" s="184">
        <v>399000</v>
      </c>
      <c r="Y347" s="243">
        <v>45565</v>
      </c>
      <c r="Z347" s="184">
        <v>400000</v>
      </c>
      <c r="AA347" s="185" t="s">
        <v>918</v>
      </c>
      <c r="AB347" s="184"/>
      <c r="AH347" s="184">
        <f t="shared" si="38"/>
        <v>819000</v>
      </c>
      <c r="AK347" s="190">
        <f t="shared" si="41"/>
        <v>0</v>
      </c>
      <c r="AL347" s="264" t="s">
        <v>4336</v>
      </c>
      <c r="AM347" s="264"/>
      <c r="AN347" s="295"/>
      <c r="AO347" s="135">
        <f t="shared" si="39"/>
        <v>819000</v>
      </c>
      <c r="AP347" s="166">
        <f>0.6%+0.1%</f>
        <v>0.007</v>
      </c>
      <c r="AQ347" s="237">
        <f t="shared" si="40"/>
        <v>0</v>
      </c>
      <c r="AR347" s="184"/>
      <c r="AS347" s="184"/>
      <c r="AT347" s="184"/>
      <c r="AU347" s="184"/>
      <c r="AV347" s="184"/>
      <c r="AW347" s="184"/>
      <c r="AX347" s="184"/>
      <c r="AY347" s="184"/>
      <c r="AZ347" s="184"/>
      <c r="BA347" s="268"/>
      <c r="BB347" s="184"/>
      <c r="BC347" s="268"/>
      <c r="BN347" s="135">
        <v>819000</v>
      </c>
      <c r="BT347" s="135" t="s">
        <v>496</v>
      </c>
    </row>
    <row r="348" s="135" customFormat="1" customHeight="1" spans="1:55">
      <c r="A348" s="220">
        <v>278</v>
      </c>
      <c r="B348" s="135"/>
      <c r="D348" s="263"/>
      <c r="G348" s="135" t="s">
        <v>4337</v>
      </c>
      <c r="I348" s="232" t="s">
        <v>4338</v>
      </c>
      <c r="J348" s="135">
        <v>137.88</v>
      </c>
      <c r="K348" s="135">
        <v>137.88</v>
      </c>
      <c r="L348" s="135">
        <v>5787.64</v>
      </c>
      <c r="M348" s="285">
        <v>798000</v>
      </c>
      <c r="N348" s="286">
        <v>5776.15</v>
      </c>
      <c r="O348" s="287"/>
      <c r="P348" s="263"/>
      <c r="Q348" s="263"/>
      <c r="R348" s="184"/>
      <c r="S348" s="185"/>
      <c r="T348" s="220"/>
      <c r="U348" s="135" t="s">
        <v>590</v>
      </c>
      <c r="V348" s="184">
        <v>10000</v>
      </c>
      <c r="W348" s="185">
        <v>45565</v>
      </c>
      <c r="X348" s="184"/>
      <c r="Y348" s="155"/>
      <c r="Z348" s="184"/>
      <c r="AB348" s="184"/>
      <c r="AH348" s="184">
        <f t="shared" si="38"/>
        <v>10000</v>
      </c>
      <c r="AK348" s="190">
        <f t="shared" si="41"/>
        <v>788000</v>
      </c>
      <c r="AL348" s="264"/>
      <c r="AM348" s="264" t="s">
        <v>4081</v>
      </c>
      <c r="AN348" s="288"/>
      <c r="AO348" s="135">
        <f t="shared" si="39"/>
        <v>0</v>
      </c>
      <c r="AP348" s="162">
        <f>0.6%+0.04%+0.1%</f>
        <v>0.0074</v>
      </c>
      <c r="AQ348" s="237">
        <f t="shared" si="40"/>
        <v>0</v>
      </c>
      <c r="AR348" s="184"/>
      <c r="AS348" s="184"/>
      <c r="AT348" s="184"/>
      <c r="AU348" s="184"/>
      <c r="AV348" s="184"/>
      <c r="AW348" s="184"/>
      <c r="AX348" s="184"/>
      <c r="AY348" s="184"/>
      <c r="AZ348" s="184"/>
      <c r="BA348" s="268"/>
      <c r="BB348" s="184"/>
      <c r="BC348" s="268"/>
    </row>
    <row r="349" s="135" customFormat="1" customHeight="1" spans="1:68">
      <c r="A349" s="220">
        <v>279</v>
      </c>
      <c r="B349" s="135">
        <v>1</v>
      </c>
      <c r="D349" s="263"/>
      <c r="F349" s="298"/>
      <c r="G349" s="262" t="s">
        <v>4339</v>
      </c>
      <c r="H349" s="262"/>
      <c r="I349" s="236" t="s">
        <v>4340</v>
      </c>
      <c r="J349" s="135">
        <v>147.09</v>
      </c>
      <c r="K349" s="135">
        <v>147.09</v>
      </c>
      <c r="L349" s="135">
        <v>5800</v>
      </c>
      <c r="M349" s="285">
        <v>853122</v>
      </c>
      <c r="N349" s="286">
        <v>5574.82</v>
      </c>
      <c r="O349" s="287"/>
      <c r="P349" s="263"/>
      <c r="Q349" s="263"/>
      <c r="R349" s="184">
        <v>3122</v>
      </c>
      <c r="S349" s="261" t="s">
        <v>623</v>
      </c>
      <c r="T349" s="262"/>
      <c r="U349" s="261" t="s">
        <v>4341</v>
      </c>
      <c r="V349" s="184">
        <v>20000</v>
      </c>
      <c r="W349" s="261">
        <v>45540</v>
      </c>
      <c r="X349" s="184">
        <v>400000</v>
      </c>
      <c r="Y349" s="261">
        <v>45562</v>
      </c>
      <c r="Z349" s="184">
        <v>3122</v>
      </c>
      <c r="AA349" s="261" t="s">
        <v>623</v>
      </c>
      <c r="AB349" s="184"/>
      <c r="AH349" s="184">
        <f t="shared" si="38"/>
        <v>423122</v>
      </c>
      <c r="AK349" s="190">
        <f t="shared" si="41"/>
        <v>430000</v>
      </c>
      <c r="AL349" s="264" t="s">
        <v>4342</v>
      </c>
      <c r="AM349" s="264" t="s">
        <v>4343</v>
      </c>
      <c r="AN349" s="288"/>
      <c r="AO349" s="135">
        <f t="shared" si="39"/>
        <v>0</v>
      </c>
      <c r="AP349" s="162">
        <f>0.4%+0.12%+0.03%</f>
        <v>0.0055</v>
      </c>
      <c r="AQ349" s="237">
        <f t="shared" si="40"/>
        <v>100</v>
      </c>
      <c r="AR349" s="184"/>
      <c r="AS349" s="184"/>
      <c r="AT349" s="184"/>
      <c r="AU349" s="184"/>
      <c r="AV349" s="184">
        <v>100</v>
      </c>
      <c r="AW349" s="184"/>
      <c r="AX349" s="184"/>
      <c r="AY349" s="184"/>
      <c r="AZ349" s="184"/>
      <c r="BA349" s="268"/>
      <c r="BB349" s="184"/>
      <c r="BC349" s="268"/>
      <c r="BL349" s="132"/>
      <c r="BM349" s="132"/>
      <c r="BN349" s="132"/>
      <c r="BO349" s="132"/>
      <c r="BP349" s="132"/>
    </row>
    <row r="350" s="135" customFormat="1" customHeight="1" spans="1:73">
      <c r="A350" s="220">
        <v>280</v>
      </c>
      <c r="C350" s="135" t="s">
        <v>3180</v>
      </c>
      <c r="D350" s="135">
        <v>20230010089</v>
      </c>
      <c r="F350" s="264" t="s">
        <v>4344</v>
      </c>
      <c r="G350" s="262" t="s">
        <v>4345</v>
      </c>
      <c r="H350" s="844" t="s">
        <v>4346</v>
      </c>
      <c r="I350" s="232" t="s">
        <v>4347</v>
      </c>
      <c r="J350" s="135">
        <v>137.88</v>
      </c>
      <c r="K350" s="135">
        <v>137.88</v>
      </c>
      <c r="L350" s="135">
        <v>5802.146</v>
      </c>
      <c r="M350" s="233">
        <v>800000</v>
      </c>
      <c r="N350" s="184">
        <f>5830.81-28.66</f>
        <v>5802.15</v>
      </c>
      <c r="O350" s="190"/>
      <c r="P350" s="264"/>
      <c r="R350" s="184"/>
      <c r="S350" s="185"/>
      <c r="T350" s="262"/>
      <c r="U350" s="262" t="s">
        <v>524</v>
      </c>
      <c r="V350" s="184"/>
      <c r="W350" s="243"/>
      <c r="X350" s="184">
        <v>20000</v>
      </c>
      <c r="Y350" s="185" t="s">
        <v>2378</v>
      </c>
      <c r="Z350" s="184">
        <f>20000+20000</f>
        <v>40000</v>
      </c>
      <c r="AA350" s="185" t="s">
        <v>2275</v>
      </c>
      <c r="AB350" s="184">
        <v>100000</v>
      </c>
      <c r="AC350" s="155" t="s">
        <v>3180</v>
      </c>
      <c r="AD350" s="184">
        <v>640000</v>
      </c>
      <c r="AE350" s="185" t="s">
        <v>762</v>
      </c>
      <c r="AF350" s="155"/>
      <c r="AG350" s="155"/>
      <c r="AH350" s="184">
        <f t="shared" si="38"/>
        <v>800000</v>
      </c>
      <c r="AK350" s="190">
        <f t="shared" si="41"/>
        <v>0</v>
      </c>
      <c r="AL350" s="264" t="s">
        <v>4348</v>
      </c>
      <c r="AM350" s="264" t="s">
        <v>3254</v>
      </c>
      <c r="AN350" s="295"/>
      <c r="AO350" s="135">
        <f t="shared" si="39"/>
        <v>800000</v>
      </c>
      <c r="AP350" s="162">
        <f>0.4%+0.02%+0.08%</f>
        <v>0.005</v>
      </c>
      <c r="AQ350" s="237">
        <f t="shared" si="40"/>
        <v>100</v>
      </c>
      <c r="AR350" s="184"/>
      <c r="AS350" s="184"/>
      <c r="AT350" s="184"/>
      <c r="AU350" s="184"/>
      <c r="AV350" s="184"/>
      <c r="AW350" s="184">
        <v>100</v>
      </c>
      <c r="AX350" s="184"/>
      <c r="AY350" s="184"/>
      <c r="AZ350" s="184"/>
      <c r="BA350" s="268"/>
      <c r="BB350" s="184"/>
      <c r="BC350" s="268"/>
      <c r="BD350" s="135">
        <v>160000</v>
      </c>
      <c r="BE350" s="135">
        <v>640000</v>
      </c>
      <c r="BT350" s="135" t="s">
        <v>496</v>
      </c>
      <c r="BU350" s="135" t="s">
        <v>506</v>
      </c>
    </row>
    <row r="351" s="135" customFormat="1" customHeight="1" spans="1:72">
      <c r="A351" s="220">
        <v>281</v>
      </c>
      <c r="C351" s="135" t="s">
        <v>88</v>
      </c>
      <c r="D351" s="135">
        <v>20240005456</v>
      </c>
      <c r="F351" s="264" t="s">
        <v>281</v>
      </c>
      <c r="G351" s="220" t="s">
        <v>282</v>
      </c>
      <c r="H351" s="844" t="s">
        <v>4349</v>
      </c>
      <c r="I351" s="236" t="s">
        <v>4350</v>
      </c>
      <c r="J351" s="135">
        <v>147.09</v>
      </c>
      <c r="K351" s="135">
        <v>147.09</v>
      </c>
      <c r="L351" s="135">
        <v>5848.49</v>
      </c>
      <c r="M351" s="233">
        <v>860255</v>
      </c>
      <c r="N351" s="184">
        <v>5848.49</v>
      </c>
      <c r="O351" s="190"/>
      <c r="P351" s="264"/>
      <c r="R351" s="184"/>
      <c r="S351" s="185"/>
      <c r="T351" s="220"/>
      <c r="U351" s="185" t="s">
        <v>590</v>
      </c>
      <c r="V351" s="184">
        <v>20000</v>
      </c>
      <c r="W351" s="185" t="s">
        <v>669</v>
      </c>
      <c r="X351" s="184">
        <v>75255</v>
      </c>
      <c r="Y351" s="185" t="s">
        <v>3389</v>
      </c>
      <c r="Z351" s="184">
        <v>200000</v>
      </c>
      <c r="AA351" s="185" t="s">
        <v>88</v>
      </c>
      <c r="AB351" s="184"/>
      <c r="AC351" s="155"/>
      <c r="AD351" s="155"/>
      <c r="AE351" s="155"/>
      <c r="AF351" s="155"/>
      <c r="AG351" s="155"/>
      <c r="AH351" s="184">
        <f t="shared" si="38"/>
        <v>295255</v>
      </c>
      <c r="AK351" s="190">
        <f t="shared" si="41"/>
        <v>565000</v>
      </c>
      <c r="AL351" s="264" t="s">
        <v>4351</v>
      </c>
      <c r="AM351" s="264"/>
      <c r="AN351" s="295"/>
      <c r="AO351" s="135">
        <f t="shared" si="39"/>
        <v>0</v>
      </c>
      <c r="AP351" s="162">
        <f>0.4%+0.02%+0.12%</f>
        <v>0.0054</v>
      </c>
      <c r="AQ351" s="237">
        <f t="shared" si="40"/>
        <v>0</v>
      </c>
      <c r="AR351" s="184"/>
      <c r="AS351" s="184"/>
      <c r="AT351" s="184"/>
      <c r="AU351" s="184"/>
      <c r="AV351" s="184"/>
      <c r="AW351" s="184"/>
      <c r="AX351" s="184"/>
      <c r="AY351" s="184"/>
      <c r="AZ351" s="184"/>
      <c r="BA351" s="268"/>
      <c r="BB351" s="184"/>
      <c r="BC351" s="268"/>
      <c r="BT351" s="135" t="s">
        <v>496</v>
      </c>
    </row>
    <row r="352" s="135" customFormat="1" customHeight="1" spans="1:73">
      <c r="A352" s="220">
        <v>282</v>
      </c>
      <c r="C352" s="135" t="s">
        <v>4352</v>
      </c>
      <c r="D352" s="135">
        <v>20230010358</v>
      </c>
      <c r="F352" s="264" t="s">
        <v>4353</v>
      </c>
      <c r="G352" s="220" t="s">
        <v>4354</v>
      </c>
      <c r="H352" s="844" t="s">
        <v>4355</v>
      </c>
      <c r="I352" s="232" t="s">
        <v>4356</v>
      </c>
      <c r="J352" s="135">
        <v>137.88</v>
      </c>
      <c r="K352" s="135">
        <v>137.88</v>
      </c>
      <c r="L352" s="135">
        <v>5863.42</v>
      </c>
      <c r="M352" s="233">
        <v>808448</v>
      </c>
      <c r="N352" s="184">
        <v>5863.42</v>
      </c>
      <c r="O352" s="190"/>
      <c r="P352" s="264"/>
      <c r="R352" s="184"/>
      <c r="S352" s="185"/>
      <c r="T352" s="220"/>
      <c r="U352" s="185" t="s">
        <v>590</v>
      </c>
      <c r="V352" s="184">
        <v>20000</v>
      </c>
      <c r="W352" s="155" t="s">
        <v>1524</v>
      </c>
      <c r="X352" s="184">
        <v>115448</v>
      </c>
      <c r="Y352" s="185" t="s">
        <v>4352</v>
      </c>
      <c r="Z352" s="220">
        <v>33000</v>
      </c>
      <c r="AA352" s="243" t="s">
        <v>4357</v>
      </c>
      <c r="AB352" s="184">
        <v>640000</v>
      </c>
      <c r="AC352" s="185" t="s">
        <v>3557</v>
      </c>
      <c r="AD352" s="155"/>
      <c r="AE352" s="155"/>
      <c r="AF352" s="155"/>
      <c r="AG352" s="155"/>
      <c r="AH352" s="184">
        <f t="shared" si="38"/>
        <v>808448</v>
      </c>
      <c r="AK352" s="190">
        <f t="shared" ref="AK352:AK358" si="42">M352-AH352</f>
        <v>0</v>
      </c>
      <c r="AL352" s="264" t="s">
        <v>4358</v>
      </c>
      <c r="AM352" s="264"/>
      <c r="AN352" s="295"/>
      <c r="AO352" s="135">
        <f t="shared" si="39"/>
        <v>808448</v>
      </c>
      <c r="AP352" s="162">
        <f>0.7%+0.02%+0.08%</f>
        <v>0.008</v>
      </c>
      <c r="AQ352" s="237">
        <f t="shared" si="40"/>
        <v>0</v>
      </c>
      <c r="AR352" s="184"/>
      <c r="AS352" s="184"/>
      <c r="AT352" s="184"/>
      <c r="AU352" s="184"/>
      <c r="AV352" s="184"/>
      <c r="AW352" s="184"/>
      <c r="AX352" s="184"/>
      <c r="AY352" s="184"/>
      <c r="AZ352" s="184"/>
      <c r="BA352" s="268"/>
      <c r="BB352" s="184"/>
      <c r="BC352" s="268"/>
      <c r="BD352" s="135">
        <v>168448</v>
      </c>
      <c r="BF352" s="135">
        <v>640000</v>
      </c>
      <c r="BT352" s="135" t="s">
        <v>496</v>
      </c>
      <c r="BU352" s="135" t="s">
        <v>506</v>
      </c>
    </row>
    <row r="353" s="135" customFormat="1" customHeight="1" spans="1:73">
      <c r="A353" s="220">
        <v>283</v>
      </c>
      <c r="C353" s="155">
        <v>45360</v>
      </c>
      <c r="D353" s="135">
        <v>20240001236</v>
      </c>
      <c r="F353" s="264" t="s">
        <v>4359</v>
      </c>
      <c r="G353" s="220" t="s">
        <v>4360</v>
      </c>
      <c r="H353" s="844" t="s">
        <v>4361</v>
      </c>
      <c r="I353" s="236" t="s">
        <v>4362</v>
      </c>
      <c r="J353" s="135">
        <v>147.09</v>
      </c>
      <c r="K353" s="135">
        <v>147.09</v>
      </c>
      <c r="L353" s="135">
        <v>5922.84</v>
      </c>
      <c r="M353" s="233">
        <v>871191</v>
      </c>
      <c r="N353" s="184">
        <v>5922.84</v>
      </c>
      <c r="O353" s="190"/>
      <c r="P353" s="264"/>
      <c r="R353" s="184"/>
      <c r="S353" s="185"/>
      <c r="T353" s="220"/>
      <c r="U353" s="185" t="s">
        <v>825</v>
      </c>
      <c r="V353" s="184">
        <v>20000</v>
      </c>
      <c r="W353" s="185" t="s">
        <v>3406</v>
      </c>
      <c r="X353" s="184">
        <f>240000+2191</f>
        <v>242191</v>
      </c>
      <c r="Y353" s="185" t="s">
        <v>3853</v>
      </c>
      <c r="Z353" s="220">
        <v>609000</v>
      </c>
      <c r="AA353" s="243" t="s">
        <v>3378</v>
      </c>
      <c r="AB353" s="184"/>
      <c r="AC353" s="155"/>
      <c r="AD353" s="155"/>
      <c r="AE353" s="155"/>
      <c r="AF353" s="155"/>
      <c r="AG353" s="155"/>
      <c r="AH353" s="184">
        <f t="shared" si="38"/>
        <v>871191</v>
      </c>
      <c r="AK353" s="190">
        <f t="shared" si="42"/>
        <v>0</v>
      </c>
      <c r="AL353" s="264" t="s">
        <v>4363</v>
      </c>
      <c r="AM353" s="264"/>
      <c r="AN353" s="295"/>
      <c r="AO353" s="135">
        <f t="shared" si="39"/>
        <v>871191</v>
      </c>
      <c r="AP353" s="162">
        <f>0.4%+0.12%</f>
        <v>0.0052</v>
      </c>
      <c r="AQ353" s="237">
        <f t="shared" si="40"/>
        <v>0</v>
      </c>
      <c r="AR353" s="184"/>
      <c r="AS353" s="184"/>
      <c r="AT353" s="184"/>
      <c r="AU353" s="184"/>
      <c r="AV353" s="184"/>
      <c r="AW353" s="184"/>
      <c r="AX353" s="184"/>
      <c r="AY353" s="184"/>
      <c r="AZ353" s="184"/>
      <c r="BA353" s="268"/>
      <c r="BB353" s="184"/>
      <c r="BC353" s="268"/>
      <c r="BG353" s="135">
        <v>871191</v>
      </c>
      <c r="BT353" s="135" t="s">
        <v>496</v>
      </c>
      <c r="BU353" s="135" t="s">
        <v>506</v>
      </c>
    </row>
    <row r="354" s="135" customFormat="1" customHeight="1" spans="1:73">
      <c r="A354" s="220">
        <v>284</v>
      </c>
      <c r="C354" s="135" t="s">
        <v>646</v>
      </c>
      <c r="D354" s="135">
        <v>20230008236</v>
      </c>
      <c r="F354" s="264"/>
      <c r="G354" s="220" t="s">
        <v>4364</v>
      </c>
      <c r="H354" s="220"/>
      <c r="I354" s="232" t="s">
        <v>4365</v>
      </c>
      <c r="J354" s="135">
        <v>137.88</v>
      </c>
      <c r="K354" s="135">
        <v>137.88</v>
      </c>
      <c r="L354" s="135">
        <v>5937.765</v>
      </c>
      <c r="M354" s="233">
        <v>818699</v>
      </c>
      <c r="N354" s="184">
        <v>5937.76</v>
      </c>
      <c r="O354" s="190"/>
      <c r="P354" s="264"/>
      <c r="R354" s="184"/>
      <c r="S354" s="185"/>
      <c r="T354" s="844" t="s">
        <v>2988</v>
      </c>
      <c r="U354" s="185" t="s">
        <v>594</v>
      </c>
      <c r="V354" s="184">
        <f>10000-10000</f>
        <v>0</v>
      </c>
      <c r="W354" s="185" t="s">
        <v>2820</v>
      </c>
      <c r="X354" s="184">
        <v>28699</v>
      </c>
      <c r="Y354" s="185" t="s">
        <v>646</v>
      </c>
      <c r="Z354" s="184">
        <v>140000</v>
      </c>
      <c r="AA354" s="185" t="s">
        <v>991</v>
      </c>
      <c r="AB354" s="184">
        <v>650000</v>
      </c>
      <c r="AC354" s="185" t="s">
        <v>888</v>
      </c>
      <c r="AD354" s="155"/>
      <c r="AE354" s="155"/>
      <c r="AF354" s="155"/>
      <c r="AG354" s="155"/>
      <c r="AH354" s="184">
        <f t="shared" si="38"/>
        <v>818699</v>
      </c>
      <c r="AK354" s="190">
        <f t="shared" si="42"/>
        <v>0</v>
      </c>
      <c r="AL354" s="264"/>
      <c r="AM354" s="264"/>
      <c r="AN354" s="295"/>
      <c r="AO354" s="135">
        <f t="shared" si="39"/>
        <v>818699</v>
      </c>
      <c r="AP354" s="162">
        <f>0.6%+0.04%+0.12%</f>
        <v>0.0076</v>
      </c>
      <c r="AQ354" s="237">
        <f t="shared" si="40"/>
        <v>300</v>
      </c>
      <c r="AR354" s="237">
        <v>100</v>
      </c>
      <c r="AS354" s="184"/>
      <c r="AT354" s="184"/>
      <c r="AU354" s="184"/>
      <c r="AV354" s="184"/>
      <c r="AW354" s="184"/>
      <c r="AX354" s="184">
        <v>200</v>
      </c>
      <c r="AY354" s="184"/>
      <c r="AZ354" s="184"/>
      <c r="BA354" s="268"/>
      <c r="BB354" s="184">
        <v>168699</v>
      </c>
      <c r="BC354" s="268">
        <v>650000</v>
      </c>
      <c r="BT354" s="135" t="s">
        <v>496</v>
      </c>
      <c r="BU354" s="135" t="s">
        <v>506</v>
      </c>
    </row>
    <row r="355" s="135" customFormat="1" ht="47" customHeight="1" spans="1:73">
      <c r="A355" s="220">
        <v>285</v>
      </c>
      <c r="C355" s="135" t="s">
        <v>551</v>
      </c>
      <c r="D355" s="135">
        <v>20230010500</v>
      </c>
      <c r="F355" s="264" t="s">
        <v>4366</v>
      </c>
      <c r="G355" s="262" t="s">
        <v>4367</v>
      </c>
      <c r="H355" s="844" t="s">
        <v>4368</v>
      </c>
      <c r="I355" s="236" t="s">
        <v>4369</v>
      </c>
      <c r="J355" s="135">
        <v>147.09</v>
      </c>
      <c r="K355" s="135">
        <v>147.09</v>
      </c>
      <c r="L355" s="135">
        <v>5991.75</v>
      </c>
      <c r="M355" s="233">
        <v>881328</v>
      </c>
      <c r="N355" s="184">
        <v>5991.75</v>
      </c>
      <c r="O355" s="190"/>
      <c r="P355" s="264"/>
      <c r="R355" s="184"/>
      <c r="S355" s="185"/>
      <c r="T355" s="845" t="s">
        <v>4370</v>
      </c>
      <c r="U355" s="261" t="s">
        <v>4371</v>
      </c>
      <c r="V355" s="184">
        <f>10000-10000</f>
        <v>0</v>
      </c>
      <c r="W355" s="185" t="s">
        <v>2594</v>
      </c>
      <c r="X355" s="184">
        <v>10000</v>
      </c>
      <c r="Y355" s="185" t="s">
        <v>2070</v>
      </c>
      <c r="Z355" s="220">
        <v>10000</v>
      </c>
      <c r="AA355" s="243" t="s">
        <v>646</v>
      </c>
      <c r="AB355" s="184">
        <v>171328</v>
      </c>
      <c r="AC355" s="185" t="s">
        <v>551</v>
      </c>
      <c r="AD355" s="184">
        <v>690000</v>
      </c>
      <c r="AE355" s="185" t="s">
        <v>2765</v>
      </c>
      <c r="AF355" s="155"/>
      <c r="AG355" s="155"/>
      <c r="AH355" s="184">
        <f t="shared" si="38"/>
        <v>881328</v>
      </c>
      <c r="AK355" s="190">
        <f t="shared" si="42"/>
        <v>0</v>
      </c>
      <c r="AL355" s="264" t="s">
        <v>4372</v>
      </c>
      <c r="AM355" s="264"/>
      <c r="AN355" s="295"/>
      <c r="AO355" s="135">
        <f t="shared" si="39"/>
        <v>881328</v>
      </c>
      <c r="AP355" s="162">
        <f t="shared" ref="AP355:AP357" si="43">0.7%+0.12%</f>
        <v>0.0082</v>
      </c>
      <c r="AQ355" s="237">
        <f t="shared" si="40"/>
        <v>400</v>
      </c>
      <c r="AR355" s="184"/>
      <c r="AS355" s="184"/>
      <c r="AT355" s="184"/>
      <c r="AU355" s="184"/>
      <c r="AV355" s="184"/>
      <c r="AW355" s="184">
        <v>100</v>
      </c>
      <c r="AX355" s="184">
        <f>100+200</f>
        <v>300</v>
      </c>
      <c r="AY355" s="184"/>
      <c r="AZ355" s="184"/>
      <c r="BB355" s="184"/>
      <c r="BD355" s="135">
        <v>191328</v>
      </c>
      <c r="BF355" s="135">
        <v>690000</v>
      </c>
      <c r="BT355" s="135" t="s">
        <v>496</v>
      </c>
      <c r="BU355" s="135" t="s">
        <v>506</v>
      </c>
    </row>
    <row r="356" s="135" customFormat="1" customHeight="1" spans="1:73">
      <c r="A356" s="220">
        <v>286</v>
      </c>
      <c r="C356" s="155">
        <v>45417</v>
      </c>
      <c r="D356" s="135">
        <v>20240002622</v>
      </c>
      <c r="F356" s="264" t="s">
        <v>4373</v>
      </c>
      <c r="G356" s="220" t="s">
        <v>4374</v>
      </c>
      <c r="H356" s="844" t="s">
        <v>4375</v>
      </c>
      <c r="I356" s="232" t="s">
        <v>4376</v>
      </c>
      <c r="J356" s="135">
        <v>137.88</v>
      </c>
      <c r="K356" s="135">
        <v>137.88</v>
      </c>
      <c r="L356" s="135">
        <v>6000</v>
      </c>
      <c r="M356" s="233">
        <v>827280</v>
      </c>
      <c r="N356" s="184">
        <v>6000</v>
      </c>
      <c r="O356" s="190"/>
      <c r="P356" s="264"/>
      <c r="R356" s="184"/>
      <c r="S356" s="185"/>
      <c r="T356" s="220"/>
      <c r="U356" s="185" t="s">
        <v>502</v>
      </c>
      <c r="V356" s="184">
        <v>10000</v>
      </c>
      <c r="W356" s="185" t="s">
        <v>646</v>
      </c>
      <c r="X356" s="184">
        <v>157280</v>
      </c>
      <c r="Y356" s="185" t="s">
        <v>742</v>
      </c>
      <c r="Z356" s="184">
        <v>660000</v>
      </c>
      <c r="AA356" s="185" t="s">
        <v>3612</v>
      </c>
      <c r="AB356" s="184"/>
      <c r="AC356" s="155"/>
      <c r="AD356" s="155"/>
      <c r="AE356" s="155"/>
      <c r="AF356" s="155"/>
      <c r="AG356" s="155"/>
      <c r="AH356" s="184">
        <f t="shared" si="38"/>
        <v>827280</v>
      </c>
      <c r="AK356" s="190">
        <f t="shared" si="42"/>
        <v>0</v>
      </c>
      <c r="AL356" s="264" t="s">
        <v>4377</v>
      </c>
      <c r="AM356" s="264"/>
      <c r="AN356" s="295"/>
      <c r="AO356" s="135">
        <f t="shared" si="39"/>
        <v>827280</v>
      </c>
      <c r="AP356" s="162">
        <f t="shared" si="43"/>
        <v>0.0082</v>
      </c>
      <c r="AQ356" s="237">
        <f t="shared" si="40"/>
        <v>100</v>
      </c>
      <c r="AR356" s="237">
        <v>100</v>
      </c>
      <c r="AS356" s="184"/>
      <c r="AT356" s="184"/>
      <c r="AU356" s="184"/>
      <c r="AV356" s="184"/>
      <c r="AW356" s="184"/>
      <c r="AX356" s="184"/>
      <c r="AY356" s="184"/>
      <c r="AZ356" s="184"/>
      <c r="BA356" s="268"/>
      <c r="BB356" s="184"/>
      <c r="BC356" s="268"/>
      <c r="BI356" s="135">
        <v>167280</v>
      </c>
      <c r="BL356" s="135">
        <v>660000</v>
      </c>
      <c r="BT356" s="135" t="s">
        <v>496</v>
      </c>
      <c r="BU356" s="135" t="s">
        <v>506</v>
      </c>
    </row>
    <row r="357" s="135" customFormat="1" customHeight="1" spans="1:73">
      <c r="A357" s="220">
        <v>287</v>
      </c>
      <c r="C357" s="135" t="s">
        <v>656</v>
      </c>
      <c r="D357" s="135">
        <v>20230008703</v>
      </c>
      <c r="F357" s="264" t="s">
        <v>4378</v>
      </c>
      <c r="G357" s="220" t="s">
        <v>4379</v>
      </c>
      <c r="H357" s="844" t="s">
        <v>4380</v>
      </c>
      <c r="I357" s="232" t="s">
        <v>4381</v>
      </c>
      <c r="J357" s="135">
        <v>147.09</v>
      </c>
      <c r="K357" s="135">
        <v>147.09</v>
      </c>
      <c r="L357" s="135">
        <v>6040.67</v>
      </c>
      <c r="M357" s="233">
        <v>888523</v>
      </c>
      <c r="N357" s="184">
        <v>6040.67</v>
      </c>
      <c r="O357" s="190"/>
      <c r="P357" s="264"/>
      <c r="R357" s="184"/>
      <c r="S357" s="185"/>
      <c r="T357" s="220"/>
      <c r="U357" s="185" t="s">
        <v>502</v>
      </c>
      <c r="V357" s="184">
        <v>20000</v>
      </c>
      <c r="W357" s="185" t="s">
        <v>646</v>
      </c>
      <c r="X357" s="184">
        <v>736023</v>
      </c>
      <c r="Y357" s="243" t="s">
        <v>656</v>
      </c>
      <c r="Z357" s="220">
        <v>132500</v>
      </c>
      <c r="AA357" s="243" t="s">
        <v>798</v>
      </c>
      <c r="AB357" s="184"/>
      <c r="AC357" s="155"/>
      <c r="AD357" s="155"/>
      <c r="AE357" s="155"/>
      <c r="AF357" s="155"/>
      <c r="AG357" s="155"/>
      <c r="AH357" s="184">
        <f t="shared" si="38"/>
        <v>888523</v>
      </c>
      <c r="AK357" s="190">
        <f t="shared" si="42"/>
        <v>0</v>
      </c>
      <c r="AL357" s="264" t="s">
        <v>4382</v>
      </c>
      <c r="AM357" s="264"/>
      <c r="AN357" s="295"/>
      <c r="AO357" s="135">
        <f t="shared" si="39"/>
        <v>888523</v>
      </c>
      <c r="AP357" s="162">
        <f t="shared" si="43"/>
        <v>0.0082</v>
      </c>
      <c r="AQ357" s="237">
        <f t="shared" si="40"/>
        <v>200</v>
      </c>
      <c r="AR357" s="184"/>
      <c r="AS357" s="184"/>
      <c r="AT357" s="184"/>
      <c r="AU357" s="184"/>
      <c r="AV357" s="184"/>
      <c r="AW357" s="184"/>
      <c r="AX357" s="184">
        <v>200</v>
      </c>
      <c r="AY357" s="184"/>
      <c r="AZ357" s="184"/>
      <c r="BA357" s="268"/>
      <c r="BB357" s="184">
        <v>888523</v>
      </c>
      <c r="BC357" s="268"/>
      <c r="BT357" s="135" t="s">
        <v>496</v>
      </c>
      <c r="BU357" s="135" t="s">
        <v>506</v>
      </c>
    </row>
    <row r="358" s="135" customFormat="1" customHeight="1" spans="1:73">
      <c r="A358" s="220">
        <v>288</v>
      </c>
      <c r="C358" s="135" t="s">
        <v>662</v>
      </c>
      <c r="D358" s="135">
        <v>20230009916</v>
      </c>
      <c r="F358" s="264" t="s">
        <v>4383</v>
      </c>
      <c r="G358" s="220" t="s">
        <v>4384</v>
      </c>
      <c r="H358" s="844" t="s">
        <v>4385</v>
      </c>
      <c r="I358" s="236" t="s">
        <v>4386</v>
      </c>
      <c r="J358" s="135">
        <v>137.88</v>
      </c>
      <c r="K358" s="135">
        <v>137.88</v>
      </c>
      <c r="L358" s="135">
        <v>6055.59</v>
      </c>
      <c r="M358" s="233">
        <v>834945</v>
      </c>
      <c r="N358" s="184">
        <v>6055.59</v>
      </c>
      <c r="O358" s="190"/>
      <c r="P358" s="264"/>
      <c r="R358" s="184"/>
      <c r="S358" s="185"/>
      <c r="T358" s="844" t="s">
        <v>4387</v>
      </c>
      <c r="U358" s="185" t="s">
        <v>590</v>
      </c>
      <c r="V358" s="184">
        <v>10000</v>
      </c>
      <c r="W358" s="185" t="s">
        <v>1477</v>
      </c>
      <c r="X358" s="184">
        <v>10000</v>
      </c>
      <c r="Y358" s="185" t="s">
        <v>3814</v>
      </c>
      <c r="Z358" s="220">
        <v>154945</v>
      </c>
      <c r="AA358" s="243" t="s">
        <v>662</v>
      </c>
      <c r="AB358" s="184">
        <v>660000</v>
      </c>
      <c r="AC358" s="185" t="s">
        <v>4388</v>
      </c>
      <c r="AD358" s="155"/>
      <c r="AE358" s="155"/>
      <c r="AF358" s="155"/>
      <c r="AG358" s="155"/>
      <c r="AH358" s="184">
        <f t="shared" si="38"/>
        <v>834945</v>
      </c>
      <c r="AK358" s="190">
        <f t="shared" si="42"/>
        <v>0</v>
      </c>
      <c r="AL358" s="264"/>
      <c r="AM358" s="264"/>
      <c r="AN358" s="295"/>
      <c r="AO358" s="135">
        <f t="shared" si="39"/>
        <v>834945</v>
      </c>
      <c r="AP358" s="162">
        <f>0.7%+0.02%+0.08%</f>
        <v>0.008</v>
      </c>
      <c r="AQ358" s="237">
        <f t="shared" si="40"/>
        <v>100</v>
      </c>
      <c r="AR358" s="237">
        <v>100</v>
      </c>
      <c r="AS358" s="184"/>
      <c r="AT358" s="184"/>
      <c r="AU358" s="184"/>
      <c r="AV358" s="184"/>
      <c r="AW358" s="184"/>
      <c r="AX358" s="184"/>
      <c r="AY358" s="184"/>
      <c r="AZ358" s="184"/>
      <c r="BB358" s="184"/>
      <c r="BC358" s="135">
        <v>174945</v>
      </c>
      <c r="BF358" s="135">
        <v>660000</v>
      </c>
      <c r="BT358" s="135" t="s">
        <v>496</v>
      </c>
      <c r="BU358" s="135" t="s">
        <v>506</v>
      </c>
    </row>
    <row r="359" s="135" customFormat="1" customHeight="1" spans="1:73">
      <c r="A359" s="220">
        <v>289</v>
      </c>
      <c r="C359" s="135" t="s">
        <v>686</v>
      </c>
      <c r="D359" s="135">
        <v>20230008368</v>
      </c>
      <c r="F359" s="264" t="s">
        <v>4389</v>
      </c>
      <c r="G359" s="220" t="s">
        <v>4390</v>
      </c>
      <c r="H359" s="844" t="s">
        <v>4391</v>
      </c>
      <c r="I359" s="236" t="s">
        <v>4392</v>
      </c>
      <c r="J359" s="135">
        <v>147.09</v>
      </c>
      <c r="K359" s="135">
        <v>147.09</v>
      </c>
      <c r="L359" s="135">
        <v>6067.84</v>
      </c>
      <c r="M359" s="233">
        <v>892519</v>
      </c>
      <c r="N359" s="184">
        <v>6067.84</v>
      </c>
      <c r="O359" s="190"/>
      <c r="P359" s="264"/>
      <c r="R359" s="184"/>
      <c r="S359" s="185"/>
      <c r="T359" s="844" t="s">
        <v>1878</v>
      </c>
      <c r="U359" s="185" t="s">
        <v>524</v>
      </c>
      <c r="V359" s="184">
        <f>10000-10000</f>
        <v>0</v>
      </c>
      <c r="W359" s="185" t="s">
        <v>1660</v>
      </c>
      <c r="X359" s="184">
        <v>10000</v>
      </c>
      <c r="Y359" s="185" t="s">
        <v>646</v>
      </c>
      <c r="Z359" s="184">
        <v>60519</v>
      </c>
      <c r="AA359" s="185" t="s">
        <v>541</v>
      </c>
      <c r="AB359" s="184">
        <v>75900</v>
      </c>
      <c r="AC359" s="155" t="s">
        <v>802</v>
      </c>
      <c r="AD359" s="155">
        <f>36100+11000</f>
        <v>47100</v>
      </c>
      <c r="AE359" s="155" t="s">
        <v>1661</v>
      </c>
      <c r="AF359" s="184">
        <v>699000</v>
      </c>
      <c r="AG359" s="185" t="s">
        <v>4393</v>
      </c>
      <c r="AH359" s="184">
        <f t="shared" si="38"/>
        <v>892519</v>
      </c>
      <c r="AK359" s="190">
        <f t="shared" ref="AK359:AK366" si="44">M359-AH359</f>
        <v>0</v>
      </c>
      <c r="AL359" s="264" t="s">
        <v>4394</v>
      </c>
      <c r="AM359" s="264"/>
      <c r="AN359" s="295"/>
      <c r="AO359" s="135">
        <f t="shared" si="39"/>
        <v>892519</v>
      </c>
      <c r="AP359" s="162">
        <f>0.6%+0.04%+0.12%</f>
        <v>0.0076</v>
      </c>
      <c r="AQ359" s="237">
        <f t="shared" si="40"/>
        <v>300</v>
      </c>
      <c r="AR359" s="184"/>
      <c r="AS359" s="184"/>
      <c r="AT359" s="184"/>
      <c r="AU359" s="184"/>
      <c r="AV359" s="184"/>
      <c r="AW359" s="184">
        <v>100</v>
      </c>
      <c r="AX359" s="184">
        <v>200</v>
      </c>
      <c r="AY359" s="184"/>
      <c r="AZ359" s="184"/>
      <c r="BA359" s="268"/>
      <c r="BB359" s="184">
        <v>193519</v>
      </c>
      <c r="BC359" s="268">
        <v>699000</v>
      </c>
      <c r="BT359" s="135" t="s">
        <v>496</v>
      </c>
      <c r="BU359" s="135" t="s">
        <v>506</v>
      </c>
    </row>
    <row r="360" s="135" customFormat="1" ht="45" customHeight="1" spans="1:73">
      <c r="A360" s="220">
        <v>290</v>
      </c>
      <c r="C360" s="135" t="s">
        <v>3438</v>
      </c>
      <c r="D360" s="135">
        <v>20240000310</v>
      </c>
      <c r="F360" s="264" t="s">
        <v>4395</v>
      </c>
      <c r="G360" s="262" t="s">
        <v>4396</v>
      </c>
      <c r="H360" s="220"/>
      <c r="I360" s="232" t="s">
        <v>4397</v>
      </c>
      <c r="J360" s="135">
        <v>137.88</v>
      </c>
      <c r="K360" s="135">
        <v>137.88</v>
      </c>
      <c r="L360" s="135">
        <v>6082.76</v>
      </c>
      <c r="M360" s="233">
        <v>838692</v>
      </c>
      <c r="N360" s="184">
        <v>6082.76</v>
      </c>
      <c r="O360" s="190"/>
      <c r="P360" s="264"/>
      <c r="R360" s="184"/>
      <c r="S360" s="185"/>
      <c r="T360" s="262" t="s">
        <v>4398</v>
      </c>
      <c r="U360" s="261" t="s">
        <v>4399</v>
      </c>
      <c r="V360" s="184">
        <f>10000-10000</f>
        <v>0</v>
      </c>
      <c r="W360" s="185"/>
      <c r="X360" s="184">
        <v>20000</v>
      </c>
      <c r="Y360" s="185" t="s">
        <v>549</v>
      </c>
      <c r="Z360" s="184">
        <v>20000</v>
      </c>
      <c r="AA360" s="185" t="s">
        <v>2275</v>
      </c>
      <c r="AB360" s="184">
        <v>128692</v>
      </c>
      <c r="AC360" s="185" t="s">
        <v>3438</v>
      </c>
      <c r="AD360" s="184">
        <v>670000</v>
      </c>
      <c r="AE360" s="185" t="s">
        <v>3557</v>
      </c>
      <c r="AF360" s="155"/>
      <c r="AG360" s="155"/>
      <c r="AH360" s="184">
        <f t="shared" si="38"/>
        <v>838692</v>
      </c>
      <c r="AK360" s="190">
        <f t="shared" si="44"/>
        <v>0</v>
      </c>
      <c r="AL360" s="264" t="s">
        <v>4400</v>
      </c>
      <c r="AM360" s="264"/>
      <c r="AN360" s="295"/>
      <c r="AO360" s="135">
        <f t="shared" si="39"/>
        <v>838692</v>
      </c>
      <c r="AP360" s="162">
        <f>0.6%+0.02%+0.08%</f>
        <v>0.007</v>
      </c>
      <c r="AQ360" s="237">
        <f t="shared" si="40"/>
        <v>200</v>
      </c>
      <c r="AR360" s="184"/>
      <c r="AS360" s="184"/>
      <c r="AT360" s="184"/>
      <c r="AU360" s="184"/>
      <c r="AV360" s="184">
        <v>100</v>
      </c>
      <c r="AW360" s="184"/>
      <c r="AX360" s="184">
        <v>100</v>
      </c>
      <c r="AY360" s="184"/>
      <c r="AZ360" s="184"/>
      <c r="BA360" s="268"/>
      <c r="BB360" s="184"/>
      <c r="BC360" s="268"/>
      <c r="BE360" s="135">
        <v>168692</v>
      </c>
      <c r="BF360" s="135">
        <v>670000</v>
      </c>
      <c r="BT360" s="135" t="s">
        <v>496</v>
      </c>
      <c r="BU360" s="135" t="s">
        <v>506</v>
      </c>
    </row>
    <row r="361" s="135" customFormat="1" ht="50" customHeight="1" spans="1:73">
      <c r="A361" s="220">
        <v>291</v>
      </c>
      <c r="C361" s="135" t="s">
        <v>656</v>
      </c>
      <c r="D361" s="135">
        <v>20230008636</v>
      </c>
      <c r="F361" s="264" t="s">
        <v>4401</v>
      </c>
      <c r="G361" s="262" t="s">
        <v>4402</v>
      </c>
      <c r="H361" s="844" t="s">
        <v>4403</v>
      </c>
      <c r="I361" s="236" t="s">
        <v>4404</v>
      </c>
      <c r="J361" s="135">
        <v>147.09</v>
      </c>
      <c r="K361" s="135">
        <v>147.09</v>
      </c>
      <c r="L361" s="135">
        <v>6096.75</v>
      </c>
      <c r="M361" s="233">
        <v>896772</v>
      </c>
      <c r="N361" s="184">
        <v>6096.75</v>
      </c>
      <c r="O361" s="190"/>
      <c r="P361" s="264"/>
      <c r="R361" s="184"/>
      <c r="S361" s="185"/>
      <c r="T361" s="844" t="s">
        <v>2280</v>
      </c>
      <c r="U361" s="261" t="s">
        <v>4371</v>
      </c>
      <c r="V361" s="184">
        <f>10000-10000</f>
        <v>0</v>
      </c>
      <c r="W361" s="185" t="s">
        <v>4251</v>
      </c>
      <c r="X361" s="184">
        <v>10000</v>
      </c>
      <c r="Y361" s="185" t="s">
        <v>646</v>
      </c>
      <c r="Z361" s="184">
        <v>156772</v>
      </c>
      <c r="AA361" s="185" t="s">
        <v>656</v>
      </c>
      <c r="AB361" s="184">
        <v>20000</v>
      </c>
      <c r="AC361" s="185" t="s">
        <v>629</v>
      </c>
      <c r="AD361" s="220">
        <v>8000</v>
      </c>
      <c r="AE361" s="155" t="s">
        <v>4105</v>
      </c>
      <c r="AF361" s="184">
        <v>702000</v>
      </c>
      <c r="AG361" s="185" t="s">
        <v>4213</v>
      </c>
      <c r="AH361" s="184">
        <f t="shared" si="38"/>
        <v>896772</v>
      </c>
      <c r="AK361" s="190">
        <f t="shared" si="44"/>
        <v>0</v>
      </c>
      <c r="AL361" s="264" t="s">
        <v>4405</v>
      </c>
      <c r="AM361" s="264"/>
      <c r="AN361" s="295"/>
      <c r="AO361" s="135">
        <f t="shared" si="39"/>
        <v>896772</v>
      </c>
      <c r="AP361" s="162">
        <f>0.6%+0.04%+0.12%</f>
        <v>0.0076</v>
      </c>
      <c r="AQ361" s="237">
        <f t="shared" si="40"/>
        <v>300</v>
      </c>
      <c r="AR361" s="184"/>
      <c r="AS361" s="184"/>
      <c r="AT361" s="184"/>
      <c r="AU361" s="184"/>
      <c r="AV361" s="184"/>
      <c r="AW361" s="184">
        <v>100</v>
      </c>
      <c r="AX361" s="184">
        <v>200</v>
      </c>
      <c r="AY361" s="184"/>
      <c r="AZ361" s="184"/>
      <c r="BA361" s="268"/>
      <c r="BB361" s="184"/>
      <c r="BC361" s="268">
        <v>194772</v>
      </c>
      <c r="BD361" s="135">
        <v>702000</v>
      </c>
      <c r="BT361" s="135" t="s">
        <v>496</v>
      </c>
      <c r="BU361" s="135" t="s">
        <v>506</v>
      </c>
    </row>
    <row r="362" s="135" customFormat="1" customHeight="1" spans="1:73">
      <c r="A362" s="220">
        <v>292</v>
      </c>
      <c r="C362" s="135">
        <v>2024.1</v>
      </c>
      <c r="D362" s="135">
        <v>20240000114</v>
      </c>
      <c r="F362" s="264" t="s">
        <v>4406</v>
      </c>
      <c r="G362" s="262" t="s">
        <v>4407</v>
      </c>
      <c r="H362" s="844" t="s">
        <v>4408</v>
      </c>
      <c r="I362" s="236" t="s">
        <v>4409</v>
      </c>
      <c r="J362" s="135">
        <v>137.88</v>
      </c>
      <c r="K362" s="135">
        <v>137.88</v>
      </c>
      <c r="L362" s="135">
        <v>6114.01</v>
      </c>
      <c r="M362" s="233">
        <v>843000</v>
      </c>
      <c r="N362" s="184">
        <v>6111.68</v>
      </c>
      <c r="O362" s="190"/>
      <c r="P362" s="264"/>
      <c r="R362" s="184"/>
      <c r="S362" s="185"/>
      <c r="T362" s="844" t="s">
        <v>2813</v>
      </c>
      <c r="U362" s="185" t="s">
        <v>590</v>
      </c>
      <c r="V362" s="184">
        <f>10000-10000</f>
        <v>0</v>
      </c>
      <c r="W362" s="185" t="s">
        <v>4410</v>
      </c>
      <c r="X362" s="184">
        <v>20000</v>
      </c>
      <c r="Y362" s="185" t="s">
        <v>725</v>
      </c>
      <c r="Z362" s="220">
        <v>103000</v>
      </c>
      <c r="AA362" s="243" t="s">
        <v>3268</v>
      </c>
      <c r="AB362" s="184">
        <v>50000</v>
      </c>
      <c r="AC362" s="155" t="s">
        <v>4411</v>
      </c>
      <c r="AD362" s="184">
        <v>670000</v>
      </c>
      <c r="AE362" s="185" t="s">
        <v>3457</v>
      </c>
      <c r="AF362" s="155"/>
      <c r="AG362" s="155"/>
      <c r="AH362" s="184">
        <f t="shared" si="38"/>
        <v>843000</v>
      </c>
      <c r="AK362" s="190">
        <f t="shared" si="44"/>
        <v>0</v>
      </c>
      <c r="AL362" s="264" t="s">
        <v>4412</v>
      </c>
      <c r="AM362" s="264"/>
      <c r="AN362" s="295"/>
      <c r="AO362" s="135">
        <f t="shared" si="39"/>
        <v>843000</v>
      </c>
      <c r="AP362" s="166">
        <f>0.4%+0.03%+0.08%</f>
        <v>0.0051</v>
      </c>
      <c r="AQ362" s="237">
        <f t="shared" si="40"/>
        <v>100</v>
      </c>
      <c r="AR362" s="237">
        <v>100</v>
      </c>
      <c r="AS362" s="184"/>
      <c r="AT362" s="184"/>
      <c r="AU362" s="184"/>
      <c r="AV362" s="184"/>
      <c r="AW362" s="184"/>
      <c r="AX362" s="184"/>
      <c r="AY362" s="184"/>
      <c r="AZ362" s="184"/>
      <c r="BA362" s="268"/>
      <c r="BB362" s="184"/>
      <c r="BC362" s="268"/>
      <c r="BE362" s="135">
        <v>173000</v>
      </c>
      <c r="BG362" s="135">
        <v>670000</v>
      </c>
      <c r="BT362" s="135" t="s">
        <v>496</v>
      </c>
      <c r="BU362" s="135" t="s">
        <v>506</v>
      </c>
    </row>
    <row r="363" s="135" customFormat="1" customHeight="1" spans="1:73">
      <c r="A363" s="220">
        <v>293</v>
      </c>
      <c r="C363" s="155">
        <v>45463</v>
      </c>
      <c r="D363" s="135">
        <v>20240003533</v>
      </c>
      <c r="F363" s="264" t="s">
        <v>4413</v>
      </c>
      <c r="G363" s="220" t="s">
        <v>4414</v>
      </c>
      <c r="H363" s="844" t="s">
        <v>4415</v>
      </c>
      <c r="I363" s="236" t="s">
        <v>4416</v>
      </c>
      <c r="J363" s="135">
        <v>147.09</v>
      </c>
      <c r="K363" s="135">
        <v>147.09</v>
      </c>
      <c r="L363" s="135">
        <f>M363/K363</f>
        <v>6118.70283499898</v>
      </c>
      <c r="M363" s="233">
        <v>900000</v>
      </c>
      <c r="N363" s="184">
        <v>6118.49</v>
      </c>
      <c r="O363" s="190"/>
      <c r="P363" s="264"/>
      <c r="T363" s="834" t="s">
        <v>4403</v>
      </c>
      <c r="U363" s="135" t="s">
        <v>524</v>
      </c>
      <c r="V363" s="135">
        <v>2000</v>
      </c>
      <c r="W363" s="135" t="s">
        <v>4417</v>
      </c>
      <c r="X363" s="184">
        <v>18000</v>
      </c>
      <c r="Y363" s="243" t="s">
        <v>3802</v>
      </c>
      <c r="Z363" s="135">
        <v>160000</v>
      </c>
      <c r="AA363" s="135" t="s">
        <v>3500</v>
      </c>
      <c r="AB363" s="184">
        <v>45000</v>
      </c>
      <c r="AC363" s="155" t="s">
        <v>3500</v>
      </c>
      <c r="AD363" s="176">
        <v>675000</v>
      </c>
      <c r="AE363" s="155" t="s">
        <v>4418</v>
      </c>
      <c r="AF363" s="155"/>
      <c r="AG363" s="155"/>
      <c r="AH363" s="184">
        <f t="shared" si="38"/>
        <v>900000</v>
      </c>
      <c r="AK363" s="190">
        <f t="shared" si="44"/>
        <v>0</v>
      </c>
      <c r="AL363" s="264" t="s">
        <v>4419</v>
      </c>
      <c r="AM363" s="264"/>
      <c r="AN363" s="295"/>
      <c r="AO363" s="135">
        <f t="shared" si="39"/>
        <v>900000</v>
      </c>
      <c r="AP363" s="162">
        <f>0.7%+0.12%</f>
        <v>0.0082</v>
      </c>
      <c r="AQ363" s="237">
        <f t="shared" si="40"/>
        <v>0</v>
      </c>
      <c r="AR363" s="184"/>
      <c r="AS363" s="184"/>
      <c r="AT363" s="184"/>
      <c r="AU363" s="184"/>
      <c r="AV363" s="184"/>
      <c r="AW363" s="184"/>
      <c r="AX363" s="184"/>
      <c r="AY363" s="184"/>
      <c r="AZ363" s="184"/>
      <c r="BA363" s="268"/>
      <c r="BB363" s="184"/>
      <c r="BC363" s="268"/>
      <c r="BJ363" s="135">
        <v>900000</v>
      </c>
      <c r="BT363" s="135" t="s">
        <v>496</v>
      </c>
      <c r="BU363" s="135" t="s">
        <v>506</v>
      </c>
    </row>
    <row r="364" s="135" customFormat="1" ht="46" customHeight="1" spans="1:73">
      <c r="A364" s="220">
        <v>294</v>
      </c>
      <c r="C364" s="135" t="s">
        <v>656</v>
      </c>
      <c r="D364" s="135">
        <v>20230008640</v>
      </c>
      <c r="F364" s="264" t="s">
        <v>4420</v>
      </c>
      <c r="G364" s="262" t="s">
        <v>4421</v>
      </c>
      <c r="H364" s="844" t="s">
        <v>4422</v>
      </c>
      <c r="I364" s="232" t="s">
        <v>4423</v>
      </c>
      <c r="J364" s="135">
        <v>137.88</v>
      </c>
      <c r="K364" s="135">
        <v>137.88</v>
      </c>
      <c r="L364" s="135">
        <v>6133.42</v>
      </c>
      <c r="M364" s="233">
        <v>845676</v>
      </c>
      <c r="N364" s="184">
        <v>6133.42</v>
      </c>
      <c r="O364" s="190"/>
      <c r="P364" s="264"/>
      <c r="R364" s="184"/>
      <c r="S364" s="185"/>
      <c r="T364" s="844" t="s">
        <v>4424</v>
      </c>
      <c r="U364" s="261" t="s">
        <v>4425</v>
      </c>
      <c r="V364" s="184">
        <f>10000-10000</f>
        <v>0</v>
      </c>
      <c r="W364" s="185" t="s">
        <v>2138</v>
      </c>
      <c r="X364" s="184">
        <v>10000</v>
      </c>
      <c r="Y364" s="185" t="s">
        <v>646</v>
      </c>
      <c r="Z364" s="184">
        <v>65000</v>
      </c>
      <c r="AA364" s="185" t="s">
        <v>690</v>
      </c>
      <c r="AB364" s="184">
        <f>120000+676</f>
        <v>120676</v>
      </c>
      <c r="AC364" s="155" t="s">
        <v>1935</v>
      </c>
      <c r="AD364" s="176">
        <v>10000</v>
      </c>
      <c r="AE364" s="155" t="s">
        <v>3987</v>
      </c>
      <c r="AF364" s="184">
        <f>190000+450000</f>
        <v>640000</v>
      </c>
      <c r="AG364" s="261" t="s">
        <v>4426</v>
      </c>
      <c r="AH364" s="184">
        <f t="shared" si="38"/>
        <v>845676</v>
      </c>
      <c r="AK364" s="190">
        <f t="shared" si="44"/>
        <v>0</v>
      </c>
      <c r="AL364" s="264" t="s">
        <v>4427</v>
      </c>
      <c r="AM364" s="264"/>
      <c r="AN364" s="295"/>
      <c r="AO364" s="135">
        <f t="shared" si="39"/>
        <v>845676</v>
      </c>
      <c r="AP364" s="162">
        <f>0.7%+0.02%+0.12%</f>
        <v>0.0084</v>
      </c>
      <c r="AQ364" s="237">
        <f t="shared" si="40"/>
        <v>300</v>
      </c>
      <c r="AR364" s="184"/>
      <c r="AS364" s="184"/>
      <c r="AT364" s="184"/>
      <c r="AU364" s="184">
        <v>100</v>
      </c>
      <c r="AV364" s="184"/>
      <c r="AW364" s="184"/>
      <c r="AX364" s="184">
        <v>200</v>
      </c>
      <c r="AY364" s="184"/>
      <c r="AZ364" s="184"/>
      <c r="BA364" s="268"/>
      <c r="BB364" s="184"/>
      <c r="BC364" s="268">
        <v>395676</v>
      </c>
      <c r="BD364" s="135">
        <v>450000</v>
      </c>
      <c r="BT364" s="135" t="s">
        <v>496</v>
      </c>
      <c r="BU364" s="135" t="s">
        <v>506</v>
      </c>
    </row>
    <row r="365" s="135" customFormat="1" ht="49" customHeight="1" spans="1:73">
      <c r="A365" s="220">
        <v>295</v>
      </c>
      <c r="C365" s="155">
        <v>45398</v>
      </c>
      <c r="D365" s="135">
        <v>20240002103</v>
      </c>
      <c r="F365" s="264" t="s">
        <v>4428</v>
      </c>
      <c r="G365" s="262" t="s">
        <v>4429</v>
      </c>
      <c r="H365" s="220"/>
      <c r="I365" s="236" t="s">
        <v>4430</v>
      </c>
      <c r="J365" s="135">
        <v>147.09</v>
      </c>
      <c r="K365" s="135">
        <v>147.09</v>
      </c>
      <c r="L365" s="135">
        <v>7160</v>
      </c>
      <c r="M365" s="233">
        <v>1053164</v>
      </c>
      <c r="N365" s="184">
        <v>7159</v>
      </c>
      <c r="O365" s="190"/>
      <c r="P365" s="264"/>
      <c r="R365" s="184"/>
      <c r="S365" s="185"/>
      <c r="T365" s="262"/>
      <c r="U365" s="261" t="s">
        <v>721</v>
      </c>
      <c r="V365" s="184">
        <v>20000</v>
      </c>
      <c r="W365" s="185" t="s">
        <v>3557</v>
      </c>
      <c r="X365" s="184">
        <v>300000</v>
      </c>
      <c r="Y365" s="292" t="s">
        <v>4431</v>
      </c>
      <c r="Z365" s="184">
        <v>733164</v>
      </c>
      <c r="AA365" s="185" t="s">
        <v>4417</v>
      </c>
      <c r="AB365" s="184"/>
      <c r="AC365" s="292"/>
      <c r="AD365" s="184"/>
      <c r="AE365" s="185"/>
      <c r="AF365" s="155"/>
      <c r="AG365" s="155"/>
      <c r="AH365" s="184">
        <f t="shared" si="38"/>
        <v>1053164</v>
      </c>
      <c r="AK365" s="190">
        <f t="shared" si="44"/>
        <v>0</v>
      </c>
      <c r="AL365" s="264" t="s">
        <v>4432</v>
      </c>
      <c r="AM365" s="264"/>
      <c r="AN365" s="295"/>
      <c r="AO365" s="135">
        <f t="shared" si="39"/>
        <v>1053164</v>
      </c>
      <c r="AP365" s="166">
        <f>0.7%+0.05%+0.14%</f>
        <v>0.0089</v>
      </c>
      <c r="AQ365" s="237">
        <f t="shared" si="40"/>
        <v>200</v>
      </c>
      <c r="AR365" s="237">
        <v>100</v>
      </c>
      <c r="AS365" s="184"/>
      <c r="AT365" s="184"/>
      <c r="AU365" s="184"/>
      <c r="AV365" s="184">
        <v>100</v>
      </c>
      <c r="AW365" s="184"/>
      <c r="AX365" s="184"/>
      <c r="AY365" s="184"/>
      <c r="AZ365" s="184"/>
      <c r="BA365" s="268"/>
      <c r="BB365" s="184"/>
      <c r="BC365" s="268"/>
      <c r="BH365" s="135">
        <v>1053164</v>
      </c>
      <c r="BT365" s="135" t="s">
        <v>496</v>
      </c>
      <c r="BU365" s="135" t="s">
        <v>506</v>
      </c>
    </row>
    <row r="366" s="135" customFormat="1" customHeight="1" spans="1:54">
      <c r="A366" s="220">
        <v>296</v>
      </c>
      <c r="F366" s="264"/>
      <c r="G366" s="220" t="s">
        <v>4433</v>
      </c>
      <c r="H366" s="220"/>
      <c r="I366" s="232" t="s">
        <v>4434</v>
      </c>
      <c r="J366" s="135">
        <v>137.88</v>
      </c>
      <c r="K366" s="135">
        <v>137.88</v>
      </c>
      <c r="L366" s="135">
        <v>7107.63</v>
      </c>
      <c r="M366" s="233">
        <v>980000</v>
      </c>
      <c r="N366" s="184">
        <v>7107.63</v>
      </c>
      <c r="O366" s="190"/>
      <c r="P366" s="264"/>
      <c r="R366" s="184"/>
      <c r="S366" s="185"/>
      <c r="T366" s="220"/>
      <c r="U366" s="185" t="s">
        <v>508</v>
      </c>
      <c r="V366" s="184">
        <f>10000-10000</f>
        <v>0</v>
      </c>
      <c r="W366" s="185" t="s">
        <v>699</v>
      </c>
      <c r="X366" s="184"/>
      <c r="Y366" s="243"/>
      <c r="Z366" s="220"/>
      <c r="AA366" s="243"/>
      <c r="AB366" s="184"/>
      <c r="AC366" s="155"/>
      <c r="AD366" s="155"/>
      <c r="AE366" s="155"/>
      <c r="AF366" s="155"/>
      <c r="AG366" s="155"/>
      <c r="AH366" s="184">
        <f t="shared" si="38"/>
        <v>0</v>
      </c>
      <c r="AK366" s="190">
        <f t="shared" si="44"/>
        <v>980000</v>
      </c>
      <c r="AL366" s="264"/>
      <c r="AM366" s="264"/>
      <c r="AN366" s="295"/>
      <c r="AO366" s="135">
        <f t="shared" si="39"/>
        <v>0</v>
      </c>
      <c r="AP366" s="166">
        <f>0.7%+0.05%+0.12%</f>
        <v>0.0087</v>
      </c>
      <c r="AQ366" s="237">
        <f t="shared" si="40"/>
        <v>0</v>
      </c>
      <c r="AR366" s="184"/>
      <c r="AS366" s="184"/>
      <c r="AT366" s="184"/>
      <c r="AU366" s="184"/>
      <c r="AV366" s="184"/>
      <c r="AW366" s="184"/>
      <c r="AX366" s="184"/>
      <c r="AY366" s="184"/>
      <c r="AZ366" s="184"/>
      <c r="BB366" s="184"/>
    </row>
    <row r="367" s="135" customFormat="1" customHeight="1" spans="1:73">
      <c r="A367" s="220">
        <v>297</v>
      </c>
      <c r="C367" s="135" t="s">
        <v>560</v>
      </c>
      <c r="D367" s="135">
        <v>20230008511</v>
      </c>
      <c r="F367" s="264" t="s">
        <v>4435</v>
      </c>
      <c r="G367" s="220" t="s">
        <v>4436</v>
      </c>
      <c r="H367" s="844" t="s">
        <v>4437</v>
      </c>
      <c r="I367" s="236" t="s">
        <v>4438</v>
      </c>
      <c r="J367" s="135">
        <v>140.45</v>
      </c>
      <c r="K367" s="135">
        <v>140.48</v>
      </c>
      <c r="L367" s="135">
        <v>8246</v>
      </c>
      <c r="M367" s="233">
        <v>1158151</v>
      </c>
      <c r="N367" s="184">
        <v>8246</v>
      </c>
      <c r="O367" s="190"/>
      <c r="P367" s="264"/>
      <c r="R367" s="184"/>
      <c r="S367" s="185"/>
      <c r="T367" s="844" t="s">
        <v>2031</v>
      </c>
      <c r="U367" s="185" t="s">
        <v>721</v>
      </c>
      <c r="V367" s="184">
        <v>10000</v>
      </c>
      <c r="W367" s="185" t="s">
        <v>1535</v>
      </c>
      <c r="X367" s="184">
        <v>10000</v>
      </c>
      <c r="Y367" s="185" t="s">
        <v>646</v>
      </c>
      <c r="Z367" s="184">
        <f>30000+57151</f>
        <v>87151</v>
      </c>
      <c r="AA367" s="185" t="s">
        <v>541</v>
      </c>
      <c r="AB367" s="184">
        <v>100000</v>
      </c>
      <c r="AC367" s="185" t="s">
        <v>534</v>
      </c>
      <c r="AD367" s="184">
        <v>25000</v>
      </c>
      <c r="AE367" s="185" t="s">
        <v>578</v>
      </c>
      <c r="AF367" s="220">
        <v>926000</v>
      </c>
      <c r="AG367" s="155" t="s">
        <v>4352</v>
      </c>
      <c r="AH367" s="184">
        <f t="shared" si="38"/>
        <v>1158151</v>
      </c>
      <c r="AK367" s="190">
        <f t="shared" ref="AK367:AK374" si="45">M367-AH367</f>
        <v>0</v>
      </c>
      <c r="AL367" s="264" t="s">
        <v>4439</v>
      </c>
      <c r="AM367" s="264"/>
      <c r="AN367" s="295"/>
      <c r="AO367" s="135">
        <f t="shared" si="39"/>
        <v>1158151</v>
      </c>
      <c r="AP367" s="162">
        <f>0.7%+0.04%+0.12%</f>
        <v>0.0086</v>
      </c>
      <c r="AQ367" s="237">
        <f t="shared" si="40"/>
        <v>300</v>
      </c>
      <c r="AR367" s="184"/>
      <c r="AS367" s="184"/>
      <c r="AT367" s="184">
        <v>100</v>
      </c>
      <c r="AU367" s="184"/>
      <c r="AV367" s="184"/>
      <c r="AW367" s="184"/>
      <c r="AX367" s="184">
        <v>200</v>
      </c>
      <c r="AY367" s="184"/>
      <c r="AZ367" s="184"/>
      <c r="BB367" s="184"/>
      <c r="BD367" s="135">
        <v>1158151</v>
      </c>
      <c r="BT367" s="135" t="s">
        <v>496</v>
      </c>
      <c r="BU367" s="135" t="s">
        <v>506</v>
      </c>
    </row>
    <row r="368" s="135" customFormat="1" ht="46" customHeight="1" spans="1:73">
      <c r="A368" s="220">
        <v>298</v>
      </c>
      <c r="C368" s="155">
        <v>45417</v>
      </c>
      <c r="D368" s="135">
        <v>20240002580</v>
      </c>
      <c r="F368" s="264" t="s">
        <v>4440</v>
      </c>
      <c r="G368" s="262" t="s">
        <v>4441</v>
      </c>
      <c r="H368" s="844" t="s">
        <v>4442</v>
      </c>
      <c r="I368" s="232" t="s">
        <v>4443</v>
      </c>
      <c r="J368" s="135">
        <v>141.05</v>
      </c>
      <c r="K368" s="135">
        <v>141.05</v>
      </c>
      <c r="L368" s="135">
        <v>8231.1</v>
      </c>
      <c r="M368" s="233">
        <v>1161000</v>
      </c>
      <c r="N368" s="184">
        <v>8227</v>
      </c>
      <c r="O368" s="190"/>
      <c r="P368" s="264"/>
      <c r="R368" s="184"/>
      <c r="S368" s="185"/>
      <c r="T368" s="262"/>
      <c r="U368" s="261" t="s">
        <v>508</v>
      </c>
      <c r="V368" s="184">
        <v>20000</v>
      </c>
      <c r="W368" s="185" t="s">
        <v>1005</v>
      </c>
      <c r="X368" s="184">
        <f>422000+719000</f>
        <v>1141000</v>
      </c>
      <c r="Y368" s="185" t="s">
        <v>1001</v>
      </c>
      <c r="Z368" s="184"/>
      <c r="AA368" s="185"/>
      <c r="AB368" s="184"/>
      <c r="AC368" s="155"/>
      <c r="AD368" s="155"/>
      <c r="AE368" s="155"/>
      <c r="AF368" s="155"/>
      <c r="AG368" s="155"/>
      <c r="AH368" s="184">
        <f t="shared" si="38"/>
        <v>1161000</v>
      </c>
      <c r="AK368" s="190">
        <f t="shared" si="45"/>
        <v>0</v>
      </c>
      <c r="AL368" s="264" t="s">
        <v>4444</v>
      </c>
      <c r="AM368" s="264"/>
      <c r="AN368" s="295"/>
      <c r="AO368" s="135">
        <f t="shared" si="39"/>
        <v>1161000</v>
      </c>
      <c r="AP368" s="166">
        <f>0.7%+0.03%+0.08%</f>
        <v>0.0081</v>
      </c>
      <c r="AQ368" s="237">
        <f t="shared" si="40"/>
        <v>400</v>
      </c>
      <c r="AR368" s="184"/>
      <c r="AS368" s="184"/>
      <c r="AT368" s="184"/>
      <c r="AU368" s="184">
        <v>100</v>
      </c>
      <c r="AV368" s="184"/>
      <c r="AW368" s="184">
        <v>100</v>
      </c>
      <c r="AX368" s="184">
        <v>200</v>
      </c>
      <c r="AY368" s="184"/>
      <c r="AZ368" s="184"/>
      <c r="BB368" s="184"/>
      <c r="BI368" s="135">
        <v>1161000</v>
      </c>
      <c r="BT368" s="135" t="s">
        <v>496</v>
      </c>
      <c r="BU368" s="135" t="s">
        <v>506</v>
      </c>
    </row>
    <row r="369" s="135" customFormat="1" customHeight="1" spans="1:72">
      <c r="A369" s="220">
        <v>299</v>
      </c>
      <c r="B369" s="135"/>
      <c r="C369" s="135" t="s">
        <v>125</v>
      </c>
      <c r="D369" s="135">
        <v>20240005865</v>
      </c>
      <c r="F369" s="264" t="s">
        <v>283</v>
      </c>
      <c r="G369" s="220" t="s">
        <v>284</v>
      </c>
      <c r="H369" s="220"/>
      <c r="I369" s="236" t="s">
        <v>4445</v>
      </c>
      <c r="J369" s="135">
        <v>137.88</v>
      </c>
      <c r="K369" s="135">
        <v>137.88</v>
      </c>
      <c r="L369" s="135">
        <v>5475.776</v>
      </c>
      <c r="M369" s="233">
        <v>755000</v>
      </c>
      <c r="N369" s="184">
        <v>5475.776</v>
      </c>
      <c r="O369" s="190"/>
      <c r="P369" s="264"/>
      <c r="R369" s="184"/>
      <c r="S369" s="185"/>
      <c r="T369" s="220"/>
      <c r="U369" s="185" t="s">
        <v>524</v>
      </c>
      <c r="V369" s="184">
        <v>41000</v>
      </c>
      <c r="W369" s="185" t="s">
        <v>125</v>
      </c>
      <c r="X369" s="184">
        <f>60000+50000</f>
        <v>110000</v>
      </c>
      <c r="Y369" s="185" t="s">
        <v>113</v>
      </c>
      <c r="Z369" s="220">
        <v>604000</v>
      </c>
      <c r="AA369" s="243" t="s">
        <v>303</v>
      </c>
      <c r="AB369" s="184"/>
      <c r="AC369" s="155"/>
      <c r="AD369" s="155"/>
      <c r="AE369" s="155"/>
      <c r="AF369" s="155"/>
      <c r="AG369" s="155"/>
      <c r="AH369" s="184">
        <f t="shared" si="38"/>
        <v>755000</v>
      </c>
      <c r="AK369" s="190">
        <f t="shared" si="45"/>
        <v>0</v>
      </c>
      <c r="AL369" s="264" t="s">
        <v>4446</v>
      </c>
      <c r="AM369" s="264" t="s">
        <v>3318</v>
      </c>
      <c r="AN369" s="295"/>
      <c r="AO369" s="135">
        <f t="shared" si="39"/>
        <v>755000</v>
      </c>
      <c r="AP369" s="162">
        <f>0.7%+0.08%+0.03%</f>
        <v>0.0081</v>
      </c>
      <c r="AQ369" s="237">
        <f t="shared" si="40"/>
        <v>0</v>
      </c>
      <c r="AR369" s="184"/>
      <c r="AS369" s="184"/>
      <c r="AT369" s="184"/>
      <c r="AU369" s="184"/>
      <c r="AV369" s="184"/>
      <c r="AW369" s="184"/>
      <c r="AX369" s="184"/>
      <c r="AY369" s="184"/>
      <c r="AZ369" s="184"/>
      <c r="BB369" s="184"/>
      <c r="BO369" s="135">
        <v>755000</v>
      </c>
      <c r="BT369" s="135" t="s">
        <v>496</v>
      </c>
    </row>
    <row r="370" s="132" customFormat="1" customHeight="1" spans="1:54">
      <c r="A370" s="220">
        <v>300</v>
      </c>
      <c r="F370" s="276"/>
      <c r="G370" s="212"/>
      <c r="H370" s="212"/>
      <c r="I370" s="228" t="s">
        <v>4447</v>
      </c>
      <c r="J370" s="132">
        <v>138.37</v>
      </c>
      <c r="M370" s="213"/>
      <c r="N370" s="215">
        <v>5750.63</v>
      </c>
      <c r="O370" s="173"/>
      <c r="P370" s="276"/>
      <c r="R370" s="215"/>
      <c r="S370" s="216"/>
      <c r="T370" s="212"/>
      <c r="U370" s="216"/>
      <c r="V370" s="215"/>
      <c r="W370" s="274"/>
      <c r="X370" s="215"/>
      <c r="Y370" s="242"/>
      <c r="Z370" s="212"/>
      <c r="AA370" s="242"/>
      <c r="AB370" s="215"/>
      <c r="AC370" s="274"/>
      <c r="AD370" s="274"/>
      <c r="AE370" s="274"/>
      <c r="AF370" s="274"/>
      <c r="AG370" s="274"/>
      <c r="AH370" s="215">
        <f t="shared" si="38"/>
        <v>0</v>
      </c>
      <c r="AK370" s="173"/>
      <c r="AL370" s="276"/>
      <c r="AM370" s="276"/>
      <c r="AN370" s="294"/>
      <c r="AO370" s="132">
        <f t="shared" si="39"/>
        <v>0</v>
      </c>
      <c r="AP370" s="157"/>
      <c r="AQ370" s="251">
        <f t="shared" si="40"/>
        <v>0</v>
      </c>
      <c r="AR370" s="215"/>
      <c r="AS370" s="215"/>
      <c r="AT370" s="215"/>
      <c r="AU370" s="215"/>
      <c r="AV370" s="215"/>
      <c r="AW370" s="215"/>
      <c r="AX370" s="215"/>
      <c r="AY370" s="215"/>
      <c r="AZ370" s="215"/>
      <c r="BB370" s="215"/>
    </row>
    <row r="371" s="135" customFormat="1" customHeight="1" spans="1:73">
      <c r="A371" s="220">
        <v>301</v>
      </c>
      <c r="C371" s="135" t="s">
        <v>4099</v>
      </c>
      <c r="D371" s="135">
        <v>20240000085</v>
      </c>
      <c r="F371" s="844" t="s">
        <v>4448</v>
      </c>
      <c r="G371" s="220" t="s">
        <v>4449</v>
      </c>
      <c r="H371" s="844" t="s">
        <v>4450</v>
      </c>
      <c r="I371" s="236" t="s">
        <v>4451</v>
      </c>
      <c r="J371" s="135">
        <v>137.88</v>
      </c>
      <c r="K371" s="135">
        <v>137.88</v>
      </c>
      <c r="L371" s="135">
        <v>5840</v>
      </c>
      <c r="M371" s="233">
        <v>805219</v>
      </c>
      <c r="N371" s="184">
        <v>5824.29</v>
      </c>
      <c r="O371" s="190"/>
      <c r="P371" s="264"/>
      <c r="R371" s="184"/>
      <c r="S371" s="185"/>
      <c r="T371" s="220"/>
      <c r="U371" s="185" t="s">
        <v>2249</v>
      </c>
      <c r="V371" s="184">
        <v>20000</v>
      </c>
      <c r="W371" s="185" t="s">
        <v>750</v>
      </c>
      <c r="X371" s="184">
        <v>5219</v>
      </c>
      <c r="Y371" s="243" t="s">
        <v>679</v>
      </c>
      <c r="Z371" s="184">
        <v>65000</v>
      </c>
      <c r="AA371" s="185" t="s">
        <v>752</v>
      </c>
      <c r="AB371" s="184">
        <v>75000</v>
      </c>
      <c r="AC371" s="155" t="s">
        <v>752</v>
      </c>
      <c r="AD371" s="184">
        <v>640000</v>
      </c>
      <c r="AE371" s="185" t="s">
        <v>3506</v>
      </c>
      <c r="AF371" s="155"/>
      <c r="AG371" s="155"/>
      <c r="AH371" s="184">
        <f t="shared" si="38"/>
        <v>805219</v>
      </c>
      <c r="AK371" s="190">
        <f t="shared" si="45"/>
        <v>0</v>
      </c>
      <c r="AL371" s="264" t="s">
        <v>4452</v>
      </c>
      <c r="AM371" s="264"/>
      <c r="AN371" s="295"/>
      <c r="AO371" s="135">
        <f t="shared" si="39"/>
        <v>805219</v>
      </c>
      <c r="AP371" s="166">
        <f>0.4%+0.02%+0.08%</f>
        <v>0.005</v>
      </c>
      <c r="AQ371" s="237">
        <f t="shared" si="40"/>
        <v>0</v>
      </c>
      <c r="AR371" s="184"/>
      <c r="AS371" s="184"/>
      <c r="AT371" s="184"/>
      <c r="AU371" s="184"/>
      <c r="AV371" s="184"/>
      <c r="AW371" s="184"/>
      <c r="AX371" s="184"/>
      <c r="AY371" s="184"/>
      <c r="AZ371" s="184"/>
      <c r="BB371" s="184"/>
      <c r="BE371" s="135">
        <v>165219</v>
      </c>
      <c r="BG371" s="135">
        <v>640000</v>
      </c>
      <c r="BT371" s="135" t="s">
        <v>496</v>
      </c>
      <c r="BU371" s="135" t="s">
        <v>506</v>
      </c>
    </row>
    <row r="372" s="135" customFormat="1" customHeight="1" spans="1:72">
      <c r="A372" s="220">
        <v>302</v>
      </c>
      <c r="C372" s="135" t="s">
        <v>285</v>
      </c>
      <c r="D372" s="135">
        <v>20240004487</v>
      </c>
      <c r="F372" s="264" t="s">
        <v>286</v>
      </c>
      <c r="G372" s="220" t="s">
        <v>287</v>
      </c>
      <c r="H372" s="844" t="s">
        <v>4453</v>
      </c>
      <c r="I372" s="236" t="s">
        <v>4454</v>
      </c>
      <c r="J372" s="135">
        <v>138.37</v>
      </c>
      <c r="K372" s="135">
        <v>138.37</v>
      </c>
      <c r="L372" s="135">
        <v>5510</v>
      </c>
      <c r="M372" s="233">
        <v>762419</v>
      </c>
      <c r="N372" s="184">
        <v>5510</v>
      </c>
      <c r="O372" s="190"/>
      <c r="P372" s="264"/>
      <c r="R372" s="184"/>
      <c r="S372" s="185"/>
      <c r="T372" s="220"/>
      <c r="U372" s="185" t="s">
        <v>524</v>
      </c>
      <c r="V372" s="184">
        <v>10000</v>
      </c>
      <c r="W372" s="185" t="s">
        <v>4455</v>
      </c>
      <c r="X372" s="184">
        <v>50000</v>
      </c>
      <c r="Y372" s="185" t="s">
        <v>4456</v>
      </c>
      <c r="Z372" s="220">
        <v>102419</v>
      </c>
      <c r="AA372" s="243" t="s">
        <v>4177</v>
      </c>
      <c r="AB372" s="184">
        <v>600000</v>
      </c>
      <c r="AC372" s="185" t="s">
        <v>1589</v>
      </c>
      <c r="AD372" s="155"/>
      <c r="AE372" s="155"/>
      <c r="AF372" s="155"/>
      <c r="AG372" s="155"/>
      <c r="AH372" s="184">
        <f t="shared" si="38"/>
        <v>762419</v>
      </c>
      <c r="AK372" s="190">
        <f t="shared" si="45"/>
        <v>0</v>
      </c>
      <c r="AL372" s="264" t="s">
        <v>4457</v>
      </c>
      <c r="AM372" s="264" t="s">
        <v>3468</v>
      </c>
      <c r="AN372" s="295"/>
      <c r="AO372" s="135">
        <f t="shared" si="39"/>
        <v>762419</v>
      </c>
      <c r="AP372" s="166">
        <f>0.7%+0.08%</f>
        <v>0.0078</v>
      </c>
      <c r="AQ372" s="237">
        <f t="shared" si="40"/>
        <v>0</v>
      </c>
      <c r="AR372" s="184"/>
      <c r="AS372" s="184"/>
      <c r="AT372" s="184"/>
      <c r="AU372" s="184"/>
      <c r="AV372" s="184"/>
      <c r="AW372" s="184"/>
      <c r="AX372" s="184"/>
      <c r="AY372" s="184"/>
      <c r="AZ372" s="184"/>
      <c r="BB372" s="184"/>
      <c r="BL372" s="135">
        <v>162419</v>
      </c>
      <c r="BO372" s="135">
        <v>600000</v>
      </c>
      <c r="BT372" s="135" t="s">
        <v>496</v>
      </c>
    </row>
    <row r="373" s="135" customFormat="1" customHeight="1" spans="1:73">
      <c r="A373" s="220">
        <v>303</v>
      </c>
      <c r="C373" s="135" t="s">
        <v>3268</v>
      </c>
      <c r="D373" s="135">
        <v>20240000115</v>
      </c>
      <c r="F373" s="264" t="s">
        <v>4458</v>
      </c>
      <c r="G373" s="220" t="s">
        <v>4459</v>
      </c>
      <c r="H373" s="844" t="s">
        <v>4460</v>
      </c>
      <c r="I373" s="236" t="s">
        <v>4461</v>
      </c>
      <c r="J373" s="135">
        <v>137.88</v>
      </c>
      <c r="K373" s="135">
        <v>137.88</v>
      </c>
      <c r="L373" s="135">
        <v>5874.675</v>
      </c>
      <c r="M373" s="233">
        <v>810000</v>
      </c>
      <c r="N373" s="184">
        <v>5856.89</v>
      </c>
      <c r="O373" s="190"/>
      <c r="P373" s="264"/>
      <c r="R373" s="184"/>
      <c r="S373" s="185"/>
      <c r="T373" s="220"/>
      <c r="U373" s="185" t="s">
        <v>502</v>
      </c>
      <c r="V373" s="184">
        <v>20000</v>
      </c>
      <c r="W373" s="185" t="s">
        <v>725</v>
      </c>
      <c r="X373" s="184">
        <v>280000</v>
      </c>
      <c r="Y373" s="243" t="s">
        <v>3268</v>
      </c>
      <c r="Z373" s="220">
        <v>460000</v>
      </c>
      <c r="AA373" s="243" t="s">
        <v>1567</v>
      </c>
      <c r="AB373" s="184">
        <v>50000</v>
      </c>
      <c r="AC373" s="155" t="s">
        <v>3463</v>
      </c>
      <c r="AD373" s="155"/>
      <c r="AE373" s="155"/>
      <c r="AF373" s="155"/>
      <c r="AG373" s="155"/>
      <c r="AH373" s="184">
        <f t="shared" si="38"/>
        <v>810000</v>
      </c>
      <c r="AK373" s="190">
        <f t="shared" si="45"/>
        <v>0</v>
      </c>
      <c r="AL373" s="264" t="s">
        <v>4462</v>
      </c>
      <c r="AM373" s="264"/>
      <c r="AN373" s="295"/>
      <c r="AO373" s="135">
        <f t="shared" si="39"/>
        <v>810000</v>
      </c>
      <c r="AP373" s="166">
        <f>0.7%+0.08%</f>
        <v>0.0078</v>
      </c>
      <c r="AQ373" s="237">
        <f t="shared" si="40"/>
        <v>0</v>
      </c>
      <c r="AR373" s="184"/>
      <c r="AS373" s="184"/>
      <c r="AT373" s="184"/>
      <c r="AU373" s="184"/>
      <c r="AV373" s="184"/>
      <c r="AW373" s="184"/>
      <c r="AX373" s="184"/>
      <c r="AY373" s="184"/>
      <c r="AZ373" s="184"/>
      <c r="BB373" s="184"/>
      <c r="BE373" s="135">
        <v>810000</v>
      </c>
      <c r="BT373" s="135" t="s">
        <v>496</v>
      </c>
      <c r="BU373" s="135" t="s">
        <v>506</v>
      </c>
    </row>
    <row r="374" s="135" customFormat="1" customHeight="1" spans="1:72">
      <c r="A374" s="220">
        <v>304</v>
      </c>
      <c r="B374" s="135"/>
      <c r="C374" s="135" t="s">
        <v>252</v>
      </c>
      <c r="D374" s="135">
        <v>20240005814</v>
      </c>
      <c r="F374" s="264" t="s">
        <v>288</v>
      </c>
      <c r="G374" s="220" t="s">
        <v>289</v>
      </c>
      <c r="H374" s="844" t="s">
        <v>4463</v>
      </c>
      <c r="I374" s="236" t="s">
        <v>4464</v>
      </c>
      <c r="J374" s="135">
        <v>138.37</v>
      </c>
      <c r="K374" s="135">
        <v>138.37</v>
      </c>
      <c r="L374" s="135">
        <v>5540</v>
      </c>
      <c r="M374" s="233">
        <v>766570</v>
      </c>
      <c r="N374" s="184">
        <v>5540</v>
      </c>
      <c r="O374" s="190"/>
      <c r="P374" s="264"/>
      <c r="R374" s="184"/>
      <c r="S374" s="185"/>
      <c r="T374" s="220"/>
      <c r="U374" s="185" t="s">
        <v>709</v>
      </c>
      <c r="V374" s="184">
        <v>10000</v>
      </c>
      <c r="W374" s="185">
        <v>45544</v>
      </c>
      <c r="X374" s="184">
        <v>45570</v>
      </c>
      <c r="Y374" s="243">
        <v>45550</v>
      </c>
      <c r="Z374" s="184">
        <v>98000</v>
      </c>
      <c r="AA374" s="185" t="s">
        <v>306</v>
      </c>
      <c r="AB374" s="184">
        <v>613000</v>
      </c>
      <c r="AC374" s="185" t="s">
        <v>2715</v>
      </c>
      <c r="AD374" s="155"/>
      <c r="AE374" s="155"/>
      <c r="AF374" s="155"/>
      <c r="AG374" s="155"/>
      <c r="AH374" s="184">
        <f t="shared" si="38"/>
        <v>766570</v>
      </c>
      <c r="AK374" s="190">
        <f t="shared" si="45"/>
        <v>0</v>
      </c>
      <c r="AL374" s="264" t="s">
        <v>4465</v>
      </c>
      <c r="AM374" s="264" t="s">
        <v>3318</v>
      </c>
      <c r="AN374" s="295"/>
      <c r="AO374" s="135">
        <f t="shared" si="39"/>
        <v>766570</v>
      </c>
      <c r="AP374" s="162">
        <f>0.6%+0.1%</f>
        <v>0.007</v>
      </c>
      <c r="AQ374" s="237">
        <f t="shared" si="40"/>
        <v>0</v>
      </c>
      <c r="AR374" s="184"/>
      <c r="AS374" s="184"/>
      <c r="AT374" s="184"/>
      <c r="AU374" s="184"/>
      <c r="AV374" s="184"/>
      <c r="AW374" s="184"/>
      <c r="AX374" s="184"/>
      <c r="AY374" s="184"/>
      <c r="AZ374" s="184"/>
      <c r="BB374" s="184"/>
      <c r="BL374" s="132"/>
      <c r="BM374" s="132"/>
      <c r="BN374" s="132">
        <v>153570</v>
      </c>
      <c r="BO374" s="132">
        <v>613000</v>
      </c>
      <c r="BP374" s="132"/>
      <c r="BT374" s="135" t="s">
        <v>496</v>
      </c>
    </row>
    <row r="375" s="135" customFormat="1" customHeight="1" spans="1:73">
      <c r="A375" s="220">
        <v>305</v>
      </c>
      <c r="C375" s="135" t="s">
        <v>646</v>
      </c>
      <c r="D375" s="135">
        <v>20230008287</v>
      </c>
      <c r="F375" s="264" t="s">
        <v>4466</v>
      </c>
      <c r="G375" s="220" t="s">
        <v>4467</v>
      </c>
      <c r="H375" s="844" t="s">
        <v>4468</v>
      </c>
      <c r="I375" s="236" t="s">
        <v>4469</v>
      </c>
      <c r="J375" s="135">
        <v>137.88</v>
      </c>
      <c r="K375" s="135">
        <v>137.88</v>
      </c>
      <c r="L375" s="135">
        <v>5931.24</v>
      </c>
      <c r="M375" s="233">
        <v>817800</v>
      </c>
      <c r="N375" s="184">
        <v>5931.24</v>
      </c>
      <c r="O375" s="190"/>
      <c r="P375" s="264"/>
      <c r="R375" s="184"/>
      <c r="S375" s="185"/>
      <c r="T375" s="844" t="s">
        <v>1820</v>
      </c>
      <c r="U375" s="185" t="s">
        <v>721</v>
      </c>
      <c r="V375" s="184">
        <v>10000</v>
      </c>
      <c r="W375" s="185" t="s">
        <v>1842</v>
      </c>
      <c r="X375" s="184">
        <v>10000</v>
      </c>
      <c r="Y375" s="185" t="s">
        <v>3142</v>
      </c>
      <c r="Z375" s="220">
        <v>143800</v>
      </c>
      <c r="AA375" s="243" t="s">
        <v>646</v>
      </c>
      <c r="AB375" s="184">
        <v>654000</v>
      </c>
      <c r="AC375" s="185" t="s">
        <v>1580</v>
      </c>
      <c r="AD375" s="155"/>
      <c r="AE375" s="155"/>
      <c r="AF375" s="155"/>
      <c r="AG375" s="155"/>
      <c r="AH375" s="184">
        <f t="shared" si="38"/>
        <v>817800</v>
      </c>
      <c r="AK375" s="190">
        <f t="shared" ref="AK375:AK386" si="46">M375-AH375</f>
        <v>0</v>
      </c>
      <c r="AL375" s="264" t="s">
        <v>4470</v>
      </c>
      <c r="AM375" s="264"/>
      <c r="AN375" s="295"/>
      <c r="AO375" s="135">
        <f t="shared" si="39"/>
        <v>817800</v>
      </c>
      <c r="AP375" s="162">
        <f>0.7%+0.04%+0.12%</f>
        <v>0.0086</v>
      </c>
      <c r="AQ375" s="237">
        <f t="shared" si="40"/>
        <v>300</v>
      </c>
      <c r="AR375" s="184"/>
      <c r="AS375" s="184"/>
      <c r="AT375" s="184">
        <v>100</v>
      </c>
      <c r="AU375" s="184"/>
      <c r="AV375" s="184"/>
      <c r="AW375" s="184"/>
      <c r="AX375" s="184">
        <v>200</v>
      </c>
      <c r="AY375" s="184"/>
      <c r="AZ375" s="184"/>
      <c r="BB375" s="184">
        <v>163800</v>
      </c>
      <c r="BC375" s="135">
        <v>654000</v>
      </c>
      <c r="BT375" s="135" t="s">
        <v>496</v>
      </c>
      <c r="BU375" s="135" t="s">
        <v>506</v>
      </c>
    </row>
    <row r="376" s="135" customFormat="1" customHeight="1" spans="1:73">
      <c r="A376" s="220">
        <v>306</v>
      </c>
      <c r="C376" s="155">
        <v>45472</v>
      </c>
      <c r="D376" s="263" t="s">
        <v>4471</v>
      </c>
      <c r="F376" s="264" t="s">
        <v>4472</v>
      </c>
      <c r="G376" s="262" t="s">
        <v>4473</v>
      </c>
      <c r="H376" s="845" t="s">
        <v>4474</v>
      </c>
      <c r="I376" s="236" t="s">
        <v>4475</v>
      </c>
      <c r="J376" s="135">
        <v>138.37</v>
      </c>
      <c r="K376" s="135">
        <v>138.37</v>
      </c>
      <c r="L376" s="190">
        <f>M376/K376</f>
        <v>5626.1400592614</v>
      </c>
      <c r="M376" s="285">
        <v>778489</v>
      </c>
      <c r="N376" s="286">
        <v>5626.14</v>
      </c>
      <c r="O376" s="287"/>
      <c r="P376" s="263"/>
      <c r="Q376" s="263"/>
      <c r="R376" s="184"/>
      <c r="S376" s="261"/>
      <c r="T376" s="262"/>
      <c r="U376" s="261" t="s">
        <v>495</v>
      </c>
      <c r="V376" s="184">
        <v>20000</v>
      </c>
      <c r="W376" s="261" t="s">
        <v>4476</v>
      </c>
      <c r="X376" s="184">
        <v>178489</v>
      </c>
      <c r="Y376" s="155" t="s">
        <v>4455</v>
      </c>
      <c r="Z376" s="184">
        <v>580000</v>
      </c>
      <c r="AA376" s="261" t="s">
        <v>1081</v>
      </c>
      <c r="AB376" s="184"/>
      <c r="AH376" s="184">
        <f t="shared" si="38"/>
        <v>778489</v>
      </c>
      <c r="AK376" s="190">
        <f t="shared" si="46"/>
        <v>0</v>
      </c>
      <c r="AL376" s="264" t="s">
        <v>4477</v>
      </c>
      <c r="AM376" s="264" t="s">
        <v>3468</v>
      </c>
      <c r="AN376" s="288"/>
      <c r="AO376" s="135">
        <f t="shared" si="39"/>
        <v>778489</v>
      </c>
      <c r="AP376" s="162">
        <f>0.6%+0.04%+0.08%</f>
        <v>0.0072</v>
      </c>
      <c r="AQ376" s="237">
        <f t="shared" si="40"/>
        <v>100</v>
      </c>
      <c r="AR376" s="184"/>
      <c r="AS376" s="184"/>
      <c r="AT376" s="184">
        <v>100</v>
      </c>
      <c r="AU376" s="184"/>
      <c r="AV376" s="184"/>
      <c r="AW376" s="184"/>
      <c r="AX376" s="184"/>
      <c r="AY376" s="184"/>
      <c r="AZ376" s="184"/>
      <c r="BB376" s="184"/>
      <c r="BJ376" s="135">
        <v>198489</v>
      </c>
      <c r="BL376" s="135">
        <v>580000</v>
      </c>
      <c r="BT376" s="135" t="s">
        <v>496</v>
      </c>
      <c r="BU376" s="135" t="s">
        <v>506</v>
      </c>
    </row>
    <row r="377" s="135" customFormat="1" customHeight="1" spans="1:73">
      <c r="A377" s="220">
        <v>307</v>
      </c>
      <c r="C377" s="135" t="s">
        <v>656</v>
      </c>
      <c r="D377" s="135">
        <v>20230008678</v>
      </c>
      <c r="F377" s="264"/>
      <c r="G377" s="262" t="s">
        <v>4478</v>
      </c>
      <c r="H377" s="262"/>
      <c r="I377" s="236" t="s">
        <v>4479</v>
      </c>
      <c r="J377" s="135">
        <v>137.88</v>
      </c>
      <c r="K377" s="135">
        <v>137.88</v>
      </c>
      <c r="L377" s="135">
        <v>6019.725</v>
      </c>
      <c r="M377" s="285">
        <v>830000</v>
      </c>
      <c r="N377" s="286">
        <v>6000.16</v>
      </c>
      <c r="O377" s="190"/>
      <c r="P377" s="263"/>
      <c r="Q377" s="263"/>
      <c r="R377" s="184"/>
      <c r="S377" s="261"/>
      <c r="T377" s="262" t="s">
        <v>4480</v>
      </c>
      <c r="U377" s="261" t="s">
        <v>4399</v>
      </c>
      <c r="V377" s="184">
        <v>165000</v>
      </c>
      <c r="W377" s="261" t="s">
        <v>656</v>
      </c>
      <c r="X377" s="135">
        <v>360000</v>
      </c>
      <c r="Y377" s="155" t="s">
        <v>798</v>
      </c>
      <c r="Z377" s="184">
        <v>305000</v>
      </c>
      <c r="AA377" s="261" t="s">
        <v>888</v>
      </c>
      <c r="AB377" s="184"/>
      <c r="AC377" s="261"/>
      <c r="AD377" s="155"/>
      <c r="AE377" s="155"/>
      <c r="AF377" s="155"/>
      <c r="AG377" s="155"/>
      <c r="AH377" s="184">
        <f t="shared" si="38"/>
        <v>830000</v>
      </c>
      <c r="AK377" s="190">
        <f t="shared" si="46"/>
        <v>0</v>
      </c>
      <c r="AL377" s="264"/>
      <c r="AM377" s="264"/>
      <c r="AN377" s="288"/>
      <c r="AO377" s="135">
        <f t="shared" si="39"/>
        <v>830000</v>
      </c>
      <c r="AP377" s="162">
        <f>0.6%+0.02%+0.08%</f>
        <v>0.007</v>
      </c>
      <c r="AQ377" s="237">
        <f t="shared" si="40"/>
        <v>100</v>
      </c>
      <c r="AR377" s="237">
        <v>100</v>
      </c>
      <c r="AS377" s="184"/>
      <c r="AT377" s="184"/>
      <c r="AU377" s="184"/>
      <c r="AV377" s="184"/>
      <c r="AW377" s="184"/>
      <c r="AX377" s="184"/>
      <c r="AY377" s="184"/>
      <c r="AZ377" s="184"/>
      <c r="BB377" s="184">
        <v>525000</v>
      </c>
      <c r="BC377" s="135">
        <v>305000</v>
      </c>
      <c r="BT377" s="135" t="s">
        <v>496</v>
      </c>
      <c r="BU377" s="135" t="s">
        <v>506</v>
      </c>
    </row>
    <row r="378" s="135" customFormat="1" ht="58" customHeight="1" spans="1:73">
      <c r="A378" s="220">
        <v>308</v>
      </c>
      <c r="C378" s="135" t="s">
        <v>3463</v>
      </c>
      <c r="D378" s="263" t="s">
        <v>4481</v>
      </c>
      <c r="F378" s="264" t="s">
        <v>4482</v>
      </c>
      <c r="G378" s="164" t="s">
        <v>4483</v>
      </c>
      <c r="H378" s="834" t="s">
        <v>4484</v>
      </c>
      <c r="I378" s="236" t="s">
        <v>4485</v>
      </c>
      <c r="J378" s="135">
        <v>138.37</v>
      </c>
      <c r="K378" s="135">
        <v>138.37</v>
      </c>
      <c r="L378" s="135">
        <v>5983.95</v>
      </c>
      <c r="M378" s="285">
        <v>828000</v>
      </c>
      <c r="N378" s="286">
        <v>5981.16</v>
      </c>
      <c r="O378" s="190"/>
      <c r="P378" s="263"/>
      <c r="Q378" s="263"/>
      <c r="R378" s="184"/>
      <c r="S378" s="185"/>
      <c r="T378" s="220"/>
      <c r="U378" s="185" t="s">
        <v>842</v>
      </c>
      <c r="V378" s="184">
        <v>20000</v>
      </c>
      <c r="W378" s="185" t="s">
        <v>687</v>
      </c>
      <c r="X378" s="184">
        <v>208000</v>
      </c>
      <c r="Y378" s="185" t="s">
        <v>3463</v>
      </c>
      <c r="Z378" s="176">
        <v>100000</v>
      </c>
      <c r="AA378" s="135" t="s">
        <v>688</v>
      </c>
      <c r="AB378" s="184">
        <v>500000</v>
      </c>
      <c r="AC378" s="185" t="s">
        <v>1259</v>
      </c>
      <c r="AH378" s="184">
        <f t="shared" si="38"/>
        <v>828000</v>
      </c>
      <c r="AK378" s="190">
        <f t="shared" si="46"/>
        <v>0</v>
      </c>
      <c r="AL378" s="264" t="s">
        <v>4486</v>
      </c>
      <c r="AM378" s="264"/>
      <c r="AN378" s="300"/>
      <c r="AO378" s="135">
        <f t="shared" si="39"/>
        <v>828000</v>
      </c>
      <c r="AP378" s="162">
        <f>0.4%+0.03%+0.08%</f>
        <v>0.0051</v>
      </c>
      <c r="AQ378" s="237">
        <f t="shared" si="40"/>
        <v>100</v>
      </c>
      <c r="AR378" s="184"/>
      <c r="AS378" s="184"/>
      <c r="AT378" s="184">
        <v>100</v>
      </c>
      <c r="AU378" s="184"/>
      <c r="AV378" s="184"/>
      <c r="AW378" s="184"/>
      <c r="AX378" s="184"/>
      <c r="AY378" s="184"/>
      <c r="AZ378" s="184"/>
      <c r="BB378" s="184"/>
      <c r="BE378" s="135">
        <v>328000</v>
      </c>
      <c r="BH378" s="135">
        <v>500000</v>
      </c>
      <c r="BT378" s="135" t="s">
        <v>496</v>
      </c>
      <c r="BU378" s="135" t="s">
        <v>506</v>
      </c>
    </row>
    <row r="379" s="135" customFormat="1" ht="45" customHeight="1" spans="1:73">
      <c r="A379" s="220">
        <v>309</v>
      </c>
      <c r="C379" s="191" t="s">
        <v>4487</v>
      </c>
      <c r="D379" s="263" t="s">
        <v>4488</v>
      </c>
      <c r="F379" s="264" t="s">
        <v>4489</v>
      </c>
      <c r="G379" s="164" t="s">
        <v>4490</v>
      </c>
      <c r="I379" s="236" t="s">
        <v>4491</v>
      </c>
      <c r="J379" s="135">
        <v>137.88</v>
      </c>
      <c r="K379" s="135">
        <v>137.88</v>
      </c>
      <c r="L379" s="135">
        <f>M379/K379</f>
        <v>6049.07165651291</v>
      </c>
      <c r="M379" s="285">
        <v>834046</v>
      </c>
      <c r="N379" s="286">
        <v>6049.07</v>
      </c>
      <c r="O379" s="300"/>
      <c r="P379" s="263"/>
      <c r="Q379" s="263"/>
      <c r="R379" s="184"/>
      <c r="S379" s="185"/>
      <c r="T379" s="220"/>
      <c r="U379" s="185" t="s">
        <v>495</v>
      </c>
      <c r="V379" s="184">
        <v>1000</v>
      </c>
      <c r="W379" s="185" t="s">
        <v>4492</v>
      </c>
      <c r="X379" s="184">
        <v>20000</v>
      </c>
      <c r="Y379" s="185" t="s">
        <v>649</v>
      </c>
      <c r="Z379" s="176">
        <f>200000+167046</f>
        <v>367046</v>
      </c>
      <c r="AA379" s="135" t="s">
        <v>814</v>
      </c>
      <c r="AB379" s="184">
        <v>147000</v>
      </c>
      <c r="AC379" s="135" t="s">
        <v>814</v>
      </c>
      <c r="AD379" s="184">
        <v>300000</v>
      </c>
      <c r="AE379" s="185" t="s">
        <v>3023</v>
      </c>
      <c r="AH379" s="184">
        <f t="shared" si="38"/>
        <v>835046</v>
      </c>
      <c r="AK379" s="190">
        <f t="shared" si="46"/>
        <v>-1000</v>
      </c>
      <c r="AL379" s="264" t="s">
        <v>4493</v>
      </c>
      <c r="AM379" s="264"/>
      <c r="AN379" s="300"/>
      <c r="AO379" s="135">
        <f t="shared" si="39"/>
        <v>834046</v>
      </c>
      <c r="AP379" s="162">
        <f>0.4%+0.02%+0.08%</f>
        <v>0.005</v>
      </c>
      <c r="AQ379" s="237">
        <f t="shared" si="40"/>
        <v>100</v>
      </c>
      <c r="AR379" s="184"/>
      <c r="AS379" s="184">
        <v>100</v>
      </c>
      <c r="AT379" s="184"/>
      <c r="AU379" s="184"/>
      <c r="AV379" s="184"/>
      <c r="AW379" s="184"/>
      <c r="AX379" s="184"/>
      <c r="AY379" s="184"/>
      <c r="AZ379" s="184"/>
      <c r="BB379" s="184"/>
      <c r="BJ379" s="135">
        <v>534046</v>
      </c>
      <c r="BK379" s="135">
        <v>300000</v>
      </c>
      <c r="BT379" s="135" t="s">
        <v>496</v>
      </c>
      <c r="BU379" s="135" t="s">
        <v>506</v>
      </c>
    </row>
    <row r="380" s="135" customFormat="1" customHeight="1" spans="1:73">
      <c r="A380" s="220">
        <v>310</v>
      </c>
      <c r="C380" s="135" t="s">
        <v>1001</v>
      </c>
      <c r="D380" s="263" t="s">
        <v>4494</v>
      </c>
      <c r="F380" s="264" t="s">
        <v>4495</v>
      </c>
      <c r="G380" s="164" t="s">
        <v>4496</v>
      </c>
      <c r="H380" s="834" t="s">
        <v>4497</v>
      </c>
      <c r="I380" s="236" t="s">
        <v>4498</v>
      </c>
      <c r="J380" s="135">
        <v>138.37</v>
      </c>
      <c r="K380" s="135">
        <v>138.37</v>
      </c>
      <c r="L380" s="135">
        <v>6000</v>
      </c>
      <c r="M380" s="285">
        <v>830220</v>
      </c>
      <c r="N380" s="286">
        <v>6000</v>
      </c>
      <c r="O380" s="300"/>
      <c r="P380" s="263"/>
      <c r="Q380" s="263"/>
      <c r="R380" s="184"/>
      <c r="S380" s="185"/>
      <c r="T380" s="844" t="s">
        <v>4499</v>
      </c>
      <c r="U380" s="185" t="s">
        <v>721</v>
      </c>
      <c r="V380" s="184">
        <v>20000</v>
      </c>
      <c r="W380" s="185" t="s">
        <v>3947</v>
      </c>
      <c r="X380" s="184">
        <v>80220</v>
      </c>
      <c r="Y380" s="185" t="s">
        <v>1001</v>
      </c>
      <c r="Z380" s="184">
        <v>200000</v>
      </c>
      <c r="AA380" s="185" t="s">
        <v>3244</v>
      </c>
      <c r="AB380" s="184">
        <v>530000</v>
      </c>
      <c r="AC380" s="185" t="s">
        <v>3612</v>
      </c>
      <c r="AH380" s="184">
        <f t="shared" si="38"/>
        <v>830220</v>
      </c>
      <c r="AK380" s="190">
        <f t="shared" si="46"/>
        <v>0</v>
      </c>
      <c r="AL380" s="264" t="s">
        <v>4500</v>
      </c>
      <c r="AM380" s="264"/>
      <c r="AN380" s="300"/>
      <c r="AO380" s="135">
        <f t="shared" si="39"/>
        <v>830220</v>
      </c>
      <c r="AP380" s="166">
        <f>0.7%+0.05%+0.12%</f>
        <v>0.0087</v>
      </c>
      <c r="AQ380" s="237">
        <f t="shared" si="40"/>
        <v>100</v>
      </c>
      <c r="AR380" s="184"/>
      <c r="AS380" s="184"/>
      <c r="AT380" s="184">
        <v>100</v>
      </c>
      <c r="AU380" s="184"/>
      <c r="AV380" s="184"/>
      <c r="AW380" s="184"/>
      <c r="AX380" s="184"/>
      <c r="AY380" s="184"/>
      <c r="AZ380" s="184"/>
      <c r="BB380" s="184"/>
      <c r="BL380" s="135">
        <v>830220</v>
      </c>
      <c r="BT380" s="135" t="s">
        <v>496</v>
      </c>
      <c r="BU380" s="135" t="s">
        <v>506</v>
      </c>
    </row>
    <row r="381" s="135" customFormat="1" customHeight="1" spans="1:73">
      <c r="A381" s="220">
        <v>311</v>
      </c>
      <c r="C381" s="155">
        <v>45390</v>
      </c>
      <c r="D381" s="135">
        <v>20240001952</v>
      </c>
      <c r="F381" s="264" t="s">
        <v>4501</v>
      </c>
      <c r="G381" s="164" t="s">
        <v>4502</v>
      </c>
      <c r="H381" s="164"/>
      <c r="I381" s="236" t="s">
        <v>4503</v>
      </c>
      <c r="J381" s="135">
        <v>137.88</v>
      </c>
      <c r="K381" s="135">
        <v>137.88</v>
      </c>
      <c r="L381" s="135">
        <f t="shared" ref="L381:L386" si="47">M381/K381</f>
        <v>6076.24020887729</v>
      </c>
      <c r="M381" s="285">
        <v>837792</v>
      </c>
      <c r="N381" s="286">
        <v>6076.24</v>
      </c>
      <c r="O381" s="190"/>
      <c r="P381" s="263"/>
      <c r="Q381" s="263"/>
      <c r="R381" s="184"/>
      <c r="S381" s="185"/>
      <c r="T381" s="220"/>
      <c r="U381" s="261" t="s">
        <v>524</v>
      </c>
      <c r="V381" s="184">
        <v>20000</v>
      </c>
      <c r="W381" s="185" t="s">
        <v>716</v>
      </c>
      <c r="X381" s="184">
        <v>20000</v>
      </c>
      <c r="Y381" s="292" t="s">
        <v>712</v>
      </c>
      <c r="Z381" s="176">
        <v>197792</v>
      </c>
      <c r="AA381" s="135" t="s">
        <v>3883</v>
      </c>
      <c r="AB381" s="184">
        <v>600000</v>
      </c>
      <c r="AC381" s="135" t="s">
        <v>3884</v>
      </c>
      <c r="AH381" s="184">
        <f t="shared" si="38"/>
        <v>837792</v>
      </c>
      <c r="AK381" s="190">
        <f t="shared" si="46"/>
        <v>0</v>
      </c>
      <c r="AL381" s="264" t="s">
        <v>4504</v>
      </c>
      <c r="AM381" s="264"/>
      <c r="AN381" s="300"/>
      <c r="AO381" s="135">
        <f t="shared" si="39"/>
        <v>837792</v>
      </c>
      <c r="AP381" s="162">
        <f>0.7%+0.12%</f>
        <v>0.0082</v>
      </c>
      <c r="AQ381" s="237">
        <f t="shared" si="40"/>
        <v>100</v>
      </c>
      <c r="AR381" s="237">
        <v>100</v>
      </c>
      <c r="AS381" s="184"/>
      <c r="AT381" s="184"/>
      <c r="AU381" s="184"/>
      <c r="AV381" s="184"/>
      <c r="AW381" s="184"/>
      <c r="AX381" s="184"/>
      <c r="AY381" s="184"/>
      <c r="AZ381" s="184"/>
      <c r="BB381" s="184"/>
      <c r="BH381" s="135">
        <v>837792</v>
      </c>
      <c r="BT381" s="135" t="s">
        <v>496</v>
      </c>
      <c r="BU381" s="135" t="s">
        <v>506</v>
      </c>
    </row>
    <row r="382" s="135" customFormat="1" customHeight="1" spans="1:72">
      <c r="A382" s="220">
        <v>312</v>
      </c>
      <c r="C382" s="155">
        <v>45509</v>
      </c>
      <c r="D382" s="263" t="s">
        <v>4505</v>
      </c>
      <c r="F382" s="264" t="s">
        <v>4506</v>
      </c>
      <c r="G382" s="164" t="s">
        <v>4507</v>
      </c>
      <c r="H382" s="834" t="s">
        <v>4508</v>
      </c>
      <c r="I382" s="236" t="s">
        <v>4509</v>
      </c>
      <c r="J382" s="135">
        <v>138.37</v>
      </c>
      <c r="K382" s="135">
        <v>138.37</v>
      </c>
      <c r="L382" s="135">
        <v>5700</v>
      </c>
      <c r="M382" s="285">
        <v>788709</v>
      </c>
      <c r="N382" s="286">
        <v>5700</v>
      </c>
      <c r="O382" s="300"/>
      <c r="P382" s="263"/>
      <c r="Q382" s="263"/>
      <c r="R382" s="184"/>
      <c r="S382" s="185"/>
      <c r="T382" s="262" t="s">
        <v>4510</v>
      </c>
      <c r="U382" s="261" t="s">
        <v>4425</v>
      </c>
      <c r="V382" s="184">
        <f>10000-10000</f>
        <v>0</v>
      </c>
      <c r="W382" s="185" t="s">
        <v>1682</v>
      </c>
      <c r="X382" s="184">
        <v>10000</v>
      </c>
      <c r="Y382" s="185" t="s">
        <v>817</v>
      </c>
      <c r="Z382" s="184">
        <v>108709</v>
      </c>
      <c r="AA382" s="185" t="s">
        <v>285</v>
      </c>
      <c r="AB382" s="184">
        <v>670000</v>
      </c>
      <c r="AC382" s="135" t="s">
        <v>824</v>
      </c>
      <c r="AH382" s="184">
        <f t="shared" si="38"/>
        <v>788709</v>
      </c>
      <c r="AK382" s="190">
        <f t="shared" si="46"/>
        <v>0</v>
      </c>
      <c r="AL382" s="264" t="s">
        <v>4511</v>
      </c>
      <c r="AM382" s="264" t="s">
        <v>3468</v>
      </c>
      <c r="AN382" s="300"/>
      <c r="AO382" s="135">
        <f t="shared" si="39"/>
        <v>788709</v>
      </c>
      <c r="AP382" s="162">
        <f>0.5%+0.02%+0.08%</f>
        <v>0.006</v>
      </c>
      <c r="AQ382" s="237">
        <f t="shared" si="40"/>
        <v>100</v>
      </c>
      <c r="AR382" s="184"/>
      <c r="AS382" s="184"/>
      <c r="AT382" s="184">
        <v>100</v>
      </c>
      <c r="AU382" s="184"/>
      <c r="AV382" s="184"/>
      <c r="AW382" s="184"/>
      <c r="AX382" s="184"/>
      <c r="AY382" s="184"/>
      <c r="AZ382" s="184"/>
      <c r="BB382" s="184"/>
      <c r="BL382" s="135">
        <v>788709</v>
      </c>
      <c r="BT382" s="135" t="s">
        <v>496</v>
      </c>
    </row>
    <row r="383" s="135" customFormat="1" customHeight="1" spans="1:73">
      <c r="A383" s="220">
        <v>313</v>
      </c>
      <c r="C383" s="135" t="s">
        <v>716</v>
      </c>
      <c r="D383" s="263" t="s">
        <v>4512</v>
      </c>
      <c r="F383" s="264" t="s">
        <v>4513</v>
      </c>
      <c r="G383" s="262" t="s">
        <v>4514</v>
      </c>
      <c r="I383" s="236" t="s">
        <v>4515</v>
      </c>
      <c r="J383" s="135">
        <v>137.88</v>
      </c>
      <c r="K383" s="135">
        <v>137.88</v>
      </c>
      <c r="L383" s="135">
        <f t="shared" si="47"/>
        <v>6105.15665796345</v>
      </c>
      <c r="M383" s="285">
        <v>841779</v>
      </c>
      <c r="N383" s="286">
        <v>6105.16</v>
      </c>
      <c r="O383" s="190"/>
      <c r="P383" s="263"/>
      <c r="Q383" s="263"/>
      <c r="R383" s="184"/>
      <c r="S383" s="261"/>
      <c r="T383" s="262"/>
      <c r="U383" s="261" t="s">
        <v>524</v>
      </c>
      <c r="V383" s="184">
        <v>111779</v>
      </c>
      <c r="W383" s="261" t="s">
        <v>716</v>
      </c>
      <c r="X383" s="184">
        <v>90000</v>
      </c>
      <c r="Y383" s="292" t="s">
        <v>716</v>
      </c>
      <c r="Z383" s="176">
        <v>140000</v>
      </c>
      <c r="AA383" s="135" t="s">
        <v>3980</v>
      </c>
      <c r="AB383" s="184">
        <v>500000</v>
      </c>
      <c r="AC383" s="261" t="s">
        <v>4516</v>
      </c>
      <c r="AH383" s="184">
        <f t="shared" si="38"/>
        <v>841779</v>
      </c>
      <c r="AK383" s="190">
        <f t="shared" si="46"/>
        <v>0</v>
      </c>
      <c r="AL383" s="264"/>
      <c r="AM383" s="264"/>
      <c r="AN383" s="300"/>
      <c r="AO383" s="135">
        <f t="shared" si="39"/>
        <v>841779</v>
      </c>
      <c r="AP383" s="166">
        <f>0.7%+0.05%+0.12%</f>
        <v>0.0087</v>
      </c>
      <c r="AQ383" s="237">
        <f t="shared" si="40"/>
        <v>100</v>
      </c>
      <c r="AR383" s="237">
        <v>100</v>
      </c>
      <c r="AS383" s="184"/>
      <c r="AT383" s="184"/>
      <c r="AU383" s="184"/>
      <c r="AV383" s="184"/>
      <c r="AW383" s="184"/>
      <c r="AX383" s="184"/>
      <c r="AY383" s="184"/>
      <c r="AZ383" s="184"/>
      <c r="BB383" s="184"/>
      <c r="BH383" s="135">
        <v>341779</v>
      </c>
      <c r="BI383" s="135">
        <v>500000</v>
      </c>
      <c r="BT383" s="135" t="s">
        <v>496</v>
      </c>
      <c r="BU383" s="135" t="s">
        <v>506</v>
      </c>
    </row>
    <row r="384" s="135" customFormat="1" customHeight="1" spans="1:72">
      <c r="A384" s="220">
        <v>314</v>
      </c>
      <c r="C384" s="155">
        <v>45493</v>
      </c>
      <c r="D384" s="263" t="s">
        <v>4517</v>
      </c>
      <c r="F384" s="264" t="s">
        <v>4518</v>
      </c>
      <c r="G384" s="164" t="s">
        <v>4519</v>
      </c>
      <c r="H384" s="846" t="s">
        <v>4520</v>
      </c>
      <c r="I384" s="236" t="s">
        <v>4521</v>
      </c>
      <c r="J384" s="135">
        <v>138.37</v>
      </c>
      <c r="K384" s="135">
        <v>138.37</v>
      </c>
      <c r="L384" s="135">
        <v>6100</v>
      </c>
      <c r="M384" s="285">
        <v>844057</v>
      </c>
      <c r="N384" s="286">
        <v>6086.16</v>
      </c>
      <c r="O384" s="300"/>
      <c r="P384" s="263"/>
      <c r="Q384" s="263"/>
      <c r="R384" s="184"/>
      <c r="S384" s="261"/>
      <c r="T384" s="845" t="s">
        <v>1837</v>
      </c>
      <c r="U384" s="261" t="s">
        <v>4522</v>
      </c>
      <c r="V384" s="184">
        <f>10000-10000</f>
        <v>0</v>
      </c>
      <c r="W384" s="261" t="s">
        <v>2517</v>
      </c>
      <c r="X384" s="184">
        <v>5000</v>
      </c>
      <c r="Y384" s="261" t="s">
        <v>3934</v>
      </c>
      <c r="Z384" s="184">
        <f>14057+150000</f>
        <v>164057</v>
      </c>
      <c r="AA384" s="261" t="s">
        <v>3924</v>
      </c>
      <c r="AB384" s="184">
        <v>675000</v>
      </c>
      <c r="AC384" s="261" t="s">
        <v>4523</v>
      </c>
      <c r="AH384" s="184">
        <f t="shared" si="38"/>
        <v>844057</v>
      </c>
      <c r="AK384" s="190">
        <f t="shared" si="46"/>
        <v>0</v>
      </c>
      <c r="AL384" s="264" t="s">
        <v>4524</v>
      </c>
      <c r="AM384" s="264"/>
      <c r="AN384" s="300"/>
      <c r="AO384" s="135">
        <f t="shared" si="39"/>
        <v>844057</v>
      </c>
      <c r="AP384" s="162">
        <f>0.4%+0.05%+0.12%</f>
        <v>0.0057</v>
      </c>
      <c r="AQ384" s="237">
        <f t="shared" si="40"/>
        <v>200</v>
      </c>
      <c r="AR384" s="184"/>
      <c r="AS384" s="184"/>
      <c r="AT384" s="184">
        <v>100</v>
      </c>
      <c r="AU384" s="184"/>
      <c r="AV384" s="184"/>
      <c r="AW384" s="184">
        <v>100</v>
      </c>
      <c r="AX384" s="184"/>
      <c r="AY384" s="184"/>
      <c r="AZ384" s="184"/>
      <c r="BB384" s="184"/>
      <c r="BK384" s="135">
        <v>169057</v>
      </c>
      <c r="BL384" s="135">
        <v>675000</v>
      </c>
      <c r="BT384" s="135" t="s">
        <v>496</v>
      </c>
    </row>
    <row r="385" s="135" customFormat="1" customHeight="1" spans="1:72">
      <c r="A385" s="220">
        <v>315</v>
      </c>
      <c r="C385" s="155">
        <v>45493</v>
      </c>
      <c r="D385" s="263" t="s">
        <v>4525</v>
      </c>
      <c r="F385" s="264" t="s">
        <v>4526</v>
      </c>
      <c r="G385" s="164" t="s">
        <v>4527</v>
      </c>
      <c r="H385" s="164"/>
      <c r="I385" s="236" t="s">
        <v>4528</v>
      </c>
      <c r="J385" s="135">
        <v>137.88</v>
      </c>
      <c r="K385" s="135">
        <v>137.88</v>
      </c>
      <c r="L385" s="135">
        <f t="shared" si="47"/>
        <v>6017.20336524514</v>
      </c>
      <c r="M385" s="285">
        <v>829652</v>
      </c>
      <c r="N385" s="308">
        <v>6017.2</v>
      </c>
      <c r="O385" s="287"/>
      <c r="P385" s="263"/>
      <c r="Q385" s="263"/>
      <c r="R385" s="184"/>
      <c r="S385" s="185"/>
      <c r="T385" s="220"/>
      <c r="U385" s="185" t="s">
        <v>515</v>
      </c>
      <c r="V385" s="184">
        <v>59652</v>
      </c>
      <c r="W385" s="185" t="s">
        <v>3924</v>
      </c>
      <c r="X385" s="184">
        <v>110000</v>
      </c>
      <c r="Y385" s="185" t="s">
        <v>3250</v>
      </c>
      <c r="Z385" s="184">
        <v>660000</v>
      </c>
      <c r="AA385" s="185" t="s">
        <v>4529</v>
      </c>
      <c r="AB385" s="184"/>
      <c r="AH385" s="184">
        <f t="shared" si="38"/>
        <v>829652</v>
      </c>
      <c r="AK385" s="190">
        <f t="shared" si="46"/>
        <v>0</v>
      </c>
      <c r="AL385" s="264" t="s">
        <v>4530</v>
      </c>
      <c r="AM385" s="264" t="s">
        <v>4054</v>
      </c>
      <c r="AN385" s="300"/>
      <c r="AO385" s="135">
        <f t="shared" si="39"/>
        <v>829652</v>
      </c>
      <c r="AP385" s="198">
        <f>0.7%+0.03%+0.08%</f>
        <v>0.0081</v>
      </c>
      <c r="AQ385" s="237">
        <f t="shared" si="40"/>
        <v>100</v>
      </c>
      <c r="AR385" s="184"/>
      <c r="AS385" s="184"/>
      <c r="AT385" s="184"/>
      <c r="AU385" s="184"/>
      <c r="AV385" s="184">
        <v>100</v>
      </c>
      <c r="AW385" s="184"/>
      <c r="AX385" s="184"/>
      <c r="AY385" s="184"/>
      <c r="AZ385" s="184"/>
      <c r="BB385" s="184"/>
      <c r="BL385" s="135">
        <v>169652</v>
      </c>
      <c r="BM385" s="135">
        <v>660000</v>
      </c>
      <c r="BT385" s="135" t="s">
        <v>496</v>
      </c>
    </row>
    <row r="386" s="135" customFormat="1" customHeight="1" spans="1:72">
      <c r="A386" s="220">
        <v>316</v>
      </c>
      <c r="B386" s="135"/>
      <c r="C386" s="135" t="s">
        <v>395</v>
      </c>
      <c r="D386" s="263" t="s">
        <v>396</v>
      </c>
      <c r="F386" s="264" t="s">
        <v>397</v>
      </c>
      <c r="G386" s="220" t="s">
        <v>398</v>
      </c>
      <c r="H386" s="844" t="s">
        <v>4531</v>
      </c>
      <c r="I386" s="236" t="s">
        <v>4532</v>
      </c>
      <c r="J386" s="135">
        <v>138.37</v>
      </c>
      <c r="K386" s="135">
        <v>138.37</v>
      </c>
      <c r="L386" s="135">
        <v>5817.735</v>
      </c>
      <c r="M386" s="285">
        <v>805000</v>
      </c>
      <c r="N386" s="309">
        <v>5817.735</v>
      </c>
      <c r="O386" s="190"/>
      <c r="P386" s="263"/>
      <c r="Q386" s="263"/>
      <c r="R386" s="184">
        <f>100000+300000</f>
        <v>400000</v>
      </c>
      <c r="S386" s="185" t="s">
        <v>3253</v>
      </c>
      <c r="T386" s="220"/>
      <c r="U386" s="185" t="s">
        <v>524</v>
      </c>
      <c r="V386" s="184">
        <v>20000</v>
      </c>
      <c r="W386" s="185">
        <v>45536</v>
      </c>
      <c r="X386" s="184">
        <f>165000+220000</f>
        <v>385000</v>
      </c>
      <c r="Y386" s="292" t="s">
        <v>395</v>
      </c>
      <c r="Z386" s="184">
        <v>300000</v>
      </c>
      <c r="AA386" s="185" t="s">
        <v>3253</v>
      </c>
      <c r="AB386" s="184">
        <v>100000</v>
      </c>
      <c r="AC386" s="135" t="s">
        <v>623</v>
      </c>
      <c r="AH386" s="184">
        <f t="shared" si="38"/>
        <v>805000</v>
      </c>
      <c r="AK386" s="190">
        <f t="shared" si="46"/>
        <v>0</v>
      </c>
      <c r="AL386" s="264" t="s">
        <v>4533</v>
      </c>
      <c r="AM386" s="264" t="s">
        <v>3318</v>
      </c>
      <c r="AN386" s="300"/>
      <c r="AO386" s="135">
        <f t="shared" si="39"/>
        <v>805000</v>
      </c>
      <c r="AP386" s="166">
        <f>0.7%+0.1%</f>
        <v>0.008</v>
      </c>
      <c r="AQ386" s="237">
        <f t="shared" si="40"/>
        <v>0</v>
      </c>
      <c r="AR386" s="184"/>
      <c r="AS386" s="184"/>
      <c r="AT386" s="184"/>
      <c r="AU386" s="184"/>
      <c r="AV386" s="184"/>
      <c r="AW386" s="184"/>
      <c r="AX386" s="184"/>
      <c r="AY386" s="184"/>
      <c r="AZ386" s="184"/>
      <c r="BB386" s="184"/>
      <c r="BL386" s="132"/>
      <c r="BM386" s="132"/>
      <c r="BN386" s="132"/>
      <c r="BO386" s="132"/>
      <c r="BP386" s="132">
        <v>805000</v>
      </c>
      <c r="BR386" s="135">
        <f>BP386*AP386</f>
        <v>6440</v>
      </c>
      <c r="BT386" s="135" t="s">
        <v>496</v>
      </c>
    </row>
    <row r="387" s="132" customFormat="1" customHeight="1" spans="1:54">
      <c r="A387" s="220">
        <v>317</v>
      </c>
      <c r="D387" s="279"/>
      <c r="F387" s="276"/>
      <c r="G387" s="219"/>
      <c r="H387" s="219"/>
      <c r="I387" s="230" t="s">
        <v>4534</v>
      </c>
      <c r="J387" s="132">
        <v>137.88</v>
      </c>
      <c r="M387" s="270"/>
      <c r="N387" s="271">
        <v>7133</v>
      </c>
      <c r="O387" s="277"/>
      <c r="P387" s="279"/>
      <c r="Q387" s="279"/>
      <c r="R387" s="215"/>
      <c r="S387" s="216"/>
      <c r="T387" s="266"/>
      <c r="U387" s="265"/>
      <c r="V387" s="215"/>
      <c r="W387" s="275"/>
      <c r="X387" s="215"/>
      <c r="Y387" s="275"/>
      <c r="Z387" s="301"/>
      <c r="AB387" s="215"/>
      <c r="AH387" s="215">
        <f t="shared" si="38"/>
        <v>0</v>
      </c>
      <c r="AK387" s="173"/>
      <c r="AL387" s="276"/>
      <c r="AM387" s="276"/>
      <c r="AN387" s="277"/>
      <c r="AO387" s="132">
        <f t="shared" si="39"/>
        <v>0</v>
      </c>
      <c r="AP387" s="157"/>
      <c r="AQ387" s="251">
        <f t="shared" si="40"/>
        <v>0</v>
      </c>
      <c r="AR387" s="215"/>
      <c r="AS387" s="215"/>
      <c r="AT387" s="215"/>
      <c r="AU387" s="215"/>
      <c r="AV387" s="215"/>
      <c r="AW387" s="215"/>
      <c r="AX387" s="215"/>
      <c r="AY387" s="215"/>
      <c r="AZ387" s="215"/>
      <c r="BB387" s="215"/>
    </row>
    <row r="388" s="135" customFormat="1" customHeight="1" spans="1:54">
      <c r="A388" s="220">
        <v>318</v>
      </c>
      <c r="B388" s="135"/>
      <c r="D388" s="263"/>
      <c r="F388" s="264" t="s">
        <v>4535</v>
      </c>
      <c r="G388" s="164" t="s">
        <v>4536</v>
      </c>
      <c r="H388" s="846" t="s">
        <v>4537</v>
      </c>
      <c r="I388" s="236" t="s">
        <v>4538</v>
      </c>
      <c r="J388" s="135">
        <v>138.37</v>
      </c>
      <c r="K388" s="135">
        <v>138.37</v>
      </c>
      <c r="L388" s="135">
        <v>6866</v>
      </c>
      <c r="M388" s="285">
        <v>950000</v>
      </c>
      <c r="N388" s="286">
        <v>7116</v>
      </c>
      <c r="O388" s="300"/>
      <c r="P388" s="263"/>
      <c r="Q388" s="263"/>
      <c r="R388" s="184"/>
      <c r="S388" s="185"/>
      <c r="T388" s="220"/>
      <c r="U388" s="185" t="s">
        <v>495</v>
      </c>
      <c r="V388" s="184">
        <v>20000</v>
      </c>
      <c r="W388" s="185" t="s">
        <v>344</v>
      </c>
      <c r="X388" s="184"/>
      <c r="Y388" s="292"/>
      <c r="Z388" s="176"/>
      <c r="AB388" s="184"/>
      <c r="AH388" s="184">
        <f t="shared" si="38"/>
        <v>20000</v>
      </c>
      <c r="AK388" s="190">
        <f>M388-AH388</f>
        <v>930000</v>
      </c>
      <c r="AL388" s="264" t="s">
        <v>4539</v>
      </c>
      <c r="AM388" s="264" t="s">
        <v>3321</v>
      </c>
      <c r="AN388" s="300"/>
      <c r="AO388" s="135">
        <f t="shared" si="39"/>
        <v>0</v>
      </c>
      <c r="AP388" s="162">
        <f>0.5%+0.05%+0.08%+0.03%</f>
        <v>0.0066</v>
      </c>
      <c r="AQ388" s="237">
        <f t="shared" si="40"/>
        <v>0</v>
      </c>
      <c r="AR388" s="184"/>
      <c r="AS388" s="184"/>
      <c r="AT388" s="184"/>
      <c r="AU388" s="184"/>
      <c r="AV388" s="184"/>
      <c r="AW388" s="184"/>
      <c r="AX388" s="184"/>
      <c r="AY388" s="184"/>
      <c r="AZ388" s="184"/>
      <c r="BB388" s="184"/>
    </row>
    <row r="389" s="132" customFormat="1" customHeight="1" spans="4:54">
      <c r="D389" s="279"/>
      <c r="F389" s="276"/>
      <c r="G389" s="212"/>
      <c r="H389" s="212"/>
      <c r="I389" s="230" t="s">
        <v>4540</v>
      </c>
      <c r="J389" s="269">
        <v>8.18</v>
      </c>
      <c r="M389" s="270"/>
      <c r="N389" s="271"/>
      <c r="O389" s="277"/>
      <c r="P389" s="279"/>
      <c r="Q389" s="279"/>
      <c r="R389" s="215"/>
      <c r="S389" s="216"/>
      <c r="T389" s="212"/>
      <c r="U389" s="216"/>
      <c r="V389" s="215"/>
      <c r="W389" s="274"/>
      <c r="X389" s="215"/>
      <c r="Y389" s="275"/>
      <c r="Z389" s="301"/>
      <c r="AB389" s="215"/>
      <c r="AH389" s="215">
        <f t="shared" ref="AH389:AH441" si="48">V389+X389+Z389+AB389+AD389+AF389</f>
        <v>0</v>
      </c>
      <c r="AK389" s="173"/>
      <c r="AL389" s="276"/>
      <c r="AM389" s="276"/>
      <c r="AN389" s="277"/>
      <c r="AO389" s="132">
        <f t="shared" ref="AO389:AO441" si="49">SUM(AZ389:BQ389)</f>
        <v>0</v>
      </c>
      <c r="AP389" s="157"/>
      <c r="AQ389" s="251">
        <f t="shared" ref="AQ389:AQ441" si="50">AR389+AS389+AT389+AU389+AV389+AW389+AX389+AY389</f>
        <v>0</v>
      </c>
      <c r="AR389" s="215"/>
      <c r="AS389" s="215"/>
      <c r="AT389" s="215"/>
      <c r="AU389" s="215"/>
      <c r="AV389" s="215"/>
      <c r="AW389" s="215"/>
      <c r="AX389" s="215"/>
      <c r="AY389" s="215"/>
      <c r="AZ389" s="215"/>
      <c r="BB389" s="215"/>
    </row>
    <row r="390" s="132" customFormat="1" customHeight="1" spans="4:54">
      <c r="D390" s="279"/>
      <c r="F390" s="276"/>
      <c r="I390" s="230" t="s">
        <v>4541</v>
      </c>
      <c r="J390" s="269">
        <v>22.27</v>
      </c>
      <c r="M390" s="270"/>
      <c r="N390" s="271"/>
      <c r="O390" s="277"/>
      <c r="P390" s="279"/>
      <c r="Q390" s="279"/>
      <c r="R390" s="215"/>
      <c r="S390" s="216"/>
      <c r="T390" s="212"/>
      <c r="U390" s="216"/>
      <c r="V390" s="215"/>
      <c r="W390" s="274"/>
      <c r="X390" s="215"/>
      <c r="Y390" s="275"/>
      <c r="Z390" s="301"/>
      <c r="AB390" s="215"/>
      <c r="AH390" s="215">
        <f t="shared" si="48"/>
        <v>0</v>
      </c>
      <c r="AK390" s="173"/>
      <c r="AL390" s="276"/>
      <c r="AM390" s="276"/>
      <c r="AN390" s="277"/>
      <c r="AO390" s="132">
        <f t="shared" si="49"/>
        <v>0</v>
      </c>
      <c r="AP390" s="157"/>
      <c r="AQ390" s="251">
        <f t="shared" si="50"/>
        <v>0</v>
      </c>
      <c r="AR390" s="215"/>
      <c r="AS390" s="215"/>
      <c r="AT390" s="215"/>
      <c r="AU390" s="215"/>
      <c r="AV390" s="215"/>
      <c r="AW390" s="215"/>
      <c r="AX390" s="215"/>
      <c r="AY390" s="215"/>
      <c r="AZ390" s="215"/>
      <c r="BB390" s="215"/>
    </row>
    <row r="391" s="132" customFormat="1" customHeight="1" spans="4:54">
      <c r="D391" s="279"/>
      <c r="F391" s="276"/>
      <c r="I391" s="230" t="s">
        <v>4542</v>
      </c>
      <c r="J391" s="269">
        <v>28.52</v>
      </c>
      <c r="M391" s="270"/>
      <c r="N391" s="271"/>
      <c r="O391" s="277"/>
      <c r="P391" s="279"/>
      <c r="Q391" s="279"/>
      <c r="R391" s="215"/>
      <c r="S391" s="216"/>
      <c r="T391" s="212"/>
      <c r="U391" s="216"/>
      <c r="V391" s="215"/>
      <c r="W391" s="274"/>
      <c r="X391" s="215"/>
      <c r="Y391" s="275"/>
      <c r="Z391" s="301"/>
      <c r="AB391" s="215"/>
      <c r="AH391" s="215">
        <f t="shared" si="48"/>
        <v>0</v>
      </c>
      <c r="AK391" s="173"/>
      <c r="AL391" s="276"/>
      <c r="AM391" s="276"/>
      <c r="AN391" s="277"/>
      <c r="AO391" s="132">
        <f t="shared" si="49"/>
        <v>0</v>
      </c>
      <c r="AP391" s="157"/>
      <c r="AQ391" s="251">
        <f t="shared" si="50"/>
        <v>0</v>
      </c>
      <c r="AR391" s="215"/>
      <c r="AS391" s="215"/>
      <c r="AT391" s="215"/>
      <c r="AU391" s="215"/>
      <c r="AV391" s="215"/>
      <c r="AW391" s="215"/>
      <c r="AX391" s="215"/>
      <c r="AY391" s="215"/>
      <c r="AZ391" s="215"/>
      <c r="BB391" s="215"/>
    </row>
    <row r="392" s="132" customFormat="1" customHeight="1" spans="4:54">
      <c r="D392" s="279"/>
      <c r="F392" s="276"/>
      <c r="I392" s="230" t="s">
        <v>4543</v>
      </c>
      <c r="J392" s="269">
        <v>15.98</v>
      </c>
      <c r="M392" s="270"/>
      <c r="N392" s="271"/>
      <c r="O392" s="277"/>
      <c r="P392" s="279"/>
      <c r="Q392" s="279"/>
      <c r="R392" s="215"/>
      <c r="S392" s="216"/>
      <c r="T392" s="212"/>
      <c r="U392" s="216"/>
      <c r="V392" s="215"/>
      <c r="W392" s="274"/>
      <c r="X392" s="215"/>
      <c r="Y392" s="275"/>
      <c r="Z392" s="301"/>
      <c r="AB392" s="215"/>
      <c r="AH392" s="215">
        <f t="shared" si="48"/>
        <v>0</v>
      </c>
      <c r="AK392" s="173"/>
      <c r="AL392" s="276"/>
      <c r="AM392" s="276"/>
      <c r="AN392" s="277"/>
      <c r="AO392" s="132">
        <f t="shared" si="49"/>
        <v>0</v>
      </c>
      <c r="AP392" s="157"/>
      <c r="AQ392" s="251">
        <f t="shared" si="50"/>
        <v>0</v>
      </c>
      <c r="AR392" s="215"/>
      <c r="AS392" s="215"/>
      <c r="AT392" s="215"/>
      <c r="AU392" s="215"/>
      <c r="AV392" s="215"/>
      <c r="AW392" s="215"/>
      <c r="AX392" s="215"/>
      <c r="AY392" s="215"/>
      <c r="AZ392" s="215"/>
      <c r="BB392" s="215"/>
    </row>
    <row r="393" s="132" customFormat="1" customHeight="1" spans="4:54">
      <c r="D393" s="279"/>
      <c r="F393" s="276"/>
      <c r="I393" s="230" t="s">
        <v>4544</v>
      </c>
      <c r="J393" s="269">
        <v>109.91</v>
      </c>
      <c r="M393" s="270"/>
      <c r="N393" s="271"/>
      <c r="O393" s="277"/>
      <c r="P393" s="279"/>
      <c r="Q393" s="279"/>
      <c r="R393" s="215"/>
      <c r="S393" s="216"/>
      <c r="T393" s="212"/>
      <c r="U393" s="216"/>
      <c r="V393" s="215"/>
      <c r="W393" s="274"/>
      <c r="X393" s="215"/>
      <c r="Y393" s="275"/>
      <c r="Z393" s="301"/>
      <c r="AB393" s="215"/>
      <c r="AH393" s="215">
        <f t="shared" si="48"/>
        <v>0</v>
      </c>
      <c r="AK393" s="173"/>
      <c r="AL393" s="276"/>
      <c r="AM393" s="276"/>
      <c r="AN393" s="277"/>
      <c r="AO393" s="132">
        <f t="shared" si="49"/>
        <v>0</v>
      </c>
      <c r="AP393" s="157"/>
      <c r="AQ393" s="251">
        <f t="shared" si="50"/>
        <v>0</v>
      </c>
      <c r="AR393" s="215"/>
      <c r="AS393" s="215"/>
      <c r="AT393" s="215"/>
      <c r="AU393" s="215"/>
      <c r="AV393" s="215"/>
      <c r="AW393" s="215"/>
      <c r="AX393" s="215"/>
      <c r="AY393" s="215"/>
      <c r="AZ393" s="215"/>
      <c r="BB393" s="215"/>
    </row>
    <row r="394" s="132" customFormat="1" customHeight="1" spans="4:54">
      <c r="D394" s="279"/>
      <c r="F394" s="276"/>
      <c r="I394" s="230" t="s">
        <v>4545</v>
      </c>
      <c r="J394" s="269">
        <v>260.95</v>
      </c>
      <c r="M394" s="270"/>
      <c r="N394" s="271"/>
      <c r="O394" s="277"/>
      <c r="P394" s="279"/>
      <c r="Q394" s="279"/>
      <c r="R394" s="215"/>
      <c r="S394" s="216"/>
      <c r="T394" s="212"/>
      <c r="U394" s="216"/>
      <c r="V394" s="215"/>
      <c r="W394" s="274"/>
      <c r="X394" s="215"/>
      <c r="Y394" s="275"/>
      <c r="Z394" s="301"/>
      <c r="AB394" s="215"/>
      <c r="AH394" s="215">
        <f t="shared" si="48"/>
        <v>0</v>
      </c>
      <c r="AK394" s="173"/>
      <c r="AL394" s="276"/>
      <c r="AM394" s="276"/>
      <c r="AN394" s="277"/>
      <c r="AO394" s="132">
        <f t="shared" si="49"/>
        <v>0</v>
      </c>
      <c r="AP394" s="157"/>
      <c r="AQ394" s="251">
        <f t="shared" si="50"/>
        <v>0</v>
      </c>
      <c r="AR394" s="215"/>
      <c r="AS394" s="215"/>
      <c r="AT394" s="215"/>
      <c r="AU394" s="215"/>
      <c r="AV394" s="215"/>
      <c r="AW394" s="215"/>
      <c r="AX394" s="215"/>
      <c r="AY394" s="215"/>
      <c r="AZ394" s="215"/>
      <c r="BB394" s="215"/>
    </row>
    <row r="395" s="132" customFormat="1" customHeight="1" spans="4:54">
      <c r="D395" s="279"/>
      <c r="F395" s="276"/>
      <c r="I395" s="230" t="s">
        <v>4546</v>
      </c>
      <c r="J395" s="269">
        <v>111.69</v>
      </c>
      <c r="M395" s="270"/>
      <c r="N395" s="271"/>
      <c r="O395" s="277"/>
      <c r="P395" s="279"/>
      <c r="Q395" s="279"/>
      <c r="R395" s="215"/>
      <c r="S395" s="216"/>
      <c r="T395" s="212"/>
      <c r="U395" s="216"/>
      <c r="V395" s="215"/>
      <c r="W395" s="274"/>
      <c r="X395" s="215"/>
      <c r="Y395" s="275"/>
      <c r="Z395" s="301"/>
      <c r="AB395" s="215"/>
      <c r="AH395" s="215">
        <f t="shared" si="48"/>
        <v>0</v>
      </c>
      <c r="AK395" s="173"/>
      <c r="AL395" s="276"/>
      <c r="AM395" s="276"/>
      <c r="AN395" s="277"/>
      <c r="AO395" s="132">
        <f t="shared" si="49"/>
        <v>0</v>
      </c>
      <c r="AP395" s="157"/>
      <c r="AQ395" s="251">
        <f t="shared" si="50"/>
        <v>0</v>
      </c>
      <c r="AR395" s="215"/>
      <c r="AS395" s="215"/>
      <c r="AT395" s="215"/>
      <c r="AU395" s="215"/>
      <c r="AV395" s="215"/>
      <c r="AW395" s="215"/>
      <c r="AX395" s="215"/>
      <c r="AY395" s="215"/>
      <c r="AZ395" s="215"/>
      <c r="BB395" s="215"/>
    </row>
    <row r="396" s="135" customFormat="1" ht="30" customHeight="1" spans="1:72">
      <c r="A396" s="220">
        <v>319</v>
      </c>
      <c r="B396" s="135"/>
      <c r="C396" s="135" t="s">
        <v>290</v>
      </c>
      <c r="D396" s="263" t="s">
        <v>291</v>
      </c>
      <c r="F396" s="264" t="s">
        <v>292</v>
      </c>
      <c r="G396" s="262" t="s">
        <v>293</v>
      </c>
      <c r="H396" s="845" t="s">
        <v>4547</v>
      </c>
      <c r="I396" s="236" t="s">
        <v>4548</v>
      </c>
      <c r="J396" s="190">
        <v>123.34</v>
      </c>
      <c r="K396" s="135">
        <v>123.34</v>
      </c>
      <c r="L396" s="135">
        <v>7159.07</v>
      </c>
      <c r="M396" s="285">
        <v>883000</v>
      </c>
      <c r="N396" s="286">
        <v>7159.07</v>
      </c>
      <c r="O396" s="190"/>
      <c r="P396" s="263"/>
      <c r="Q396" s="263"/>
      <c r="R396" s="184">
        <v>440000</v>
      </c>
      <c r="S396" s="185" t="s">
        <v>412</v>
      </c>
      <c r="T396" s="220"/>
      <c r="U396" s="185" t="s">
        <v>502</v>
      </c>
      <c r="V396" s="184">
        <v>20000</v>
      </c>
      <c r="W396" s="185">
        <v>45552</v>
      </c>
      <c r="X396" s="184">
        <v>143000</v>
      </c>
      <c r="Y396" s="185" t="s">
        <v>125</v>
      </c>
      <c r="Z396" s="184">
        <v>280000</v>
      </c>
      <c r="AA396" s="185" t="s">
        <v>173</v>
      </c>
      <c r="AB396" s="184">
        <v>440000</v>
      </c>
      <c r="AC396" s="185" t="s">
        <v>412</v>
      </c>
      <c r="AD396" s="155"/>
      <c r="AE396" s="155"/>
      <c r="AF396" s="155"/>
      <c r="AG396" s="155"/>
      <c r="AH396" s="184">
        <f t="shared" si="48"/>
        <v>883000</v>
      </c>
      <c r="AK396" s="190">
        <f t="shared" ref="AK396:AK399" si="51">M396-AH396</f>
        <v>0</v>
      </c>
      <c r="AL396" s="264" t="s">
        <v>4549</v>
      </c>
      <c r="AM396" s="264"/>
      <c r="AN396" s="288"/>
      <c r="AO396" s="135">
        <f t="shared" si="49"/>
        <v>883000</v>
      </c>
      <c r="AP396" s="166">
        <f>0.6%+0.1%</f>
        <v>0.007</v>
      </c>
      <c r="AQ396" s="237">
        <f t="shared" si="50"/>
        <v>100</v>
      </c>
      <c r="AR396" s="184"/>
      <c r="AS396" s="184"/>
      <c r="AT396" s="184">
        <v>100</v>
      </c>
      <c r="AU396" s="184"/>
      <c r="AV396" s="184"/>
      <c r="AW396" s="184"/>
      <c r="AX396" s="184"/>
      <c r="AY396" s="184"/>
      <c r="AZ396" s="184"/>
      <c r="BB396" s="184"/>
      <c r="BL396" s="132"/>
      <c r="BM396" s="132"/>
      <c r="BN396" s="132"/>
      <c r="BO396" s="132"/>
      <c r="BP396" s="132">
        <v>883000</v>
      </c>
      <c r="BR396" s="135">
        <f>BP396*AP396</f>
        <v>6181</v>
      </c>
      <c r="BT396" s="135" t="s">
        <v>496</v>
      </c>
    </row>
    <row r="397" s="135" customFormat="1" ht="65" customHeight="1" spans="1:73">
      <c r="A397" s="220">
        <v>320</v>
      </c>
      <c r="C397" s="135" t="s">
        <v>2594</v>
      </c>
      <c r="D397" s="263" t="s">
        <v>4550</v>
      </c>
      <c r="F397" s="298" t="s">
        <v>4551</v>
      </c>
      <c r="G397" s="262" t="s">
        <v>4552</v>
      </c>
      <c r="H397" s="844" t="s">
        <v>4553</v>
      </c>
      <c r="I397" s="232" t="s">
        <v>4554</v>
      </c>
      <c r="J397" s="190">
        <v>140.71</v>
      </c>
      <c r="K397" s="135">
        <v>140.71</v>
      </c>
      <c r="L397" s="135">
        <v>7364.59</v>
      </c>
      <c r="M397" s="285">
        <v>1036271</v>
      </c>
      <c r="N397" s="286">
        <v>7364.59</v>
      </c>
      <c r="O397" s="190"/>
      <c r="P397" s="263"/>
      <c r="Q397" s="263"/>
      <c r="R397" s="184"/>
      <c r="S397" s="185"/>
      <c r="T397" s="845" t="s">
        <v>4555</v>
      </c>
      <c r="U397" s="261" t="s">
        <v>4556</v>
      </c>
      <c r="V397" s="184">
        <f>10000-10000+10000-10000</f>
        <v>0</v>
      </c>
      <c r="W397" s="261" t="s">
        <v>4557</v>
      </c>
      <c r="X397" s="184">
        <v>10000</v>
      </c>
      <c r="Y397" s="185" t="s">
        <v>1954</v>
      </c>
      <c r="Z397" s="184">
        <v>10000</v>
      </c>
      <c r="AA397" s="185" t="s">
        <v>2594</v>
      </c>
      <c r="AB397" s="184">
        <f>60000+236271</f>
        <v>296271</v>
      </c>
      <c r="AC397" s="185" t="s">
        <v>2587</v>
      </c>
      <c r="AD397" s="155">
        <v>720000</v>
      </c>
      <c r="AE397" s="155" t="s">
        <v>925</v>
      </c>
      <c r="AF397" s="155"/>
      <c r="AG397" s="155"/>
      <c r="AH397" s="184">
        <f t="shared" si="48"/>
        <v>1036271</v>
      </c>
      <c r="AK397" s="190">
        <f t="shared" si="51"/>
        <v>0</v>
      </c>
      <c r="AL397" s="264" t="s">
        <v>4558</v>
      </c>
      <c r="AM397" s="264"/>
      <c r="AN397" s="288"/>
      <c r="AO397" s="135">
        <f t="shared" si="49"/>
        <v>1036271</v>
      </c>
      <c r="AP397" s="162">
        <f>0.5%+0.05%+0.12%</f>
        <v>0.0067</v>
      </c>
      <c r="AQ397" s="237">
        <f t="shared" si="50"/>
        <v>400</v>
      </c>
      <c r="AR397" s="184"/>
      <c r="AS397" s="184"/>
      <c r="AT397" s="184">
        <v>100</v>
      </c>
      <c r="AU397" s="184">
        <v>100</v>
      </c>
      <c r="AV397" s="184"/>
      <c r="AW397" s="184">
        <v>200</v>
      </c>
      <c r="AX397" s="184"/>
      <c r="AY397" s="184"/>
      <c r="AZ397" s="184"/>
      <c r="BA397" s="135">
        <v>316271</v>
      </c>
      <c r="BB397" s="184">
        <v>720000</v>
      </c>
      <c r="BT397" s="135" t="s">
        <v>496</v>
      </c>
      <c r="BU397" s="135" t="s">
        <v>506</v>
      </c>
    </row>
    <row r="398" s="135" customFormat="1" customHeight="1" spans="1:54">
      <c r="A398" s="220">
        <v>321</v>
      </c>
      <c r="B398" s="135">
        <v>1</v>
      </c>
      <c r="D398" s="263"/>
      <c r="F398" s="264" t="s">
        <v>4559</v>
      </c>
      <c r="G398" s="220" t="s">
        <v>4560</v>
      </c>
      <c r="H398" s="844" t="s">
        <v>4561</v>
      </c>
      <c r="I398" s="236" t="s">
        <v>4562</v>
      </c>
      <c r="J398" s="190">
        <v>138.52</v>
      </c>
      <c r="K398" s="135">
        <v>138.52</v>
      </c>
      <c r="L398" s="135">
        <v>5641.71</v>
      </c>
      <c r="M398" s="285">
        <v>781490</v>
      </c>
      <c r="N398" s="286">
        <v>5747.22</v>
      </c>
      <c r="O398" s="287" t="s">
        <v>593</v>
      </c>
      <c r="P398" s="263"/>
      <c r="Q398" s="263"/>
      <c r="R398" s="184">
        <v>10000</v>
      </c>
      <c r="S398" s="185" t="s">
        <v>399</v>
      </c>
      <c r="T398" s="220"/>
      <c r="U398" s="185" t="s">
        <v>590</v>
      </c>
      <c r="V398" s="184">
        <v>10000</v>
      </c>
      <c r="W398" s="185" t="s">
        <v>399</v>
      </c>
      <c r="X398" s="184"/>
      <c r="Y398" s="243"/>
      <c r="AA398" s="155"/>
      <c r="AB398" s="184"/>
      <c r="AH398" s="184">
        <f t="shared" si="48"/>
        <v>10000</v>
      </c>
      <c r="AK398" s="190">
        <f t="shared" si="51"/>
        <v>771490</v>
      </c>
      <c r="AL398" s="264" t="s">
        <v>4563</v>
      </c>
      <c r="AM398" s="264"/>
      <c r="AN398" s="288"/>
      <c r="AO398" s="135">
        <f t="shared" si="49"/>
        <v>0</v>
      </c>
      <c r="AP398" s="162">
        <f>0.4%+0.04%+0.12%+0.03%</f>
        <v>0.0059</v>
      </c>
      <c r="AQ398" s="237">
        <f t="shared" si="50"/>
        <v>0</v>
      </c>
      <c r="AR398" s="184"/>
      <c r="AS398" s="184"/>
      <c r="AT398" s="184"/>
      <c r="AU398" s="184"/>
      <c r="AV398" s="184"/>
      <c r="AW398" s="184"/>
      <c r="AX398" s="184"/>
      <c r="AY398" s="184"/>
      <c r="AZ398" s="184"/>
      <c r="BB398" s="184"/>
    </row>
    <row r="399" s="135" customFormat="1" customHeight="1" spans="1:77">
      <c r="A399" s="220">
        <v>322</v>
      </c>
      <c r="B399" s="135"/>
      <c r="C399" s="135" t="s">
        <v>88</v>
      </c>
      <c r="D399" s="263" t="s">
        <v>294</v>
      </c>
      <c r="F399" s="298" t="s">
        <v>295</v>
      </c>
      <c r="G399" s="220" t="s">
        <v>296</v>
      </c>
      <c r="H399" s="844" t="s">
        <v>4564</v>
      </c>
      <c r="I399" s="232" t="s">
        <v>4565</v>
      </c>
      <c r="J399" s="135">
        <v>138.03</v>
      </c>
      <c r="K399" s="135">
        <v>138.03</v>
      </c>
      <c r="L399" s="135">
        <v>5578.5</v>
      </c>
      <c r="M399" s="285">
        <v>770000</v>
      </c>
      <c r="N399" s="285">
        <v>5578.495</v>
      </c>
      <c r="O399" s="287"/>
      <c r="P399" s="263"/>
      <c r="Q399" s="263"/>
      <c r="R399" s="184"/>
      <c r="S399" s="185"/>
      <c r="T399" s="220"/>
      <c r="U399" s="185" t="s">
        <v>1427</v>
      </c>
      <c r="V399" s="184">
        <v>355000</v>
      </c>
      <c r="W399" s="185">
        <v>45552</v>
      </c>
      <c r="X399" s="184">
        <v>395000</v>
      </c>
      <c r="Y399" s="243">
        <v>45553</v>
      </c>
      <c r="Z399" s="184">
        <v>20000</v>
      </c>
      <c r="AA399" s="185" t="s">
        <v>88</v>
      </c>
      <c r="AB399" s="184"/>
      <c r="AH399" s="184">
        <f t="shared" si="48"/>
        <v>770000</v>
      </c>
      <c r="AK399" s="190">
        <f t="shared" si="51"/>
        <v>0</v>
      </c>
      <c r="AL399" s="264" t="s">
        <v>4566</v>
      </c>
      <c r="AM399" s="264"/>
      <c r="AN399" s="288"/>
      <c r="AO399" s="135">
        <f t="shared" si="49"/>
        <v>770000</v>
      </c>
      <c r="AP399" s="162">
        <f>0.5%+0.04%+0.1%</f>
        <v>0.0064</v>
      </c>
      <c r="AQ399" s="237">
        <f t="shared" si="50"/>
        <v>0</v>
      </c>
      <c r="AR399" s="184"/>
      <c r="AS399" s="184"/>
      <c r="AT399" s="184"/>
      <c r="AU399" s="184"/>
      <c r="AV399" s="184"/>
      <c r="AW399" s="184"/>
      <c r="AX399" s="184"/>
      <c r="AY399" s="184"/>
      <c r="AZ399" s="184"/>
      <c r="BB399" s="184"/>
      <c r="BL399" s="132"/>
      <c r="BM399" s="132"/>
      <c r="BN399" s="132">
        <v>770000</v>
      </c>
      <c r="BO399" s="132"/>
      <c r="BP399" s="132"/>
      <c r="BT399" s="135" t="s">
        <v>496</v>
      </c>
      <c r="BY399" s="164"/>
    </row>
    <row r="400" s="135" customFormat="1" customHeight="1" spans="1:72">
      <c r="A400" s="220">
        <v>323</v>
      </c>
      <c r="C400" s="155">
        <v>45537</v>
      </c>
      <c r="D400" s="263" t="s">
        <v>4567</v>
      </c>
      <c r="F400" s="264" t="s">
        <v>4568</v>
      </c>
      <c r="G400" s="135" t="s">
        <v>4569</v>
      </c>
      <c r="H400" s="844" t="s">
        <v>4570</v>
      </c>
      <c r="I400" s="236" t="s">
        <v>4571</v>
      </c>
      <c r="J400" s="190">
        <v>138.52</v>
      </c>
      <c r="K400" s="135">
        <v>138.52</v>
      </c>
      <c r="L400" s="135">
        <v>5801.88</v>
      </c>
      <c r="M400" s="285">
        <v>803676</v>
      </c>
      <c r="N400" s="286">
        <v>5801.88</v>
      </c>
      <c r="O400" s="287"/>
      <c r="P400" s="263"/>
      <c r="Q400" s="263"/>
      <c r="R400" s="184"/>
      <c r="S400" s="185"/>
      <c r="T400" s="844" t="s">
        <v>4572</v>
      </c>
      <c r="U400" s="185" t="s">
        <v>721</v>
      </c>
      <c r="V400" s="184">
        <v>10000</v>
      </c>
      <c r="W400" s="185" t="s">
        <v>678</v>
      </c>
      <c r="X400" s="184">
        <v>10000</v>
      </c>
      <c r="Y400" s="185" t="s">
        <v>2594</v>
      </c>
      <c r="Z400" s="184">
        <v>676</v>
      </c>
      <c r="AA400" s="185">
        <v>45537</v>
      </c>
      <c r="AB400" s="184">
        <v>155000</v>
      </c>
      <c r="AC400" s="155">
        <v>45560</v>
      </c>
      <c r="AD400" s="184">
        <v>628000</v>
      </c>
      <c r="AE400" s="185" t="s">
        <v>142</v>
      </c>
      <c r="AH400" s="184">
        <f t="shared" si="48"/>
        <v>803676</v>
      </c>
      <c r="AK400" s="190">
        <f t="shared" ref="AK400:AK405" si="52">M400-AH400</f>
        <v>0</v>
      </c>
      <c r="AL400" s="264" t="s">
        <v>4573</v>
      </c>
      <c r="AM400" s="264"/>
      <c r="AN400" s="288"/>
      <c r="AO400" s="135">
        <f t="shared" si="49"/>
        <v>803676</v>
      </c>
      <c r="AP400" s="162">
        <f>0.7%+0.05%+0.12%</f>
        <v>0.0087</v>
      </c>
      <c r="AQ400" s="237">
        <f t="shared" si="50"/>
        <v>200</v>
      </c>
      <c r="AR400" s="184"/>
      <c r="AS400" s="184"/>
      <c r="AT400" s="184"/>
      <c r="AU400" s="184"/>
      <c r="AV400" s="184"/>
      <c r="AW400" s="184">
        <v>200</v>
      </c>
      <c r="AX400" s="184"/>
      <c r="AY400" s="184"/>
      <c r="AZ400" s="184"/>
      <c r="BB400" s="184"/>
      <c r="BM400" s="135">
        <v>175676</v>
      </c>
      <c r="BN400" s="135">
        <v>628000</v>
      </c>
      <c r="BT400" s="135" t="s">
        <v>496</v>
      </c>
    </row>
    <row r="401" s="135" customFormat="1" customHeight="1" spans="1:73">
      <c r="A401" s="220">
        <v>324</v>
      </c>
      <c r="C401" s="135" t="s">
        <v>2585</v>
      </c>
      <c r="D401" s="263" t="s">
        <v>4574</v>
      </c>
      <c r="F401" s="264"/>
      <c r="G401" s="220" t="s">
        <v>4575</v>
      </c>
      <c r="H401" s="844" t="s">
        <v>4576</v>
      </c>
      <c r="I401" s="232" t="s">
        <v>4577</v>
      </c>
      <c r="J401" s="135">
        <v>138.03</v>
      </c>
      <c r="K401" s="135">
        <v>138.03</v>
      </c>
      <c r="L401" s="135">
        <v>5820.88</v>
      </c>
      <c r="M401" s="285">
        <v>803455</v>
      </c>
      <c r="N401" s="286">
        <v>5820.88</v>
      </c>
      <c r="O401" s="190"/>
      <c r="P401" s="263"/>
      <c r="Q401" s="263"/>
      <c r="R401" s="184"/>
      <c r="S401" s="185"/>
      <c r="T401" s="844" t="s">
        <v>4578</v>
      </c>
      <c r="U401" s="185" t="s">
        <v>502</v>
      </c>
      <c r="V401" s="184">
        <v>10000</v>
      </c>
      <c r="W401" s="185" t="s">
        <v>4579</v>
      </c>
      <c r="X401" s="184">
        <v>10000</v>
      </c>
      <c r="Y401" s="243" t="s">
        <v>2585</v>
      </c>
      <c r="Z401" s="135">
        <v>143455</v>
      </c>
      <c r="AA401" s="135" t="s">
        <v>2529</v>
      </c>
      <c r="AB401" s="184">
        <v>640000</v>
      </c>
      <c r="AC401" s="185" t="s">
        <v>586</v>
      </c>
      <c r="AH401" s="184">
        <f t="shared" si="48"/>
        <v>803455</v>
      </c>
      <c r="AK401" s="190">
        <f t="shared" si="52"/>
        <v>0</v>
      </c>
      <c r="AL401" s="264"/>
      <c r="AM401" s="264"/>
      <c r="AN401" s="288"/>
      <c r="AO401" s="135">
        <f t="shared" si="49"/>
        <v>803455</v>
      </c>
      <c r="AP401" s="162">
        <f>0.5%+0.12%</f>
        <v>0.0062</v>
      </c>
      <c r="AQ401" s="237">
        <f t="shared" si="50"/>
        <v>300</v>
      </c>
      <c r="AR401" s="184"/>
      <c r="AS401" s="184"/>
      <c r="AT401" s="184"/>
      <c r="AU401" s="184"/>
      <c r="AV401" s="184"/>
      <c r="AW401" s="184">
        <f>100+200</f>
        <v>300</v>
      </c>
      <c r="AX401" s="184"/>
      <c r="AY401" s="184"/>
      <c r="AZ401" s="184">
        <v>163455</v>
      </c>
      <c r="BB401" s="184"/>
      <c r="BG401" s="135">
        <v>640000</v>
      </c>
      <c r="BT401" s="135" t="s">
        <v>496</v>
      </c>
      <c r="BU401" s="135" t="s">
        <v>506</v>
      </c>
    </row>
    <row r="402" s="135" customFormat="1" customHeight="1" spans="1:72">
      <c r="A402" s="220">
        <v>325</v>
      </c>
      <c r="B402" s="135"/>
      <c r="C402" s="135" t="s">
        <v>213</v>
      </c>
      <c r="D402" s="263" t="s">
        <v>297</v>
      </c>
      <c r="F402" s="264" t="s">
        <v>298</v>
      </c>
      <c r="G402" s="220" t="s">
        <v>299</v>
      </c>
      <c r="H402" s="844" t="s">
        <v>4580</v>
      </c>
      <c r="I402" s="236" t="s">
        <v>4581</v>
      </c>
      <c r="J402" s="190">
        <v>138.52</v>
      </c>
      <c r="K402" s="135">
        <v>138.52</v>
      </c>
      <c r="L402" s="135">
        <v>5847.53</v>
      </c>
      <c r="M402" s="285">
        <v>810000</v>
      </c>
      <c r="N402" s="286">
        <v>5834.48</v>
      </c>
      <c r="O402" s="287"/>
      <c r="P402" s="263"/>
      <c r="Q402" s="263"/>
      <c r="R402" s="184"/>
      <c r="S402" s="185"/>
      <c r="T402" s="220"/>
      <c r="U402" s="185" t="s">
        <v>721</v>
      </c>
      <c r="V402" s="184">
        <v>50000</v>
      </c>
      <c r="W402" s="185">
        <v>45536</v>
      </c>
      <c r="X402" s="184">
        <v>50000</v>
      </c>
      <c r="Y402" s="243">
        <v>45537</v>
      </c>
      <c r="Z402" s="184">
        <v>710000</v>
      </c>
      <c r="AA402" s="185" t="s">
        <v>213</v>
      </c>
      <c r="AB402" s="184"/>
      <c r="AC402" s="155"/>
      <c r="AD402" s="155"/>
      <c r="AE402" s="155"/>
      <c r="AF402" s="155"/>
      <c r="AG402" s="155"/>
      <c r="AH402" s="184">
        <f t="shared" si="48"/>
        <v>810000</v>
      </c>
      <c r="AK402" s="190">
        <f t="shared" si="52"/>
        <v>0</v>
      </c>
      <c r="AL402" s="264" t="s">
        <v>4582</v>
      </c>
      <c r="AM402" s="264" t="s">
        <v>4583</v>
      </c>
      <c r="AN402" s="288"/>
      <c r="AO402" s="135">
        <f t="shared" si="49"/>
        <v>810000</v>
      </c>
      <c r="AP402" s="162">
        <f>0.4%+0.02%+0.1%</f>
        <v>0.0052</v>
      </c>
      <c r="AQ402" s="237">
        <f t="shared" si="50"/>
        <v>100</v>
      </c>
      <c r="AR402" s="184"/>
      <c r="AS402" s="184"/>
      <c r="AT402" s="184"/>
      <c r="AU402" s="184"/>
      <c r="AV402" s="184">
        <v>100</v>
      </c>
      <c r="AW402" s="184"/>
      <c r="AX402" s="184"/>
      <c r="AY402" s="184"/>
      <c r="AZ402" s="184"/>
      <c r="BB402" s="184"/>
      <c r="BL402" s="132"/>
      <c r="BM402" s="132"/>
      <c r="BN402" s="132"/>
      <c r="BO402" s="132">
        <v>810000</v>
      </c>
      <c r="BP402" s="132"/>
      <c r="BT402" s="135" t="s">
        <v>496</v>
      </c>
    </row>
    <row r="403" s="135" customFormat="1" customHeight="1" spans="1:73">
      <c r="A403" s="220">
        <v>326</v>
      </c>
      <c r="C403" s="135" t="s">
        <v>1431</v>
      </c>
      <c r="D403" s="263" t="s">
        <v>4584</v>
      </c>
      <c r="F403" s="264" t="s">
        <v>4585</v>
      </c>
      <c r="G403" s="262" t="s">
        <v>4586</v>
      </c>
      <c r="H403" s="845" t="s">
        <v>4587</v>
      </c>
      <c r="I403" s="232" t="s">
        <v>4588</v>
      </c>
      <c r="J403" s="135">
        <v>138.03</v>
      </c>
      <c r="K403" s="135">
        <v>138.03</v>
      </c>
      <c r="L403" s="135">
        <v>5853.48</v>
      </c>
      <c r="M403" s="285">
        <v>807957</v>
      </c>
      <c r="N403" s="286">
        <v>5853.48</v>
      </c>
      <c r="O403" s="190"/>
      <c r="P403" s="263"/>
      <c r="Q403" s="263"/>
      <c r="R403" s="184"/>
      <c r="S403" s="185"/>
      <c r="T403" s="844" t="s">
        <v>838</v>
      </c>
      <c r="U403" s="185" t="s">
        <v>1427</v>
      </c>
      <c r="V403" s="184">
        <v>10000</v>
      </c>
      <c r="W403" s="185" t="s">
        <v>2671</v>
      </c>
      <c r="X403" s="184">
        <v>10000</v>
      </c>
      <c r="Y403" s="185" t="s">
        <v>2585</v>
      </c>
      <c r="Z403" s="135">
        <v>120000</v>
      </c>
      <c r="AA403" s="135" t="s">
        <v>2594</v>
      </c>
      <c r="AB403" s="184">
        <v>27957</v>
      </c>
      <c r="AC403" s="135" t="s">
        <v>1431</v>
      </c>
      <c r="AD403" s="135">
        <v>640000</v>
      </c>
      <c r="AE403" s="135" t="s">
        <v>1524</v>
      </c>
      <c r="AH403" s="184">
        <f t="shared" si="48"/>
        <v>807957</v>
      </c>
      <c r="AK403" s="190">
        <f t="shared" si="52"/>
        <v>0</v>
      </c>
      <c r="AL403" s="264" t="s">
        <v>4589</v>
      </c>
      <c r="AM403" s="264"/>
      <c r="AN403" s="288"/>
      <c r="AO403" s="135">
        <f t="shared" si="49"/>
        <v>807957</v>
      </c>
      <c r="AP403" s="162">
        <f>0.4%+0.04%+0.12%</f>
        <v>0.0056</v>
      </c>
      <c r="AQ403" s="237">
        <f t="shared" si="50"/>
        <v>200</v>
      </c>
      <c r="AR403" s="184"/>
      <c r="AS403" s="184"/>
      <c r="AT403" s="184"/>
      <c r="AU403" s="184"/>
      <c r="AV403" s="184"/>
      <c r="AW403" s="184">
        <v>200</v>
      </c>
      <c r="AX403" s="184"/>
      <c r="AY403" s="184"/>
      <c r="AZ403" s="184">
        <v>167957</v>
      </c>
      <c r="BB403" s="184"/>
      <c r="BC403" s="135">
        <v>640000</v>
      </c>
      <c r="BT403" s="135" t="s">
        <v>496</v>
      </c>
      <c r="BU403" s="135" t="s">
        <v>506</v>
      </c>
    </row>
    <row r="404" s="135" customFormat="1" customHeight="1" spans="1:73">
      <c r="A404" s="220">
        <v>327</v>
      </c>
      <c r="C404" s="135" t="s">
        <v>3987</v>
      </c>
      <c r="D404" s="263" t="s">
        <v>4590</v>
      </c>
      <c r="F404" s="834" t="s">
        <v>4591</v>
      </c>
      <c r="G404" s="220" t="s">
        <v>4592</v>
      </c>
      <c r="H404" s="844" t="s">
        <v>4593</v>
      </c>
      <c r="I404" s="236" t="s">
        <v>4594</v>
      </c>
      <c r="J404" s="190">
        <v>138.52</v>
      </c>
      <c r="K404" s="135">
        <v>138.52</v>
      </c>
      <c r="L404" s="135">
        <v>5908.83</v>
      </c>
      <c r="M404" s="285">
        <v>818492</v>
      </c>
      <c r="N404" s="286">
        <v>5908.83</v>
      </c>
      <c r="O404" s="190"/>
      <c r="P404" s="263"/>
      <c r="Q404" s="263"/>
      <c r="R404" s="184"/>
      <c r="S404" s="185"/>
      <c r="T404" s="220"/>
      <c r="U404" s="185" t="s">
        <v>590</v>
      </c>
      <c r="V404" s="184">
        <v>20000</v>
      </c>
      <c r="W404" s="185" t="s">
        <v>646</v>
      </c>
      <c r="X404" s="184">
        <v>158492</v>
      </c>
      <c r="Y404" s="185" t="s">
        <v>639</v>
      </c>
      <c r="Z404" s="176">
        <v>20000</v>
      </c>
      <c r="AA404" s="155" t="s">
        <v>925</v>
      </c>
      <c r="AB404" s="184">
        <v>620000</v>
      </c>
      <c r="AC404" s="155" t="s">
        <v>1524</v>
      </c>
      <c r="AD404" s="155"/>
      <c r="AE404" s="155"/>
      <c r="AF404" s="155"/>
      <c r="AG404" s="155"/>
      <c r="AH404" s="184">
        <f t="shared" si="48"/>
        <v>818492</v>
      </c>
      <c r="AK404" s="190">
        <f t="shared" si="52"/>
        <v>0</v>
      </c>
      <c r="AL404" s="264" t="s">
        <v>4595</v>
      </c>
      <c r="AM404" s="264"/>
      <c r="AN404" s="288"/>
      <c r="AO404" s="135">
        <f t="shared" si="49"/>
        <v>818492</v>
      </c>
      <c r="AP404" s="162">
        <f>0.7%+0.05%+0.12%</f>
        <v>0.0087</v>
      </c>
      <c r="AQ404" s="237">
        <f t="shared" si="50"/>
        <v>100</v>
      </c>
      <c r="AR404" s="184"/>
      <c r="AS404" s="184">
        <v>100</v>
      </c>
      <c r="AT404" s="184"/>
      <c r="AU404" s="184"/>
      <c r="AV404" s="184"/>
      <c r="AW404" s="184"/>
      <c r="AX404" s="184"/>
      <c r="AY404" s="184"/>
      <c r="AZ404" s="184"/>
      <c r="BB404" s="184">
        <v>198492</v>
      </c>
      <c r="BC404" s="135">
        <v>620000</v>
      </c>
      <c r="BT404" s="135" t="s">
        <v>496</v>
      </c>
      <c r="BU404" s="135" t="s">
        <v>506</v>
      </c>
    </row>
    <row r="405" s="135" customFormat="1" ht="60" customHeight="1" spans="1:73">
      <c r="A405" s="220">
        <v>328</v>
      </c>
      <c r="C405" s="135" t="s">
        <v>2529</v>
      </c>
      <c r="D405" s="263" t="s">
        <v>4596</v>
      </c>
      <c r="F405" s="264"/>
      <c r="G405" s="262" t="s">
        <v>4597</v>
      </c>
      <c r="H405" s="220"/>
      <c r="I405" s="232" t="s">
        <v>4598</v>
      </c>
      <c r="J405" s="135">
        <v>138.03</v>
      </c>
      <c r="K405" s="135">
        <v>138.03</v>
      </c>
      <c r="L405" s="135">
        <v>5927.835</v>
      </c>
      <c r="M405" s="285">
        <v>818219</v>
      </c>
      <c r="N405" s="286">
        <v>5927.83</v>
      </c>
      <c r="O405" s="190"/>
      <c r="P405" s="263"/>
      <c r="Q405" s="263"/>
      <c r="R405" s="184"/>
      <c r="S405" s="185"/>
      <c r="T405" s="845" t="s">
        <v>4599</v>
      </c>
      <c r="U405" s="261" t="s">
        <v>4600</v>
      </c>
      <c r="V405" s="184">
        <f>10000-10000</f>
        <v>0</v>
      </c>
      <c r="W405" s="185" t="s">
        <v>2314</v>
      </c>
      <c r="X405" s="184">
        <v>10000</v>
      </c>
      <c r="Y405" s="185" t="s">
        <v>2585</v>
      </c>
      <c r="Z405" s="135">
        <v>219</v>
      </c>
      <c r="AA405" s="135" t="s">
        <v>2603</v>
      </c>
      <c r="AB405" s="184">
        <v>10000</v>
      </c>
      <c r="AC405" s="155" t="s">
        <v>1726</v>
      </c>
      <c r="AD405" s="184">
        <v>298000</v>
      </c>
      <c r="AE405" s="185" t="s">
        <v>907</v>
      </c>
      <c r="AF405" s="184">
        <v>500000</v>
      </c>
      <c r="AG405" s="185" t="s">
        <v>2763</v>
      </c>
      <c r="AH405" s="184">
        <f t="shared" si="48"/>
        <v>818219</v>
      </c>
      <c r="AK405" s="190">
        <f t="shared" si="52"/>
        <v>0</v>
      </c>
      <c r="AL405" s="264"/>
      <c r="AM405" s="264"/>
      <c r="AN405" s="288"/>
      <c r="AO405" s="135">
        <f t="shared" si="49"/>
        <v>818219</v>
      </c>
      <c r="AP405" s="162">
        <f>0.4%+0.02%+0.12%</f>
        <v>0.0054</v>
      </c>
      <c r="AQ405" s="237">
        <f t="shared" si="50"/>
        <v>300</v>
      </c>
      <c r="AR405" s="184"/>
      <c r="AS405" s="184">
        <v>100</v>
      </c>
      <c r="AT405" s="184"/>
      <c r="AU405" s="184"/>
      <c r="AV405" s="184"/>
      <c r="AW405" s="184">
        <v>200</v>
      </c>
      <c r="AX405" s="184"/>
      <c r="AY405" s="184"/>
      <c r="AZ405" s="184"/>
      <c r="BB405" s="184">
        <v>318219</v>
      </c>
      <c r="BD405" s="135">
        <v>500000</v>
      </c>
      <c r="BT405" s="135" t="s">
        <v>496</v>
      </c>
      <c r="BU405" s="135" t="s">
        <v>506</v>
      </c>
    </row>
    <row r="406" s="135" customFormat="1" ht="49" customHeight="1" spans="1:73">
      <c r="A406" s="220">
        <v>329</v>
      </c>
      <c r="C406" s="135" t="s">
        <v>2470</v>
      </c>
      <c r="D406" s="135">
        <v>20230007702</v>
      </c>
      <c r="F406" s="264" t="s">
        <v>4601</v>
      </c>
      <c r="G406" s="262" t="s">
        <v>4602</v>
      </c>
      <c r="H406" s="844" t="s">
        <v>4603</v>
      </c>
      <c r="I406" s="236" t="s">
        <v>4604</v>
      </c>
      <c r="J406" s="190">
        <v>138.52</v>
      </c>
      <c r="K406" s="135">
        <v>138.52</v>
      </c>
      <c r="L406" s="135">
        <v>5977.75</v>
      </c>
      <c r="M406" s="285">
        <v>828038</v>
      </c>
      <c r="N406" s="184">
        <v>5977.75</v>
      </c>
      <c r="O406" s="190"/>
      <c r="P406" s="264"/>
      <c r="Q406" s="264"/>
      <c r="R406" s="184"/>
      <c r="S406" s="185"/>
      <c r="T406" s="845" t="s">
        <v>4605</v>
      </c>
      <c r="U406" s="261" t="s">
        <v>4606</v>
      </c>
      <c r="V406" s="184">
        <f>10000-10000</f>
        <v>0</v>
      </c>
      <c r="W406" s="185" t="s">
        <v>3034</v>
      </c>
      <c r="X406" s="184">
        <v>10000</v>
      </c>
      <c r="Y406" s="185" t="s">
        <v>1790</v>
      </c>
      <c r="Z406" s="184">
        <v>10000</v>
      </c>
      <c r="AA406" s="185" t="s">
        <v>2585</v>
      </c>
      <c r="AB406" s="184">
        <v>1038</v>
      </c>
      <c r="AC406" s="185" t="s">
        <v>1955</v>
      </c>
      <c r="AD406" s="135">
        <v>177000</v>
      </c>
      <c r="AE406" s="135" t="s">
        <v>1000</v>
      </c>
      <c r="AF406" s="184">
        <v>630000</v>
      </c>
      <c r="AG406" s="185" t="s">
        <v>534</v>
      </c>
      <c r="AH406" s="184">
        <f t="shared" si="48"/>
        <v>828038</v>
      </c>
      <c r="AK406" s="190">
        <f t="shared" ref="AK406:AK417" si="53">M406-AH406</f>
        <v>0</v>
      </c>
      <c r="AL406" s="264" t="s">
        <v>4607</v>
      </c>
      <c r="AM406" s="264"/>
      <c r="AN406" s="295"/>
      <c r="AO406" s="135">
        <f t="shared" si="49"/>
        <v>828038</v>
      </c>
      <c r="AP406" s="162">
        <f>0.4%+0.04%+0.12%</f>
        <v>0.0056</v>
      </c>
      <c r="AQ406" s="237">
        <f t="shared" si="50"/>
        <v>300</v>
      </c>
      <c r="AR406" s="184"/>
      <c r="AS406" s="184">
        <v>100</v>
      </c>
      <c r="AT406" s="184"/>
      <c r="AU406" s="184"/>
      <c r="AV406" s="184"/>
      <c r="AW406" s="184">
        <v>200</v>
      </c>
      <c r="AX406" s="184"/>
      <c r="AY406" s="184"/>
      <c r="AZ406" s="184"/>
      <c r="BB406" s="184">
        <v>198038</v>
      </c>
      <c r="BC406" s="135">
        <v>630000</v>
      </c>
      <c r="BT406" s="135" t="s">
        <v>496</v>
      </c>
      <c r="BU406" s="135" t="s">
        <v>506</v>
      </c>
    </row>
    <row r="407" s="135" customFormat="1" ht="44" customHeight="1" spans="1:72">
      <c r="A407" s="220">
        <v>330</v>
      </c>
      <c r="C407" s="135" t="s">
        <v>163</v>
      </c>
      <c r="D407" s="263" t="s">
        <v>4608</v>
      </c>
      <c r="F407" s="264" t="s">
        <v>4609</v>
      </c>
      <c r="G407" s="262" t="s">
        <v>4610</v>
      </c>
      <c r="H407" s="844" t="s">
        <v>4611</v>
      </c>
      <c r="I407" s="232" t="s">
        <v>4612</v>
      </c>
      <c r="J407" s="135">
        <v>138.03</v>
      </c>
      <c r="K407" s="135">
        <v>138.03</v>
      </c>
      <c r="L407" s="135">
        <v>5976.96</v>
      </c>
      <c r="M407" s="285">
        <v>825000</v>
      </c>
      <c r="N407" s="286">
        <v>5996.75</v>
      </c>
      <c r="O407" s="287"/>
      <c r="P407" s="263"/>
      <c r="Q407" s="263"/>
      <c r="R407" s="184"/>
      <c r="S407" s="185"/>
      <c r="T407" s="845" t="s">
        <v>4613</v>
      </c>
      <c r="U407" s="261" t="s">
        <v>524</v>
      </c>
      <c r="V407" s="184">
        <v>10000</v>
      </c>
      <c r="W407" s="261" t="s">
        <v>2527</v>
      </c>
      <c r="X407" s="184">
        <f>10000</f>
        <v>10000</v>
      </c>
      <c r="Y407" s="185" t="s">
        <v>2015</v>
      </c>
      <c r="Z407" s="184">
        <v>151000</v>
      </c>
      <c r="AA407" s="185" t="s">
        <v>163</v>
      </c>
      <c r="AB407" s="184"/>
      <c r="AH407" s="184">
        <f t="shared" si="48"/>
        <v>171000</v>
      </c>
      <c r="AK407" s="190">
        <f t="shared" si="53"/>
        <v>654000</v>
      </c>
      <c r="AL407" s="264" t="s">
        <v>4614</v>
      </c>
      <c r="AM407" s="264"/>
      <c r="AN407" s="288"/>
      <c r="AO407" s="135">
        <f t="shared" si="49"/>
        <v>171000</v>
      </c>
      <c r="AP407" s="162">
        <f>0.7%+0.05%+0.12%</f>
        <v>0.0087</v>
      </c>
      <c r="AQ407" s="237">
        <f t="shared" si="50"/>
        <v>300</v>
      </c>
      <c r="AR407" s="237">
        <v>100</v>
      </c>
      <c r="AS407" s="184"/>
      <c r="AT407" s="184"/>
      <c r="AU407" s="184"/>
      <c r="AV407" s="184"/>
      <c r="AW407" s="184">
        <v>200</v>
      </c>
      <c r="AX407" s="184"/>
      <c r="AY407" s="184"/>
      <c r="AZ407" s="184"/>
      <c r="BB407" s="184"/>
      <c r="BO407" s="135">
        <v>171000</v>
      </c>
      <c r="BT407" s="135" t="s">
        <v>496</v>
      </c>
    </row>
    <row r="408" s="135" customFormat="1" customHeight="1" spans="1:73">
      <c r="A408" s="220">
        <v>331</v>
      </c>
      <c r="C408" s="135" t="s">
        <v>4615</v>
      </c>
      <c r="D408" s="281" t="s">
        <v>4616</v>
      </c>
      <c r="F408" s="264" t="s">
        <v>4617</v>
      </c>
      <c r="G408" s="262" t="s">
        <v>4618</v>
      </c>
      <c r="H408" s="844" t="s">
        <v>4619</v>
      </c>
      <c r="I408" s="232" t="s">
        <v>4620</v>
      </c>
      <c r="J408" s="190">
        <v>138.52</v>
      </c>
      <c r="K408" s="135">
        <v>138.52</v>
      </c>
      <c r="L408" s="310">
        <v>6026.66</v>
      </c>
      <c r="M408" s="285">
        <v>834813</v>
      </c>
      <c r="N408" s="286">
        <v>6026.66</v>
      </c>
      <c r="O408" s="190"/>
      <c r="P408" s="263"/>
      <c r="Q408" s="263"/>
      <c r="R408" s="184"/>
      <c r="S408" s="185"/>
      <c r="T408" s="845" t="s">
        <v>2230</v>
      </c>
      <c r="U408" s="261" t="s">
        <v>502</v>
      </c>
      <c r="V408" s="184">
        <v>10000</v>
      </c>
      <c r="W408" s="185" t="s">
        <v>1735</v>
      </c>
      <c r="X408" s="184">
        <v>10000</v>
      </c>
      <c r="Y408" s="185" t="s">
        <v>2585</v>
      </c>
      <c r="Z408" s="184">
        <f>40000+68813</f>
        <v>108813</v>
      </c>
      <c r="AA408" s="185" t="s">
        <v>4615</v>
      </c>
      <c r="AB408" s="184">
        <v>46000</v>
      </c>
      <c r="AC408" s="185" t="s">
        <v>798</v>
      </c>
      <c r="AD408" s="184">
        <v>660000</v>
      </c>
      <c r="AE408" s="185" t="s">
        <v>3814</v>
      </c>
      <c r="AF408" s="155"/>
      <c r="AG408" s="155"/>
      <c r="AH408" s="184">
        <f t="shared" si="48"/>
        <v>834813</v>
      </c>
      <c r="AK408" s="190">
        <f t="shared" si="53"/>
        <v>0</v>
      </c>
      <c r="AL408" s="264" t="s">
        <v>4621</v>
      </c>
      <c r="AM408" s="264"/>
      <c r="AN408" s="288"/>
      <c r="AO408" s="135">
        <f t="shared" si="49"/>
        <v>834813</v>
      </c>
      <c r="AP408" s="162">
        <f>0.5%+0.12%</f>
        <v>0.0062</v>
      </c>
      <c r="AQ408" s="237">
        <f t="shared" si="50"/>
        <v>300</v>
      </c>
      <c r="AR408" s="184"/>
      <c r="AS408" s="184">
        <v>100</v>
      </c>
      <c r="AT408" s="184"/>
      <c r="AU408" s="184"/>
      <c r="AV408" s="184"/>
      <c r="AW408" s="184">
        <v>200</v>
      </c>
      <c r="AX408" s="184"/>
      <c r="AY408" s="184"/>
      <c r="AZ408" s="184"/>
      <c r="BB408" s="184">
        <v>174813</v>
      </c>
      <c r="BC408" s="135">
        <v>660000</v>
      </c>
      <c r="BT408" s="135" t="s">
        <v>496</v>
      </c>
      <c r="BU408" s="135" t="s">
        <v>506</v>
      </c>
    </row>
    <row r="409" s="135" customFormat="1" customHeight="1" spans="1:73">
      <c r="A409" s="220">
        <v>332</v>
      </c>
      <c r="C409" s="135" t="s">
        <v>646</v>
      </c>
      <c r="D409" s="263" t="s">
        <v>4622</v>
      </c>
      <c r="F409" s="264" t="s">
        <v>4623</v>
      </c>
      <c r="G409" s="220" t="s">
        <v>4624</v>
      </c>
      <c r="H409" s="844" t="s">
        <v>4625</v>
      </c>
      <c r="I409" s="236" t="s">
        <v>4626</v>
      </c>
      <c r="J409" s="135">
        <v>138.03</v>
      </c>
      <c r="K409" s="135">
        <v>138.03</v>
      </c>
      <c r="L409" s="135">
        <v>6045.66</v>
      </c>
      <c r="M409" s="285">
        <v>834484</v>
      </c>
      <c r="N409" s="286">
        <v>6045.66</v>
      </c>
      <c r="O409" s="190"/>
      <c r="P409" s="263"/>
      <c r="Q409" s="263"/>
      <c r="R409" s="184"/>
      <c r="S409" s="185"/>
      <c r="T409" s="844" t="s">
        <v>4627</v>
      </c>
      <c r="U409" s="185" t="s">
        <v>709</v>
      </c>
      <c r="V409" s="184">
        <v>10000</v>
      </c>
      <c r="W409" s="185" t="s">
        <v>939</v>
      </c>
      <c r="X409" s="184">
        <v>10000</v>
      </c>
      <c r="Y409" s="185" t="s">
        <v>2585</v>
      </c>
      <c r="Z409" s="184">
        <v>334484</v>
      </c>
      <c r="AA409" s="185" t="s">
        <v>646</v>
      </c>
      <c r="AB409" s="184">
        <v>200000</v>
      </c>
      <c r="AC409" s="185" t="s">
        <v>533</v>
      </c>
      <c r="AD409" s="184">
        <v>280000</v>
      </c>
      <c r="AE409" s="185" t="s">
        <v>742</v>
      </c>
      <c r="AH409" s="184">
        <f t="shared" si="48"/>
        <v>834484</v>
      </c>
      <c r="AK409" s="190">
        <f t="shared" si="53"/>
        <v>0</v>
      </c>
      <c r="AL409" s="264" t="s">
        <v>4628</v>
      </c>
      <c r="AM409" s="264"/>
      <c r="AN409" s="288"/>
      <c r="AO409" s="135">
        <f t="shared" si="49"/>
        <v>834484</v>
      </c>
      <c r="AP409" s="162">
        <f>0.7%+0.12%</f>
        <v>0.0082</v>
      </c>
      <c r="AQ409" s="237">
        <f t="shared" si="50"/>
        <v>400</v>
      </c>
      <c r="AR409" s="184"/>
      <c r="AS409" s="184">
        <v>100</v>
      </c>
      <c r="AT409" s="184"/>
      <c r="AU409" s="184"/>
      <c r="AV409" s="184">
        <v>100</v>
      </c>
      <c r="AW409" s="184">
        <v>200</v>
      </c>
      <c r="AX409" s="184"/>
      <c r="AY409" s="184"/>
      <c r="AZ409" s="184"/>
      <c r="BB409" s="184"/>
      <c r="BC409" s="135">
        <v>554484</v>
      </c>
      <c r="BD409" s="135">
        <v>280000</v>
      </c>
      <c r="BT409" s="135" t="s">
        <v>496</v>
      </c>
      <c r="BU409" s="135" t="s">
        <v>506</v>
      </c>
    </row>
    <row r="410" s="135" customFormat="1" ht="39" customHeight="1" spans="1:72">
      <c r="A410" s="220">
        <v>333</v>
      </c>
      <c r="C410" s="135" t="s">
        <v>88</v>
      </c>
      <c r="D410" s="263" t="s">
        <v>300</v>
      </c>
      <c r="F410" s="264" t="s">
        <v>301</v>
      </c>
      <c r="G410" s="262" t="s">
        <v>302</v>
      </c>
      <c r="H410" s="844" t="s">
        <v>4629</v>
      </c>
      <c r="I410" s="236" t="s">
        <v>4630</v>
      </c>
      <c r="J410" s="190">
        <v>138.52</v>
      </c>
      <c r="K410" s="135">
        <v>138.52</v>
      </c>
      <c r="L410" s="135">
        <f>M410/K410</f>
        <v>5753.82616228703</v>
      </c>
      <c r="M410" s="285">
        <v>797020</v>
      </c>
      <c r="N410" s="308">
        <v>5753.826</v>
      </c>
      <c r="O410" s="287"/>
      <c r="P410" s="263"/>
      <c r="Q410" s="263"/>
      <c r="R410" s="184"/>
      <c r="S410" s="185"/>
      <c r="T410" s="262"/>
      <c r="U410" s="261" t="s">
        <v>495</v>
      </c>
      <c r="V410" s="184">
        <v>20000</v>
      </c>
      <c r="W410" s="185" t="s">
        <v>4631</v>
      </c>
      <c r="X410" s="184">
        <v>111020</v>
      </c>
      <c r="Y410" s="185" t="s">
        <v>88</v>
      </c>
      <c r="Z410" s="176">
        <v>29000</v>
      </c>
      <c r="AA410" s="135" t="s">
        <v>4632</v>
      </c>
      <c r="AB410" s="184">
        <v>637000</v>
      </c>
      <c r="AC410" s="185" t="s">
        <v>592</v>
      </c>
      <c r="AH410" s="184">
        <f t="shared" si="48"/>
        <v>797020</v>
      </c>
      <c r="AK410" s="190">
        <f t="shared" si="53"/>
        <v>0</v>
      </c>
      <c r="AL410" s="264" t="s">
        <v>4633</v>
      </c>
      <c r="AM410" s="264" t="s">
        <v>4634</v>
      </c>
      <c r="AN410" s="288"/>
      <c r="AO410" s="135">
        <f t="shared" si="49"/>
        <v>797020</v>
      </c>
      <c r="AP410" s="166">
        <f>0.7%+0.04%+0.08%</f>
        <v>0.0082</v>
      </c>
      <c r="AQ410" s="237">
        <f t="shared" si="50"/>
        <v>300</v>
      </c>
      <c r="AR410" s="184"/>
      <c r="AS410" s="184">
        <v>100</v>
      </c>
      <c r="AT410" s="184">
        <v>100</v>
      </c>
      <c r="AU410" s="184"/>
      <c r="AV410" s="184">
        <v>100</v>
      </c>
      <c r="AW410" s="184"/>
      <c r="AX410" s="184"/>
      <c r="AY410" s="184"/>
      <c r="AZ410" s="184"/>
      <c r="BB410" s="184"/>
      <c r="BO410" s="135">
        <v>797020</v>
      </c>
      <c r="BT410" s="135" t="s">
        <v>496</v>
      </c>
    </row>
    <row r="411" s="135" customFormat="1" customHeight="1" spans="1:73">
      <c r="A411" s="220">
        <v>334</v>
      </c>
      <c r="C411" s="135" t="s">
        <v>690</v>
      </c>
      <c r="D411" s="263" t="s">
        <v>4635</v>
      </c>
      <c r="F411" s="264" t="s">
        <v>4636</v>
      </c>
      <c r="G411" s="220" t="s">
        <v>4637</v>
      </c>
      <c r="H411" s="844" t="s">
        <v>4638</v>
      </c>
      <c r="I411" s="232" t="s">
        <v>4639</v>
      </c>
      <c r="J411" s="135">
        <v>138.03</v>
      </c>
      <c r="K411" s="135">
        <v>138.03</v>
      </c>
      <c r="L411" s="135">
        <v>6072.83</v>
      </c>
      <c r="M411" s="285">
        <v>838233</v>
      </c>
      <c r="N411" s="286">
        <v>6072.83</v>
      </c>
      <c r="O411" s="190"/>
      <c r="P411" s="263"/>
      <c r="Q411" s="314"/>
      <c r="R411" s="184"/>
      <c r="S411" s="315"/>
      <c r="T411" s="844" t="s">
        <v>2047</v>
      </c>
      <c r="U411" s="185" t="s">
        <v>524</v>
      </c>
      <c r="V411" s="184">
        <v>10000</v>
      </c>
      <c r="W411" s="261" t="s">
        <v>2833</v>
      </c>
      <c r="X411" s="184">
        <v>10000</v>
      </c>
      <c r="Y411" s="315" t="s">
        <v>2594</v>
      </c>
      <c r="Z411" s="184">
        <v>50000</v>
      </c>
      <c r="AA411" s="315" t="s">
        <v>4640</v>
      </c>
      <c r="AB411" s="184">
        <v>50233</v>
      </c>
      <c r="AC411" s="315" t="s">
        <v>690</v>
      </c>
      <c r="AD411" s="135">
        <v>48000</v>
      </c>
      <c r="AE411" s="135" t="s">
        <v>3987</v>
      </c>
      <c r="AF411" s="184">
        <v>670000</v>
      </c>
      <c r="AG411" s="315" t="s">
        <v>2378</v>
      </c>
      <c r="AH411" s="184">
        <f t="shared" si="48"/>
        <v>838233</v>
      </c>
      <c r="AK411" s="190">
        <f t="shared" si="53"/>
        <v>0</v>
      </c>
      <c r="AL411" s="264" t="s">
        <v>4641</v>
      </c>
      <c r="AM411" s="264"/>
      <c r="AN411" s="288"/>
      <c r="AO411" s="135">
        <f t="shared" si="49"/>
        <v>838233</v>
      </c>
      <c r="AP411" s="162">
        <f>0.7%+0.05%+0.12%</f>
        <v>0.0087</v>
      </c>
      <c r="AQ411" s="237">
        <f t="shared" si="50"/>
        <v>200</v>
      </c>
      <c r="AR411" s="184"/>
      <c r="AS411" s="184"/>
      <c r="AT411" s="184"/>
      <c r="AU411" s="184"/>
      <c r="AV411" s="184"/>
      <c r="AW411" s="184">
        <v>200</v>
      </c>
      <c r="AX411" s="184"/>
      <c r="AY411" s="184"/>
      <c r="AZ411" s="184"/>
      <c r="BB411" s="184">
        <v>168233</v>
      </c>
      <c r="BC411" s="135">
        <v>670000</v>
      </c>
      <c r="BT411" s="135" t="s">
        <v>496</v>
      </c>
      <c r="BU411" s="135" t="s">
        <v>506</v>
      </c>
    </row>
    <row r="412" s="135" customFormat="1" ht="46" customHeight="1" spans="1:73">
      <c r="A412" s="220">
        <v>335</v>
      </c>
      <c r="C412" s="135" t="s">
        <v>2372</v>
      </c>
      <c r="D412" s="263" t="s">
        <v>4642</v>
      </c>
      <c r="F412" s="264"/>
      <c r="G412" s="262" t="s">
        <v>4643</v>
      </c>
      <c r="H412" s="844" t="s">
        <v>4644</v>
      </c>
      <c r="I412" s="236" t="s">
        <v>4645</v>
      </c>
      <c r="J412" s="190">
        <v>138.52</v>
      </c>
      <c r="K412" s="135">
        <v>138.52</v>
      </c>
      <c r="L412" s="135">
        <v>6082.75</v>
      </c>
      <c r="M412" s="285">
        <v>842587</v>
      </c>
      <c r="N412" s="286">
        <v>6082.75</v>
      </c>
      <c r="O412" s="190"/>
      <c r="P412" s="263"/>
      <c r="Q412" s="263"/>
      <c r="R412" s="184"/>
      <c r="S412" s="185"/>
      <c r="T412" s="845" t="s">
        <v>4646</v>
      </c>
      <c r="U412" s="261" t="s">
        <v>4647</v>
      </c>
      <c r="V412" s="184">
        <f>10000-10000</f>
        <v>0</v>
      </c>
      <c r="W412" s="185" t="s">
        <v>1726</v>
      </c>
      <c r="X412" s="184">
        <v>10000</v>
      </c>
      <c r="Y412" s="185" t="s">
        <v>2436</v>
      </c>
      <c r="Z412" s="184">
        <v>10000</v>
      </c>
      <c r="AA412" s="185" t="s">
        <v>2585</v>
      </c>
      <c r="AB412" s="184">
        <f>310000+112587+40000</f>
        <v>462587</v>
      </c>
      <c r="AC412" s="135" t="s">
        <v>2372</v>
      </c>
      <c r="AD412" s="184">
        <v>360000</v>
      </c>
      <c r="AE412" s="185" t="s">
        <v>3654</v>
      </c>
      <c r="AH412" s="184">
        <f t="shared" si="48"/>
        <v>842587</v>
      </c>
      <c r="AK412" s="190">
        <f t="shared" si="53"/>
        <v>0</v>
      </c>
      <c r="AL412" s="264" t="s">
        <v>4648</v>
      </c>
      <c r="AM412" s="264"/>
      <c r="AN412" s="288"/>
      <c r="AO412" s="135">
        <f t="shared" si="49"/>
        <v>842587</v>
      </c>
      <c r="AP412" s="162">
        <f>0.4%+0.02%+0.12%</f>
        <v>0.0054</v>
      </c>
      <c r="AQ412" s="237">
        <f t="shared" si="50"/>
        <v>300</v>
      </c>
      <c r="AR412" s="184"/>
      <c r="AS412" s="184">
        <v>100</v>
      </c>
      <c r="AT412" s="184"/>
      <c r="AU412" s="184"/>
      <c r="AV412" s="184"/>
      <c r="AW412" s="184">
        <v>200</v>
      </c>
      <c r="AX412" s="184"/>
      <c r="AY412" s="184"/>
      <c r="AZ412" s="184">
        <v>482587</v>
      </c>
      <c r="BB412" s="184"/>
      <c r="BG412" s="135">
        <v>360000</v>
      </c>
      <c r="BT412" s="135" t="s">
        <v>496</v>
      </c>
      <c r="BU412" s="135" t="s">
        <v>506</v>
      </c>
    </row>
    <row r="413" s="135" customFormat="1" customHeight="1" spans="1:73">
      <c r="A413" s="220">
        <v>336</v>
      </c>
      <c r="C413" s="135" t="s">
        <v>690</v>
      </c>
      <c r="D413" s="264" t="s">
        <v>4649</v>
      </c>
      <c r="F413" s="264" t="s">
        <v>4650</v>
      </c>
      <c r="G413" s="262" t="s">
        <v>4651</v>
      </c>
      <c r="H413" s="844" t="s">
        <v>4652</v>
      </c>
      <c r="I413" s="232" t="s">
        <v>4653</v>
      </c>
      <c r="J413" s="135">
        <v>138.03</v>
      </c>
      <c r="K413" s="135">
        <v>138.03</v>
      </c>
      <c r="L413" s="135">
        <v>6101.75</v>
      </c>
      <c r="M413" s="285">
        <v>842224</v>
      </c>
      <c r="N413" s="286">
        <v>6101.75</v>
      </c>
      <c r="O413" s="190"/>
      <c r="P413" s="263"/>
      <c r="Q413" s="263"/>
      <c r="R413" s="184"/>
      <c r="S413" s="185"/>
      <c r="T413" s="845" t="s">
        <v>4654</v>
      </c>
      <c r="U413" s="261" t="s">
        <v>524</v>
      </c>
      <c r="V413" s="184">
        <v>10000</v>
      </c>
      <c r="W413" s="261" t="s">
        <v>2833</v>
      </c>
      <c r="X413" s="184">
        <v>10000</v>
      </c>
      <c r="Y413" s="185" t="s">
        <v>2594</v>
      </c>
      <c r="Z413" s="184">
        <v>50000</v>
      </c>
      <c r="AA413" s="185" t="s">
        <v>639</v>
      </c>
      <c r="AB413" s="184">
        <v>50224</v>
      </c>
      <c r="AC413" s="135" t="s">
        <v>690</v>
      </c>
      <c r="AD413" s="184">
        <v>49000</v>
      </c>
      <c r="AE413" s="185" t="s">
        <v>662</v>
      </c>
      <c r="AF413" s="135">
        <v>673000</v>
      </c>
      <c r="AG413" s="135" t="s">
        <v>2378</v>
      </c>
      <c r="AH413" s="184">
        <f t="shared" si="48"/>
        <v>842224</v>
      </c>
      <c r="AK413" s="190">
        <f t="shared" si="53"/>
        <v>0</v>
      </c>
      <c r="AL413" s="264" t="s">
        <v>4655</v>
      </c>
      <c r="AM413" s="264"/>
      <c r="AN413" s="288"/>
      <c r="AO413" s="135">
        <f t="shared" si="49"/>
        <v>842224</v>
      </c>
      <c r="AP413" s="162">
        <f>0.7%+0.05%+0.12%</f>
        <v>0.0087</v>
      </c>
      <c r="AQ413" s="237">
        <f t="shared" si="50"/>
        <v>300</v>
      </c>
      <c r="AR413" s="184"/>
      <c r="AS413" s="184"/>
      <c r="AT413" s="184">
        <v>100</v>
      </c>
      <c r="AU413" s="184"/>
      <c r="AV413" s="184"/>
      <c r="AW413" s="184">
        <v>200</v>
      </c>
      <c r="AX413" s="184"/>
      <c r="AY413" s="184"/>
      <c r="AZ413" s="184"/>
      <c r="BB413" s="184"/>
      <c r="BC413" s="135">
        <v>842224</v>
      </c>
      <c r="BT413" s="135" t="s">
        <v>496</v>
      </c>
      <c r="BU413" s="135" t="s">
        <v>506</v>
      </c>
    </row>
    <row r="414" s="135" customFormat="1" ht="44" customHeight="1" spans="1:73">
      <c r="A414" s="220">
        <v>337</v>
      </c>
      <c r="C414" s="135" t="s">
        <v>888</v>
      </c>
      <c r="D414" s="135">
        <v>20230009950</v>
      </c>
      <c r="F414" s="264" t="s">
        <v>4656</v>
      </c>
      <c r="G414" s="262" t="s">
        <v>4657</v>
      </c>
      <c r="H414" s="844" t="s">
        <v>4658</v>
      </c>
      <c r="I414" s="236" t="s">
        <v>4659</v>
      </c>
      <c r="J414" s="190">
        <v>138.52</v>
      </c>
      <c r="K414" s="135">
        <v>138.52</v>
      </c>
      <c r="L414" s="135">
        <v>6050</v>
      </c>
      <c r="M414" s="285">
        <f>K414*L414</f>
        <v>838046</v>
      </c>
      <c r="N414" s="184">
        <f>6104.48-54.48</f>
        <v>6050</v>
      </c>
      <c r="O414" s="190"/>
      <c r="R414" s="184"/>
      <c r="S414" s="185"/>
      <c r="T414" s="262" t="s">
        <v>4660</v>
      </c>
      <c r="U414" s="261" t="s">
        <v>4661</v>
      </c>
      <c r="V414" s="184">
        <v>10000</v>
      </c>
      <c r="W414" s="185" t="s">
        <v>2517</v>
      </c>
      <c r="X414" s="184">
        <v>40000</v>
      </c>
      <c r="Y414" s="185" t="s">
        <v>888</v>
      </c>
      <c r="Z414" s="135">
        <v>108046</v>
      </c>
      <c r="AA414" s="155" t="s">
        <v>4662</v>
      </c>
      <c r="AB414" s="184">
        <v>90000</v>
      </c>
      <c r="AC414" s="135" t="s">
        <v>3974</v>
      </c>
      <c r="AD414" s="184">
        <v>600000</v>
      </c>
      <c r="AE414" s="185" t="s">
        <v>4213</v>
      </c>
      <c r="AH414" s="184">
        <f t="shared" si="48"/>
        <v>848046</v>
      </c>
      <c r="AK414" s="190">
        <f t="shared" si="53"/>
        <v>-10000</v>
      </c>
      <c r="AL414" s="264" t="s">
        <v>4663</v>
      </c>
      <c r="AM414" s="264" t="s">
        <v>3254</v>
      </c>
      <c r="AN414" s="295"/>
      <c r="AO414" s="135">
        <f t="shared" si="49"/>
        <v>838046</v>
      </c>
      <c r="AP414" s="162">
        <f>0.5%+0.02%+0.08%</f>
        <v>0.006</v>
      </c>
      <c r="AQ414" s="237">
        <f t="shared" si="50"/>
        <v>100</v>
      </c>
      <c r="AR414" s="184"/>
      <c r="AS414" s="184"/>
      <c r="AT414" s="184">
        <v>100</v>
      </c>
      <c r="AU414" s="184"/>
      <c r="AV414" s="184"/>
      <c r="AW414" s="184"/>
      <c r="AX414" s="184"/>
      <c r="AY414" s="184"/>
      <c r="AZ414" s="184"/>
      <c r="BB414" s="184"/>
      <c r="BC414" s="135">
        <v>238046</v>
      </c>
      <c r="BD414" s="135">
        <v>600000</v>
      </c>
      <c r="BT414" s="135" t="s">
        <v>496</v>
      </c>
      <c r="BU414" s="135" t="s">
        <v>506</v>
      </c>
    </row>
    <row r="415" s="135" customFormat="1" customHeight="1" spans="1:73">
      <c r="A415" s="220">
        <v>338</v>
      </c>
      <c r="C415" s="135" t="s">
        <v>1955</v>
      </c>
      <c r="D415" s="135">
        <v>20230007694</v>
      </c>
      <c r="F415" s="264"/>
      <c r="G415" s="262" t="s">
        <v>4664</v>
      </c>
      <c r="H415" s="262"/>
      <c r="I415" s="232" t="s">
        <v>4665</v>
      </c>
      <c r="J415" s="135">
        <v>138.03</v>
      </c>
      <c r="K415" s="135">
        <v>138.03</v>
      </c>
      <c r="L415" s="135">
        <v>6073.48</v>
      </c>
      <c r="M415" s="285">
        <v>838322</v>
      </c>
      <c r="N415" s="184">
        <f>6123.48-50</f>
        <v>6073.48</v>
      </c>
      <c r="O415" s="190"/>
      <c r="P415" s="264"/>
      <c r="Q415" s="264"/>
      <c r="R415" s="184"/>
      <c r="S415" s="185"/>
      <c r="T415" s="220"/>
      <c r="U415" s="185" t="s">
        <v>524</v>
      </c>
      <c r="V415" s="184">
        <f>30000+198322</f>
        <v>228322</v>
      </c>
      <c r="W415" s="185" t="s">
        <v>1955</v>
      </c>
      <c r="X415" s="184">
        <v>110000</v>
      </c>
      <c r="Y415" s="185" t="s">
        <v>4666</v>
      </c>
      <c r="Z415" s="184">
        <v>500000</v>
      </c>
      <c r="AA415" s="185" t="s">
        <v>2378</v>
      </c>
      <c r="AB415" s="184"/>
      <c r="AH415" s="184">
        <f t="shared" si="48"/>
        <v>838322</v>
      </c>
      <c r="AK415" s="190">
        <f t="shared" si="53"/>
        <v>0</v>
      </c>
      <c r="AL415" s="264"/>
      <c r="AM415" s="264" t="s">
        <v>3254</v>
      </c>
      <c r="AN415" s="295"/>
      <c r="AO415" s="135">
        <f t="shared" si="49"/>
        <v>838322</v>
      </c>
      <c r="AP415" s="162">
        <f>0.6%+0.04%+0.12%</f>
        <v>0.0076</v>
      </c>
      <c r="AQ415" s="237">
        <f t="shared" si="50"/>
        <v>0</v>
      </c>
      <c r="AR415" s="184"/>
      <c r="AS415" s="184"/>
      <c r="AT415" s="184"/>
      <c r="AU415" s="184"/>
      <c r="AV415" s="184"/>
      <c r="AW415" s="184"/>
      <c r="AX415" s="184"/>
      <c r="AY415" s="184"/>
      <c r="AZ415" s="184"/>
      <c r="BB415" s="184">
        <v>338322</v>
      </c>
      <c r="BC415" s="135">
        <v>500000</v>
      </c>
      <c r="BT415" s="135" t="s">
        <v>496</v>
      </c>
      <c r="BU415" s="135" t="s">
        <v>506</v>
      </c>
    </row>
    <row r="416" s="135" customFormat="1" customHeight="1" spans="1:73">
      <c r="A416" s="220">
        <v>339</v>
      </c>
      <c r="C416" s="155">
        <v>45476</v>
      </c>
      <c r="D416" s="263" t="s">
        <v>4667</v>
      </c>
      <c r="F416" s="264" t="s">
        <v>4668</v>
      </c>
      <c r="G416" s="220" t="s">
        <v>4669</v>
      </c>
      <c r="H416" s="844" t="s">
        <v>4670</v>
      </c>
      <c r="I416" s="236" t="s">
        <v>4671</v>
      </c>
      <c r="J416" s="190">
        <v>138.52</v>
      </c>
      <c r="K416" s="135">
        <v>138.52</v>
      </c>
      <c r="L416" s="135">
        <v>7200</v>
      </c>
      <c r="M416" s="285">
        <v>997344</v>
      </c>
      <c r="N416" s="286">
        <v>7112.59</v>
      </c>
      <c r="O416" s="287"/>
      <c r="P416" s="263"/>
      <c r="Q416" s="263"/>
      <c r="R416" s="184"/>
      <c r="S416" s="185"/>
      <c r="T416" s="220"/>
      <c r="U416" s="185" t="s">
        <v>721</v>
      </c>
      <c r="V416" s="184">
        <v>20000</v>
      </c>
      <c r="W416" s="185" t="s">
        <v>4013</v>
      </c>
      <c r="X416" s="184">
        <v>277344</v>
      </c>
      <c r="Y416" s="185" t="s">
        <v>4284</v>
      </c>
      <c r="Z416" s="184">
        <v>700000</v>
      </c>
      <c r="AA416" s="185" t="s">
        <v>285</v>
      </c>
      <c r="AB416" s="184"/>
      <c r="AC416" s="155"/>
      <c r="AD416" s="155"/>
      <c r="AE416" s="155"/>
      <c r="AF416" s="155"/>
      <c r="AG416" s="155"/>
      <c r="AH416" s="184">
        <f t="shared" si="48"/>
        <v>997344</v>
      </c>
      <c r="AK416" s="190">
        <f t="shared" si="53"/>
        <v>0</v>
      </c>
      <c r="AL416" s="264" t="s">
        <v>4672</v>
      </c>
      <c r="AM416" s="264"/>
      <c r="AN416" s="288"/>
      <c r="AO416" s="135">
        <f t="shared" si="49"/>
        <v>997344</v>
      </c>
      <c r="AP416" s="166">
        <f>0.7%+0.02%+0.08%</f>
        <v>0.008</v>
      </c>
      <c r="AQ416" s="237">
        <f t="shared" si="50"/>
        <v>0</v>
      </c>
      <c r="AR416" s="184"/>
      <c r="AS416" s="184"/>
      <c r="AT416" s="184"/>
      <c r="AU416" s="184"/>
      <c r="AV416" s="184"/>
      <c r="AW416" s="184"/>
      <c r="AX416" s="184"/>
      <c r="AY416" s="184"/>
      <c r="AZ416" s="184"/>
      <c r="BB416" s="184"/>
      <c r="BK416" s="135">
        <v>297344</v>
      </c>
      <c r="BL416" s="135">
        <v>700000</v>
      </c>
      <c r="BT416" s="135" t="s">
        <v>496</v>
      </c>
      <c r="BU416" s="135" t="s">
        <v>506</v>
      </c>
    </row>
    <row r="417" s="135" customFormat="1" customHeight="1" spans="1:72">
      <c r="A417" s="220">
        <v>340</v>
      </c>
      <c r="B417" s="135"/>
      <c r="C417" s="135" t="s">
        <v>303</v>
      </c>
      <c r="D417" s="135">
        <v>20240006840</v>
      </c>
      <c r="F417" s="264" t="s">
        <v>304</v>
      </c>
      <c r="G417" s="220" t="s">
        <v>305</v>
      </c>
      <c r="H417" s="844" t="s">
        <v>4673</v>
      </c>
      <c r="I417" s="232" t="s">
        <v>4674</v>
      </c>
      <c r="J417" s="135">
        <v>138.03</v>
      </c>
      <c r="K417" s="135">
        <v>138.03</v>
      </c>
      <c r="L417" s="135">
        <v>6820</v>
      </c>
      <c r="M417" s="285">
        <v>941365</v>
      </c>
      <c r="N417" s="184">
        <v>7129.59</v>
      </c>
      <c r="O417" s="190" t="s">
        <v>593</v>
      </c>
      <c r="P417" s="264"/>
      <c r="R417" s="184">
        <f>740000+190000</f>
        <v>930000</v>
      </c>
      <c r="S417" s="185" t="s">
        <v>3966</v>
      </c>
      <c r="T417" s="220"/>
      <c r="U417" s="185" t="s">
        <v>2249</v>
      </c>
      <c r="V417" s="184">
        <v>11365</v>
      </c>
      <c r="W417" s="185" t="s">
        <v>206</v>
      </c>
      <c r="X417" s="184">
        <v>190000</v>
      </c>
      <c r="Y417" s="185" t="s">
        <v>3966</v>
      </c>
      <c r="Z417" s="135">
        <v>740000</v>
      </c>
      <c r="AA417" s="155" t="s">
        <v>404</v>
      </c>
      <c r="AB417" s="184"/>
      <c r="AH417" s="184">
        <f t="shared" si="48"/>
        <v>941365</v>
      </c>
      <c r="AK417" s="190">
        <f t="shared" si="53"/>
        <v>0</v>
      </c>
      <c r="AL417" s="264" t="s">
        <v>4675</v>
      </c>
      <c r="AM417" s="264"/>
      <c r="AN417" s="295"/>
      <c r="AO417" s="135">
        <f t="shared" si="49"/>
        <v>0</v>
      </c>
      <c r="AP417" s="162">
        <f>0.6%+0.02%+0.08%+0.03%</f>
        <v>0.0073</v>
      </c>
      <c r="AQ417" s="237">
        <f t="shared" si="50"/>
        <v>0</v>
      </c>
      <c r="AR417" s="184"/>
      <c r="AS417" s="184"/>
      <c r="AT417" s="184"/>
      <c r="AU417" s="184"/>
      <c r="AV417" s="184"/>
      <c r="AW417" s="184"/>
      <c r="AX417" s="184"/>
      <c r="AY417" s="184"/>
      <c r="AZ417" s="184"/>
      <c r="BB417" s="184"/>
      <c r="BT417" s="135" t="s">
        <v>496</v>
      </c>
    </row>
    <row r="418" s="135" customFormat="1" ht="50" customHeight="1" spans="1:73">
      <c r="A418" s="220">
        <v>341</v>
      </c>
      <c r="C418" s="135" t="s">
        <v>3411</v>
      </c>
      <c r="D418" s="135">
        <v>20240001110</v>
      </c>
      <c r="F418" s="264" t="s">
        <v>4676</v>
      </c>
      <c r="G418" s="164" t="s">
        <v>4677</v>
      </c>
      <c r="H418" s="834" t="s">
        <v>4678</v>
      </c>
      <c r="I418" s="236" t="s">
        <v>4679</v>
      </c>
      <c r="J418" s="135">
        <v>122.85</v>
      </c>
      <c r="K418" s="135">
        <v>122.85</v>
      </c>
      <c r="L418" s="135">
        <v>7374.85</v>
      </c>
      <c r="M418" s="285">
        <v>906000</v>
      </c>
      <c r="N418" s="184">
        <v>7374.59</v>
      </c>
      <c r="O418" s="190"/>
      <c r="P418" s="264"/>
      <c r="R418" s="184"/>
      <c r="S418" s="261"/>
      <c r="T418" s="262"/>
      <c r="U418" s="261" t="s">
        <v>515</v>
      </c>
      <c r="V418" s="184">
        <v>20000</v>
      </c>
      <c r="W418" s="261" t="s">
        <v>586</v>
      </c>
      <c r="X418" s="135">
        <f>206000+50000</f>
        <v>256000</v>
      </c>
      <c r="Y418" s="135" t="s">
        <v>3411</v>
      </c>
      <c r="Z418" s="184">
        <v>630000</v>
      </c>
      <c r="AA418" s="261" t="s">
        <v>4529</v>
      </c>
      <c r="AB418" s="184"/>
      <c r="AH418" s="184">
        <f t="shared" si="48"/>
        <v>906000</v>
      </c>
      <c r="AK418" s="190">
        <f t="shared" ref="AK418:AK423" si="54">M418-AH418</f>
        <v>0</v>
      </c>
      <c r="AL418" s="264" t="s">
        <v>4680</v>
      </c>
      <c r="AM418" s="264"/>
      <c r="AO418" s="135">
        <f t="shared" si="49"/>
        <v>906000</v>
      </c>
      <c r="AP418" s="166">
        <f>0.6%+0.04%+0.14%</f>
        <v>0.0078</v>
      </c>
      <c r="AQ418" s="237">
        <f t="shared" si="50"/>
        <v>200</v>
      </c>
      <c r="AR418" s="184"/>
      <c r="AS418" s="184"/>
      <c r="AT418" s="184">
        <f>100+100</f>
        <v>200</v>
      </c>
      <c r="AU418" s="184"/>
      <c r="AV418" s="184"/>
      <c r="AW418" s="184"/>
      <c r="AX418" s="184"/>
      <c r="AY418" s="184"/>
      <c r="AZ418" s="184"/>
      <c r="BB418" s="184"/>
      <c r="BG418" s="135">
        <v>276000</v>
      </c>
      <c r="BM418" s="135">
        <v>630000</v>
      </c>
      <c r="BT418" s="135" t="s">
        <v>496</v>
      </c>
      <c r="BU418" s="135" t="s">
        <v>506</v>
      </c>
    </row>
    <row r="419" s="135" customFormat="1" ht="47" customHeight="1" spans="1:73">
      <c r="A419" s="220">
        <v>342</v>
      </c>
      <c r="C419" s="135" t="s">
        <v>517</v>
      </c>
      <c r="D419" s="135">
        <v>20240000219</v>
      </c>
      <c r="F419" s="264" t="s">
        <v>4681</v>
      </c>
      <c r="G419" s="164" t="s">
        <v>4682</v>
      </c>
      <c r="H419" s="834" t="s">
        <v>4683</v>
      </c>
      <c r="I419" s="232" t="s">
        <v>4684</v>
      </c>
      <c r="J419" s="135">
        <v>150.17</v>
      </c>
      <c r="K419" s="135">
        <v>150.17</v>
      </c>
      <c r="L419" s="135">
        <v>7384.59</v>
      </c>
      <c r="M419" s="285">
        <v>1108944</v>
      </c>
      <c r="N419" s="184">
        <v>7384.59</v>
      </c>
      <c r="O419" s="190"/>
      <c r="P419" s="264"/>
      <c r="R419" s="184"/>
      <c r="S419" s="185"/>
      <c r="T419" s="845" t="s">
        <v>4685</v>
      </c>
      <c r="U419" s="261" t="s">
        <v>4686</v>
      </c>
      <c r="V419" s="184">
        <f>10000-10000</f>
        <v>0</v>
      </c>
      <c r="W419" s="185" t="s">
        <v>1494</v>
      </c>
      <c r="X419" s="184">
        <v>10000</v>
      </c>
      <c r="Y419" s="185" t="s">
        <v>1122</v>
      </c>
      <c r="Z419" s="184">
        <v>10000</v>
      </c>
      <c r="AA419" s="185" t="s">
        <v>2594</v>
      </c>
      <c r="AB419" s="184">
        <v>80000</v>
      </c>
      <c r="AC419" s="185" t="s">
        <v>2679</v>
      </c>
      <c r="AD419" s="184">
        <v>100944</v>
      </c>
      <c r="AE419" s="185" t="s">
        <v>517</v>
      </c>
      <c r="AF419" s="184">
        <f>18000+90000+800000</f>
        <v>908000</v>
      </c>
      <c r="AG419" s="261" t="s">
        <v>4687</v>
      </c>
      <c r="AH419" s="184">
        <f t="shared" si="48"/>
        <v>1108944</v>
      </c>
      <c r="AK419" s="190">
        <f t="shared" si="54"/>
        <v>0</v>
      </c>
      <c r="AL419" s="264" t="s">
        <v>4688</v>
      </c>
      <c r="AM419" s="264"/>
      <c r="AO419" s="135">
        <f t="shared" si="49"/>
        <v>1108944</v>
      </c>
      <c r="AP419" s="162">
        <f>0.4%+0.02%+0.12%</f>
        <v>0.0054</v>
      </c>
      <c r="AQ419" s="237">
        <f t="shared" si="50"/>
        <v>300</v>
      </c>
      <c r="AR419" s="184"/>
      <c r="AS419" s="184">
        <v>100</v>
      </c>
      <c r="AT419" s="184"/>
      <c r="AU419" s="184"/>
      <c r="AV419" s="184"/>
      <c r="AW419" s="184">
        <v>200</v>
      </c>
      <c r="AX419" s="184"/>
      <c r="AY419" s="184"/>
      <c r="AZ419" s="184"/>
      <c r="BB419" s="184"/>
      <c r="BG419" s="135">
        <v>308944</v>
      </c>
      <c r="BI419" s="135">
        <v>800000</v>
      </c>
      <c r="BT419" s="135" t="s">
        <v>496</v>
      </c>
      <c r="BU419" s="135" t="s">
        <v>506</v>
      </c>
    </row>
    <row r="420" s="135" customFormat="1" customHeight="1" spans="1:72">
      <c r="A420" s="220">
        <v>343</v>
      </c>
      <c r="B420" s="135"/>
      <c r="C420" s="135" t="s">
        <v>399</v>
      </c>
      <c r="D420" s="135">
        <v>20240007219</v>
      </c>
      <c r="F420" s="264"/>
      <c r="G420" s="135" t="s">
        <v>400</v>
      </c>
      <c r="I420" s="236" t="s">
        <v>4689</v>
      </c>
      <c r="J420" s="135">
        <v>138.03</v>
      </c>
      <c r="K420" s="135">
        <v>138.03</v>
      </c>
      <c r="L420" s="135">
        <v>5723.39</v>
      </c>
      <c r="M420" s="285">
        <v>790000</v>
      </c>
      <c r="N420" s="184">
        <v>5723.39</v>
      </c>
      <c r="O420" s="287"/>
      <c r="P420" s="264"/>
      <c r="R420" s="184">
        <v>100000</v>
      </c>
      <c r="S420" s="185" t="s">
        <v>399</v>
      </c>
      <c r="T420" s="220"/>
      <c r="U420" s="185" t="s">
        <v>1427</v>
      </c>
      <c r="V420" s="184">
        <v>20000</v>
      </c>
      <c r="W420" s="185">
        <v>45538</v>
      </c>
      <c r="X420" s="184">
        <v>100000</v>
      </c>
      <c r="Y420" s="185" t="s">
        <v>399</v>
      </c>
      <c r="AB420" s="184"/>
      <c r="AH420" s="184">
        <f t="shared" si="48"/>
        <v>120000</v>
      </c>
      <c r="AK420" s="190">
        <f t="shared" si="54"/>
        <v>670000</v>
      </c>
      <c r="AL420" s="264"/>
      <c r="AM420" s="264" t="s">
        <v>4583</v>
      </c>
      <c r="AO420" s="135">
        <f t="shared" si="49"/>
        <v>120000</v>
      </c>
      <c r="AP420" s="162">
        <f>0.5%+0.04%+0.1%</f>
        <v>0.0064</v>
      </c>
      <c r="AQ420" s="237">
        <f t="shared" si="50"/>
        <v>100</v>
      </c>
      <c r="AR420" s="184"/>
      <c r="AS420" s="184"/>
      <c r="AT420" s="184"/>
      <c r="AU420" s="184"/>
      <c r="AV420" s="184">
        <v>100</v>
      </c>
      <c r="AW420" s="184"/>
      <c r="AX420" s="184"/>
      <c r="AY420" s="184"/>
      <c r="AZ420" s="184"/>
      <c r="BB420" s="184"/>
      <c r="BL420" s="132"/>
      <c r="BM420" s="132"/>
      <c r="BN420" s="132"/>
      <c r="BO420" s="132"/>
      <c r="BP420" s="132">
        <v>120000</v>
      </c>
      <c r="BR420" s="135">
        <f>BP420*AP420</f>
        <v>768</v>
      </c>
      <c r="BT420" s="135" t="s">
        <v>496</v>
      </c>
    </row>
    <row r="421" s="135" customFormat="1" customHeight="1" spans="1:72">
      <c r="A421" s="220">
        <v>344</v>
      </c>
      <c r="B421" s="135"/>
      <c r="C421" s="135" t="s">
        <v>306</v>
      </c>
      <c r="D421" s="135">
        <v>20240006325</v>
      </c>
      <c r="F421" s="264" t="s">
        <v>307</v>
      </c>
      <c r="G421" s="135" t="s">
        <v>308</v>
      </c>
      <c r="H421" s="834" t="s">
        <v>4690</v>
      </c>
      <c r="I421" s="232" t="s">
        <v>4691</v>
      </c>
      <c r="J421" s="135">
        <v>147.25</v>
      </c>
      <c r="K421" s="135">
        <v>147.25</v>
      </c>
      <c r="L421" s="135">
        <v>5691</v>
      </c>
      <c r="M421" s="285">
        <v>838000</v>
      </c>
      <c r="N421" s="184">
        <v>5757.82</v>
      </c>
      <c r="O421" s="287"/>
      <c r="P421" s="264"/>
      <c r="R421" s="184"/>
      <c r="S421" s="185"/>
      <c r="T421" s="220"/>
      <c r="U421" s="185" t="s">
        <v>1427</v>
      </c>
      <c r="V421" s="184">
        <v>20000</v>
      </c>
      <c r="W421" s="185" t="s">
        <v>736</v>
      </c>
      <c r="X421" s="184">
        <v>388000</v>
      </c>
      <c r="Y421" s="292" t="s">
        <v>306</v>
      </c>
      <c r="Z421" s="184">
        <v>430000</v>
      </c>
      <c r="AA421" s="185" t="s">
        <v>269</v>
      </c>
      <c r="AB421" s="184"/>
      <c r="AH421" s="184">
        <f t="shared" si="48"/>
        <v>838000</v>
      </c>
      <c r="AK421" s="190">
        <f t="shared" si="54"/>
        <v>0</v>
      </c>
      <c r="AL421" s="264" t="s">
        <v>4692</v>
      </c>
      <c r="AM421" s="264" t="s">
        <v>3254</v>
      </c>
      <c r="AO421" s="135">
        <f t="shared" si="49"/>
        <v>838000</v>
      </c>
      <c r="AP421" s="162">
        <f>0.6%+0.02%+0.08%</f>
        <v>0.007</v>
      </c>
      <c r="AQ421" s="237">
        <f t="shared" si="50"/>
        <v>0</v>
      </c>
      <c r="AR421" s="184"/>
      <c r="AS421" s="184"/>
      <c r="AT421" s="184"/>
      <c r="AU421" s="184"/>
      <c r="AV421" s="184"/>
      <c r="AW421" s="184"/>
      <c r="AX421" s="184"/>
      <c r="AY421" s="184"/>
      <c r="AZ421" s="184"/>
      <c r="BB421" s="184"/>
      <c r="BO421" s="135">
        <v>838000</v>
      </c>
      <c r="BT421" s="135" t="s">
        <v>496</v>
      </c>
    </row>
    <row r="422" s="135" customFormat="1" ht="49" customHeight="1" spans="1:73">
      <c r="A422" s="220">
        <v>345</v>
      </c>
      <c r="C422" s="135" t="s">
        <v>1840</v>
      </c>
      <c r="D422" s="135">
        <v>20230007093</v>
      </c>
      <c r="F422" s="264" t="s">
        <v>4693</v>
      </c>
      <c r="G422" s="135" t="s">
        <v>4694</v>
      </c>
      <c r="H422" s="834" t="s">
        <v>4695</v>
      </c>
      <c r="I422" s="236" t="s">
        <v>4696</v>
      </c>
      <c r="J422" s="135">
        <v>138.03</v>
      </c>
      <c r="K422" s="135">
        <v>138.03</v>
      </c>
      <c r="L422" s="135">
        <v>5827.4</v>
      </c>
      <c r="M422" s="285">
        <v>804356</v>
      </c>
      <c r="N422" s="184">
        <v>5827.4</v>
      </c>
      <c r="O422" s="190"/>
      <c r="P422" s="264"/>
      <c r="R422" s="184"/>
      <c r="S422" s="185"/>
      <c r="T422" s="844" t="s">
        <v>2465</v>
      </c>
      <c r="U422" s="185" t="s">
        <v>524</v>
      </c>
      <c r="V422" s="184">
        <v>10000</v>
      </c>
      <c r="W422" s="292" t="s">
        <v>963</v>
      </c>
      <c r="X422" s="184">
        <v>10000</v>
      </c>
      <c r="Y422" s="185" t="s">
        <v>2585</v>
      </c>
      <c r="Z422" s="135">
        <v>224356</v>
      </c>
      <c r="AA422" s="135" t="s">
        <v>1840</v>
      </c>
      <c r="AB422" s="184">
        <v>560000</v>
      </c>
      <c r="AC422" s="185" t="s">
        <v>1524</v>
      </c>
      <c r="AH422" s="184">
        <f t="shared" si="48"/>
        <v>804356</v>
      </c>
      <c r="AK422" s="190">
        <f t="shared" si="54"/>
        <v>0</v>
      </c>
      <c r="AL422" s="264" t="s">
        <v>4697</v>
      </c>
      <c r="AM422" s="264"/>
      <c r="AO422" s="135">
        <f t="shared" si="49"/>
        <v>804356</v>
      </c>
      <c r="AP422" s="162">
        <f>0.7%+0.05%+0.12%</f>
        <v>0.0087</v>
      </c>
      <c r="AQ422" s="237">
        <f t="shared" si="50"/>
        <v>200</v>
      </c>
      <c r="AR422" s="184"/>
      <c r="AS422" s="184"/>
      <c r="AT422" s="184"/>
      <c r="AU422" s="184"/>
      <c r="AV422" s="184"/>
      <c r="AW422" s="184">
        <v>200</v>
      </c>
      <c r="AX422" s="184"/>
      <c r="AY422" s="184"/>
      <c r="AZ422" s="184"/>
      <c r="BB422" s="184"/>
      <c r="BC422" s="135">
        <v>804356</v>
      </c>
      <c r="BT422" s="135" t="s">
        <v>496</v>
      </c>
      <c r="BU422" s="135" t="s">
        <v>506</v>
      </c>
    </row>
    <row r="423" s="135" customFormat="1" customHeight="1" spans="1:73">
      <c r="A423" s="220">
        <v>346</v>
      </c>
      <c r="C423" s="155">
        <v>45472</v>
      </c>
      <c r="D423" s="135">
        <v>20240003721</v>
      </c>
      <c r="F423" s="264" t="s">
        <v>4698</v>
      </c>
      <c r="G423" s="164" t="s">
        <v>4699</v>
      </c>
      <c r="H423" s="834" t="s">
        <v>4700</v>
      </c>
      <c r="I423" s="236" t="s">
        <v>4701</v>
      </c>
      <c r="J423" s="135">
        <v>147.25</v>
      </c>
      <c r="K423" s="135">
        <v>147.25</v>
      </c>
      <c r="L423" s="135">
        <f>M423/K423</f>
        <v>5512.46859083192</v>
      </c>
      <c r="M423" s="285">
        <v>811711</v>
      </c>
      <c r="N423" s="235">
        <v>5700</v>
      </c>
      <c r="O423" s="135"/>
      <c r="P423" s="264"/>
      <c r="R423" s="184"/>
      <c r="S423" s="261"/>
      <c r="T423" s="262"/>
      <c r="U423" s="261" t="s">
        <v>495</v>
      </c>
      <c r="V423" s="184">
        <v>20000</v>
      </c>
      <c r="W423" s="261" t="s">
        <v>3528</v>
      </c>
      <c r="X423" s="184">
        <v>151711</v>
      </c>
      <c r="Y423" s="261" t="s">
        <v>579</v>
      </c>
      <c r="Z423" s="135">
        <v>40000</v>
      </c>
      <c r="AA423" s="135" t="s">
        <v>856</v>
      </c>
      <c r="AB423" s="184">
        <v>600000</v>
      </c>
      <c r="AC423" s="261" t="s">
        <v>4702</v>
      </c>
      <c r="AH423" s="184">
        <f t="shared" si="48"/>
        <v>811711</v>
      </c>
      <c r="AK423" s="190">
        <f t="shared" si="54"/>
        <v>0</v>
      </c>
      <c r="AL423" s="264" t="s">
        <v>4703</v>
      </c>
      <c r="AM423" s="264" t="s">
        <v>4704</v>
      </c>
      <c r="AO423" s="135">
        <f t="shared" si="49"/>
        <v>811711</v>
      </c>
      <c r="AP423" s="162">
        <f>0.6%+0.04%+0.08%</f>
        <v>0.0072</v>
      </c>
      <c r="AQ423" s="237">
        <f t="shared" si="50"/>
        <v>300</v>
      </c>
      <c r="AR423" s="184"/>
      <c r="AS423" s="184"/>
      <c r="AT423" s="184">
        <v>100</v>
      </c>
      <c r="AU423" s="184"/>
      <c r="AV423" s="184">
        <f>100+100</f>
        <v>200</v>
      </c>
      <c r="AW423" s="184"/>
      <c r="AX423" s="184"/>
      <c r="AY423" s="184"/>
      <c r="AZ423" s="184"/>
      <c r="BB423" s="184"/>
      <c r="BO423" s="135">
        <v>811711</v>
      </c>
      <c r="BT423" s="135" t="s">
        <v>496</v>
      </c>
      <c r="BU423" s="135" t="s">
        <v>506</v>
      </c>
    </row>
    <row r="424" s="135" customFormat="1" customHeight="1" spans="1:73">
      <c r="A424" s="220">
        <v>347</v>
      </c>
      <c r="C424" s="135" t="s">
        <v>646</v>
      </c>
      <c r="D424" s="135">
        <v>20230008193</v>
      </c>
      <c r="F424" s="264" t="s">
        <v>4705</v>
      </c>
      <c r="G424" s="135" t="s">
        <v>4706</v>
      </c>
      <c r="H424" s="834" t="s">
        <v>4707</v>
      </c>
      <c r="I424" s="236" t="s">
        <v>4708</v>
      </c>
      <c r="J424" s="135">
        <v>138.03</v>
      </c>
      <c r="K424" s="135">
        <v>138.03</v>
      </c>
      <c r="L424" s="135">
        <v>5860.01</v>
      </c>
      <c r="M424" s="285">
        <v>808857</v>
      </c>
      <c r="N424" s="184">
        <v>5860.01</v>
      </c>
      <c r="O424" s="190"/>
      <c r="P424" s="264"/>
      <c r="R424" s="184"/>
      <c r="S424" s="185"/>
      <c r="T424" s="220"/>
      <c r="U424" s="185" t="s">
        <v>721</v>
      </c>
      <c r="V424" s="184">
        <v>20000</v>
      </c>
      <c r="W424" s="185" t="s">
        <v>1660</v>
      </c>
      <c r="X424" s="184">
        <v>50000</v>
      </c>
      <c r="Y424" s="185" t="s">
        <v>2594</v>
      </c>
      <c r="Z424" s="184">
        <v>91857</v>
      </c>
      <c r="AA424" s="185" t="s">
        <v>2902</v>
      </c>
      <c r="AB424" s="184">
        <v>647000</v>
      </c>
      <c r="AC424" s="185" t="s">
        <v>3550</v>
      </c>
      <c r="AH424" s="184">
        <f t="shared" si="48"/>
        <v>808857</v>
      </c>
      <c r="AK424" s="190">
        <f t="shared" ref="AK424:AK439" si="55">M424-AH424</f>
        <v>0</v>
      </c>
      <c r="AL424" s="264" t="s">
        <v>4709</v>
      </c>
      <c r="AM424" s="264"/>
      <c r="AO424" s="135">
        <f t="shared" si="49"/>
        <v>808857</v>
      </c>
      <c r="AP424" s="162">
        <f>0.7%+0.05%+0.12%</f>
        <v>0.0087</v>
      </c>
      <c r="AQ424" s="237">
        <f t="shared" si="50"/>
        <v>0</v>
      </c>
      <c r="AR424" s="184"/>
      <c r="AS424" s="184"/>
      <c r="AT424" s="184"/>
      <c r="AU424" s="184"/>
      <c r="AV424" s="184"/>
      <c r="AW424" s="184"/>
      <c r="AX424" s="184"/>
      <c r="AY424" s="184"/>
      <c r="AZ424" s="184"/>
      <c r="BB424" s="184">
        <v>161857</v>
      </c>
      <c r="BD424" s="135">
        <v>647000</v>
      </c>
      <c r="BT424" s="135" t="s">
        <v>496</v>
      </c>
      <c r="BU424" s="135" t="s">
        <v>506</v>
      </c>
    </row>
    <row r="425" s="135" customFormat="1" customHeight="1" spans="1:72">
      <c r="A425" s="220">
        <v>348</v>
      </c>
      <c r="B425" s="135"/>
      <c r="C425" s="135" t="s">
        <v>309</v>
      </c>
      <c r="D425" s="135">
        <v>20240006415</v>
      </c>
      <c r="F425" s="264" t="s">
        <v>310</v>
      </c>
      <c r="G425" s="135" t="s">
        <v>311</v>
      </c>
      <c r="H425" s="834" t="s">
        <v>4710</v>
      </c>
      <c r="I425" s="236" t="s">
        <v>4711</v>
      </c>
      <c r="J425" s="135">
        <v>147.25</v>
      </c>
      <c r="K425" s="135">
        <v>147.25</v>
      </c>
      <c r="L425" s="135">
        <v>5855.93</v>
      </c>
      <c r="M425" s="285">
        <v>862285</v>
      </c>
      <c r="N425" s="184">
        <v>5848.08</v>
      </c>
      <c r="O425" s="135"/>
      <c r="P425" s="264"/>
      <c r="R425" s="184">
        <v>674000</v>
      </c>
      <c r="S425" s="185" t="s">
        <v>3966</v>
      </c>
      <c r="T425" s="220"/>
      <c r="U425" s="185" t="s">
        <v>524</v>
      </c>
      <c r="V425" s="184">
        <v>20000</v>
      </c>
      <c r="W425" s="185">
        <v>45542</v>
      </c>
      <c r="X425" s="184">
        <v>104285</v>
      </c>
      <c r="Y425" s="185" t="s">
        <v>309</v>
      </c>
      <c r="Z425" s="135">
        <v>64000</v>
      </c>
      <c r="AA425" s="135" t="s">
        <v>313</v>
      </c>
      <c r="AB425" s="184">
        <v>674000</v>
      </c>
      <c r="AC425" s="185" t="s">
        <v>3966</v>
      </c>
      <c r="AH425" s="184">
        <f t="shared" si="48"/>
        <v>862285</v>
      </c>
      <c r="AK425" s="190">
        <f t="shared" si="55"/>
        <v>0</v>
      </c>
      <c r="AL425" s="264" t="s">
        <v>4712</v>
      </c>
      <c r="AM425" s="264" t="s">
        <v>4065</v>
      </c>
      <c r="AO425" s="135">
        <f t="shared" si="49"/>
        <v>862285</v>
      </c>
      <c r="AP425" s="166">
        <f>0.7%+0.1%</f>
        <v>0.008</v>
      </c>
      <c r="AQ425" s="237">
        <f t="shared" si="50"/>
        <v>100</v>
      </c>
      <c r="AR425" s="184"/>
      <c r="AS425" s="184"/>
      <c r="AT425" s="184"/>
      <c r="AU425" s="184">
        <v>100</v>
      </c>
      <c r="AV425" s="184"/>
      <c r="AW425" s="184"/>
      <c r="AX425" s="184"/>
      <c r="AY425" s="184"/>
      <c r="AZ425" s="184"/>
      <c r="BB425" s="184"/>
      <c r="BL425" s="132"/>
      <c r="BM425" s="132"/>
      <c r="BN425" s="132"/>
      <c r="BO425" s="132">
        <v>188285</v>
      </c>
      <c r="BP425" s="132">
        <v>674000</v>
      </c>
      <c r="BR425" s="135">
        <f>BP425*AP425</f>
        <v>5392</v>
      </c>
      <c r="BT425" s="135" t="s">
        <v>496</v>
      </c>
    </row>
    <row r="426" s="135" customFormat="1" ht="47" customHeight="1" spans="1:73">
      <c r="A426" s="220">
        <v>349</v>
      </c>
      <c r="C426" s="135" t="s">
        <v>2372</v>
      </c>
      <c r="D426" s="135">
        <v>20230007324</v>
      </c>
      <c r="F426" s="264" t="s">
        <v>4713</v>
      </c>
      <c r="G426" s="164" t="s">
        <v>4714</v>
      </c>
      <c r="H426" s="834" t="s">
        <v>4715</v>
      </c>
      <c r="I426" s="236" t="s">
        <v>4716</v>
      </c>
      <c r="J426" s="135">
        <v>138.03</v>
      </c>
      <c r="K426" s="135">
        <v>138.03</v>
      </c>
      <c r="L426" s="135">
        <v>5934.35</v>
      </c>
      <c r="M426" s="285">
        <v>819119</v>
      </c>
      <c r="N426" s="184">
        <v>5934.35</v>
      </c>
      <c r="O426" s="190"/>
      <c r="P426" s="264"/>
      <c r="R426" s="184"/>
      <c r="S426" s="185"/>
      <c r="T426" s="845" t="s">
        <v>4717</v>
      </c>
      <c r="U426" s="261" t="s">
        <v>2685</v>
      </c>
      <c r="V426" s="184">
        <f>10000-10000</f>
        <v>0</v>
      </c>
      <c r="W426" s="185" t="s">
        <v>2090</v>
      </c>
      <c r="X426" s="184">
        <v>10000</v>
      </c>
      <c r="Y426" s="292" t="s">
        <v>2585</v>
      </c>
      <c r="Z426" s="135">
        <f>95000+54119</f>
        <v>149119</v>
      </c>
      <c r="AA426" s="135" t="s">
        <v>2372</v>
      </c>
      <c r="AB426" s="184">
        <v>10000</v>
      </c>
      <c r="AC426" s="185" t="s">
        <v>4718</v>
      </c>
      <c r="AD426" s="184">
        <v>3000</v>
      </c>
      <c r="AE426" s="185" t="s">
        <v>2763</v>
      </c>
      <c r="AF426" s="184">
        <v>647000</v>
      </c>
      <c r="AG426" s="185" t="s">
        <v>4388</v>
      </c>
      <c r="AH426" s="184">
        <f t="shared" si="48"/>
        <v>819119</v>
      </c>
      <c r="AK426" s="190">
        <f t="shared" si="55"/>
        <v>0</v>
      </c>
      <c r="AL426" s="264" t="s">
        <v>4719</v>
      </c>
      <c r="AM426" s="264"/>
      <c r="AO426" s="135">
        <f t="shared" si="49"/>
        <v>819119</v>
      </c>
      <c r="AP426" s="162">
        <f>0.7%+0.12%</f>
        <v>0.0082</v>
      </c>
      <c r="AQ426" s="237">
        <f t="shared" si="50"/>
        <v>200</v>
      </c>
      <c r="AR426" s="184"/>
      <c r="AS426" s="184"/>
      <c r="AT426" s="184"/>
      <c r="AU426" s="184"/>
      <c r="AV426" s="184"/>
      <c r="AW426" s="184">
        <v>200</v>
      </c>
      <c r="AX426" s="184"/>
      <c r="AY426" s="184"/>
      <c r="AZ426" s="184">
        <v>169119</v>
      </c>
      <c r="BB426" s="184"/>
      <c r="BF426" s="135">
        <v>650000</v>
      </c>
      <c r="BT426" s="135" t="s">
        <v>496</v>
      </c>
      <c r="BU426" s="135" t="s">
        <v>506</v>
      </c>
    </row>
    <row r="427" s="135" customFormat="1" ht="49" customHeight="1" spans="1:73">
      <c r="A427" s="220">
        <v>350</v>
      </c>
      <c r="C427" s="135" t="s">
        <v>4720</v>
      </c>
      <c r="D427" s="135">
        <v>20230007103</v>
      </c>
      <c r="F427" s="264" t="s">
        <v>4721</v>
      </c>
      <c r="G427" s="164" t="s">
        <v>4722</v>
      </c>
      <c r="H427" s="834" t="s">
        <v>3494</v>
      </c>
      <c r="I427" s="236" t="s">
        <v>4723</v>
      </c>
      <c r="J427" s="135">
        <v>147.25</v>
      </c>
      <c r="K427" s="135">
        <v>147.25</v>
      </c>
      <c r="L427" s="135">
        <v>5919.44</v>
      </c>
      <c r="M427" s="285">
        <v>871637</v>
      </c>
      <c r="N427" s="184">
        <v>5919.43</v>
      </c>
      <c r="O427" s="190"/>
      <c r="P427" s="264"/>
      <c r="R427" s="184"/>
      <c r="S427" s="185"/>
      <c r="T427" s="845" t="s">
        <v>4724</v>
      </c>
      <c r="U427" s="261" t="s">
        <v>4725</v>
      </c>
      <c r="V427" s="184">
        <f>10000-10000</f>
        <v>0</v>
      </c>
      <c r="W427" s="185" t="s">
        <v>2052</v>
      </c>
      <c r="X427" s="184">
        <v>10000</v>
      </c>
      <c r="Y427" s="185" t="s">
        <v>2004</v>
      </c>
      <c r="Z427" s="184">
        <v>1637</v>
      </c>
      <c r="AA427" s="185" t="s">
        <v>1840</v>
      </c>
      <c r="AB427" s="184">
        <v>210000</v>
      </c>
      <c r="AC427" s="185" t="s">
        <v>3987</v>
      </c>
      <c r="AD427" s="184">
        <v>650000</v>
      </c>
      <c r="AE427" s="185" t="s">
        <v>888</v>
      </c>
      <c r="AH427" s="184">
        <f t="shared" si="48"/>
        <v>871637</v>
      </c>
      <c r="AK427" s="190">
        <f t="shared" si="55"/>
        <v>0</v>
      </c>
      <c r="AL427" s="264" t="s">
        <v>4726</v>
      </c>
      <c r="AM427" s="264"/>
      <c r="AO427" s="135">
        <f t="shared" si="49"/>
        <v>871637</v>
      </c>
      <c r="AP427" s="162">
        <f>0.7%+0.12%</f>
        <v>0.0082</v>
      </c>
      <c r="AQ427" s="237">
        <f t="shared" si="50"/>
        <v>300</v>
      </c>
      <c r="AR427" s="237">
        <v>100</v>
      </c>
      <c r="AS427" s="184"/>
      <c r="AT427" s="184"/>
      <c r="AU427" s="184"/>
      <c r="AV427" s="184"/>
      <c r="AW427" s="184">
        <v>200</v>
      </c>
      <c r="AX427" s="184"/>
      <c r="AY427" s="184"/>
      <c r="AZ427" s="184"/>
      <c r="BB427" s="184">
        <v>221637</v>
      </c>
      <c r="BC427" s="135">
        <v>650000</v>
      </c>
      <c r="BT427" s="135" t="s">
        <v>496</v>
      </c>
      <c r="BU427" s="135" t="s">
        <v>506</v>
      </c>
    </row>
    <row r="428" s="135" customFormat="1" ht="43" customHeight="1" spans="1:73">
      <c r="A428" s="220">
        <v>351</v>
      </c>
      <c r="C428" s="135" t="s">
        <v>1840</v>
      </c>
      <c r="D428" s="135">
        <v>20230007075</v>
      </c>
      <c r="F428" s="264" t="s">
        <v>4727</v>
      </c>
      <c r="G428" s="135" t="s">
        <v>4728</v>
      </c>
      <c r="H428" s="834" t="s">
        <v>3677</v>
      </c>
      <c r="I428" s="236" t="s">
        <v>4729</v>
      </c>
      <c r="J428" s="135">
        <v>138.03</v>
      </c>
      <c r="K428" s="135">
        <v>138.03</v>
      </c>
      <c r="L428" s="135">
        <v>6003.27</v>
      </c>
      <c r="M428" s="285">
        <v>828632</v>
      </c>
      <c r="N428" s="184">
        <v>6003.27</v>
      </c>
      <c r="O428" s="190"/>
      <c r="P428" s="264"/>
      <c r="R428" s="184"/>
      <c r="S428" s="185"/>
      <c r="T428" s="220"/>
      <c r="U428" s="185" t="s">
        <v>590</v>
      </c>
      <c r="V428" s="184">
        <v>20000</v>
      </c>
      <c r="W428" s="155" t="s">
        <v>1308</v>
      </c>
      <c r="X428" s="184">
        <f>128632+100000</f>
        <v>228632</v>
      </c>
      <c r="Y428" s="185" t="s">
        <v>1840</v>
      </c>
      <c r="Z428" s="184">
        <v>580000</v>
      </c>
      <c r="AA428" s="185" t="s">
        <v>2378</v>
      </c>
      <c r="AB428" s="184"/>
      <c r="AH428" s="184">
        <f t="shared" si="48"/>
        <v>828632</v>
      </c>
      <c r="AK428" s="190">
        <f t="shared" si="55"/>
        <v>0</v>
      </c>
      <c r="AL428" s="135">
        <v>18999000856</v>
      </c>
      <c r="AM428" s="264"/>
      <c r="AO428" s="135">
        <f t="shared" si="49"/>
        <v>828632</v>
      </c>
      <c r="AP428" s="162">
        <f>0.6%+0.04%+0.12%</f>
        <v>0.0076</v>
      </c>
      <c r="AQ428" s="237">
        <f t="shared" si="50"/>
        <v>0</v>
      </c>
      <c r="AR428" s="184"/>
      <c r="AS428" s="184"/>
      <c r="AT428" s="184"/>
      <c r="AU428" s="184"/>
      <c r="AV428" s="184"/>
      <c r="AW428" s="184"/>
      <c r="AX428" s="184"/>
      <c r="AY428" s="184"/>
      <c r="AZ428" s="184">
        <v>248632</v>
      </c>
      <c r="BB428" s="184"/>
      <c r="BC428" s="135">
        <v>580000</v>
      </c>
      <c r="BT428" s="135" t="s">
        <v>496</v>
      </c>
      <c r="BU428" s="135" t="s">
        <v>506</v>
      </c>
    </row>
    <row r="429" s="135" customFormat="1" ht="43" customHeight="1" spans="1:73">
      <c r="A429" s="220">
        <v>352</v>
      </c>
      <c r="C429" s="135" t="s">
        <v>2679</v>
      </c>
      <c r="D429" s="135">
        <v>20230007748</v>
      </c>
      <c r="F429" s="264" t="s">
        <v>4730</v>
      </c>
      <c r="G429" s="135" t="s">
        <v>4731</v>
      </c>
      <c r="H429" s="834" t="s">
        <v>3653</v>
      </c>
      <c r="I429" s="236" t="s">
        <v>4732</v>
      </c>
      <c r="J429" s="135">
        <v>147.25</v>
      </c>
      <c r="K429" s="135">
        <v>147.25</v>
      </c>
      <c r="L429" s="135">
        <v>5988.35</v>
      </c>
      <c r="M429" s="285">
        <v>881785</v>
      </c>
      <c r="N429" s="184">
        <v>5988.34</v>
      </c>
      <c r="O429" s="190"/>
      <c r="P429" s="264"/>
      <c r="R429" s="184"/>
      <c r="S429" s="185"/>
      <c r="T429" s="844" t="s">
        <v>2352</v>
      </c>
      <c r="U429" s="185" t="s">
        <v>502</v>
      </c>
      <c r="V429" s="184">
        <v>10000</v>
      </c>
      <c r="W429" s="185" t="s">
        <v>1254</v>
      </c>
      <c r="X429" s="184">
        <v>1785</v>
      </c>
      <c r="Y429" s="292" t="s">
        <v>2594</v>
      </c>
      <c r="Z429" s="184">
        <v>370000</v>
      </c>
      <c r="AA429" s="185" t="s">
        <v>2072</v>
      </c>
      <c r="AB429" s="184">
        <v>240000</v>
      </c>
      <c r="AC429" s="185" t="s">
        <v>568</v>
      </c>
      <c r="AD429" s="184">
        <v>150000</v>
      </c>
      <c r="AE429" s="185" t="s">
        <v>3934</v>
      </c>
      <c r="AF429" s="135">
        <v>110000</v>
      </c>
      <c r="AG429" s="135" t="s">
        <v>843</v>
      </c>
      <c r="AH429" s="184">
        <f t="shared" si="48"/>
        <v>881785</v>
      </c>
      <c r="AK429" s="190">
        <f t="shared" si="55"/>
        <v>0</v>
      </c>
      <c r="AL429" s="264" t="s">
        <v>4733</v>
      </c>
      <c r="AM429" s="264"/>
      <c r="AO429" s="135">
        <f t="shared" si="49"/>
        <v>881785</v>
      </c>
      <c r="AP429" s="162">
        <f>0.5%+0.12%</f>
        <v>0.0062</v>
      </c>
      <c r="AQ429" s="237">
        <f t="shared" si="50"/>
        <v>300</v>
      </c>
      <c r="AR429" s="184"/>
      <c r="AS429" s="184"/>
      <c r="AT429" s="184"/>
      <c r="AU429" s="184"/>
      <c r="AV429" s="184"/>
      <c r="AW429" s="184">
        <f>100+200</f>
        <v>300</v>
      </c>
      <c r="AX429" s="184"/>
      <c r="AY429" s="184"/>
      <c r="AZ429" s="184"/>
      <c r="BB429" s="184"/>
      <c r="BD429" s="135">
        <v>621785</v>
      </c>
      <c r="BI429" s="135">
        <v>260000</v>
      </c>
      <c r="BT429" s="135" t="s">
        <v>496</v>
      </c>
      <c r="BU429" s="135" t="s">
        <v>506</v>
      </c>
    </row>
    <row r="430" s="135" customFormat="1" ht="56" customHeight="1" spans="1:73">
      <c r="A430" s="220">
        <v>353</v>
      </c>
      <c r="C430" s="135" t="s">
        <v>638</v>
      </c>
      <c r="D430" s="135">
        <v>20230007351</v>
      </c>
      <c r="F430" s="264"/>
      <c r="G430" s="164" t="s">
        <v>4734</v>
      </c>
      <c r="I430" s="236" t="s">
        <v>4735</v>
      </c>
      <c r="J430" s="135">
        <v>138.03</v>
      </c>
      <c r="K430" s="135">
        <v>138.03</v>
      </c>
      <c r="L430" s="135">
        <v>5952.18</v>
      </c>
      <c r="M430" s="285">
        <v>821580</v>
      </c>
      <c r="N430" s="184">
        <f>6052.18-100</f>
        <v>5952.18</v>
      </c>
      <c r="O430" s="190"/>
      <c r="P430" s="264"/>
      <c r="R430" s="184"/>
      <c r="S430" s="185"/>
      <c r="T430" s="845" t="s">
        <v>4736</v>
      </c>
      <c r="U430" s="261" t="s">
        <v>4737</v>
      </c>
      <c r="V430" s="184">
        <f>10000-10000</f>
        <v>0</v>
      </c>
      <c r="W430" s="185" t="s">
        <v>2052</v>
      </c>
      <c r="X430" s="184">
        <v>20000</v>
      </c>
      <c r="Y430" s="185" t="s">
        <v>2594</v>
      </c>
      <c r="Z430" s="135">
        <v>271580</v>
      </c>
      <c r="AA430" s="135" t="s">
        <v>638</v>
      </c>
      <c r="AB430" s="184">
        <v>530000</v>
      </c>
      <c r="AC430" s="185" t="s">
        <v>4007</v>
      </c>
      <c r="AH430" s="184">
        <f t="shared" si="48"/>
        <v>821580</v>
      </c>
      <c r="AK430" s="190">
        <f t="shared" si="55"/>
        <v>0</v>
      </c>
      <c r="AL430" s="264"/>
      <c r="AM430" s="264"/>
      <c r="AO430" s="135">
        <f t="shared" si="49"/>
        <v>821580</v>
      </c>
      <c r="AP430" s="162">
        <f>0.4%+0.02%+0.12%</f>
        <v>0.0054</v>
      </c>
      <c r="AQ430" s="237">
        <f t="shared" si="50"/>
        <v>100</v>
      </c>
      <c r="AR430" s="237">
        <v>100</v>
      </c>
      <c r="AS430" s="184"/>
      <c r="AT430" s="184"/>
      <c r="AU430" s="184"/>
      <c r="AV430" s="184"/>
      <c r="AW430" s="184"/>
      <c r="AX430" s="184"/>
      <c r="AY430" s="184"/>
      <c r="AZ430" s="184">
        <v>291580</v>
      </c>
      <c r="BB430" s="184"/>
      <c r="BF430" s="135">
        <v>530000</v>
      </c>
      <c r="BT430" s="135" t="s">
        <v>496</v>
      </c>
      <c r="BU430" s="135" t="s">
        <v>506</v>
      </c>
    </row>
    <row r="431" s="135" customFormat="1" ht="55" customHeight="1" spans="1:77">
      <c r="A431" s="220">
        <v>354</v>
      </c>
      <c r="C431" s="135" t="s">
        <v>3731</v>
      </c>
      <c r="D431" s="135">
        <v>20240001563</v>
      </c>
      <c r="F431" s="264" t="s">
        <v>4738</v>
      </c>
      <c r="G431" s="164" t="s">
        <v>4739</v>
      </c>
      <c r="H431" s="834" t="s">
        <v>4740</v>
      </c>
      <c r="I431" s="236" t="s">
        <v>4741</v>
      </c>
      <c r="J431" s="135">
        <v>147.25</v>
      </c>
      <c r="K431" s="135">
        <v>147.25</v>
      </c>
      <c r="L431" s="135">
        <f>M431/K431</f>
        <v>6037.35144312394</v>
      </c>
      <c r="M431" s="285">
        <v>889000</v>
      </c>
      <c r="N431" s="184">
        <v>6037.26</v>
      </c>
      <c r="O431" s="190"/>
      <c r="P431" s="264"/>
      <c r="R431" s="184"/>
      <c r="S431" s="185"/>
      <c r="T431" s="262" t="s">
        <v>4742</v>
      </c>
      <c r="U431" s="261" t="s">
        <v>4743</v>
      </c>
      <c r="V431" s="184">
        <f>10000-10000</f>
        <v>0</v>
      </c>
      <c r="W431" s="185" t="s">
        <v>2052</v>
      </c>
      <c r="X431" s="184">
        <f>16000-16000</f>
        <v>0</v>
      </c>
      <c r="Y431" s="185" t="s">
        <v>1840</v>
      </c>
      <c r="Z431" s="184">
        <v>20000</v>
      </c>
      <c r="AA431" s="185" t="s">
        <v>2854</v>
      </c>
      <c r="AB431" s="184">
        <v>179000</v>
      </c>
      <c r="AC431" s="135" t="s">
        <v>3731</v>
      </c>
      <c r="AD431" s="184">
        <v>690000</v>
      </c>
      <c r="AE431" s="185" t="s">
        <v>3595</v>
      </c>
      <c r="AH431" s="184">
        <f t="shared" si="48"/>
        <v>889000</v>
      </c>
      <c r="AK431" s="190">
        <f t="shared" si="55"/>
        <v>0</v>
      </c>
      <c r="AL431" s="264" t="s">
        <v>4744</v>
      </c>
      <c r="AM431" s="264"/>
      <c r="AO431" s="135">
        <f t="shared" si="49"/>
        <v>889000</v>
      </c>
      <c r="AP431" s="166">
        <f>0.7%+0.04%+0.12%</f>
        <v>0.0086</v>
      </c>
      <c r="AQ431" s="237">
        <f t="shared" si="50"/>
        <v>300</v>
      </c>
      <c r="AR431" s="237">
        <v>100</v>
      </c>
      <c r="AS431" s="184"/>
      <c r="AT431" s="184"/>
      <c r="AU431" s="184"/>
      <c r="AV431" s="184"/>
      <c r="AW431" s="184">
        <v>200</v>
      </c>
      <c r="AX431" s="184"/>
      <c r="AY431" s="184"/>
      <c r="AZ431" s="184"/>
      <c r="BB431" s="184"/>
      <c r="BG431" s="135">
        <v>199000</v>
      </c>
      <c r="BJ431" s="135">
        <v>690000</v>
      </c>
      <c r="BT431" s="135" t="s">
        <v>496</v>
      </c>
      <c r="BU431" s="135" t="s">
        <v>506</v>
      </c>
      <c r="BY431" s="135">
        <f>BW431-BX431</f>
        <v>0</v>
      </c>
    </row>
    <row r="432" s="135" customFormat="1" ht="59" customHeight="1" spans="1:73">
      <c r="A432" s="220">
        <v>355</v>
      </c>
      <c r="C432" s="191" t="s">
        <v>4745</v>
      </c>
      <c r="D432" s="164" t="s">
        <v>4746</v>
      </c>
      <c r="F432" s="264" t="s">
        <v>4747</v>
      </c>
      <c r="G432" s="164" t="s">
        <v>4748</v>
      </c>
      <c r="H432" s="834" t="s">
        <v>4749</v>
      </c>
      <c r="I432" s="236" t="s">
        <v>4750</v>
      </c>
      <c r="J432" s="135">
        <v>138.03</v>
      </c>
      <c r="K432" s="135">
        <v>138.03</v>
      </c>
      <c r="L432" s="135">
        <v>6079.35</v>
      </c>
      <c r="M432" s="285">
        <v>839133</v>
      </c>
      <c r="N432" s="184">
        <v>6079.35</v>
      </c>
      <c r="O432" s="190"/>
      <c r="P432" s="264"/>
      <c r="R432" s="184"/>
      <c r="S432" s="185"/>
      <c r="T432" s="845" t="s">
        <v>4751</v>
      </c>
      <c r="U432" s="261" t="s">
        <v>4752</v>
      </c>
      <c r="V432" s="184">
        <f>10000-10000</f>
        <v>0</v>
      </c>
      <c r="W432" s="185" t="s">
        <v>2947</v>
      </c>
      <c r="X432" s="184">
        <v>10000</v>
      </c>
      <c r="Y432" s="292" t="s">
        <v>4753</v>
      </c>
      <c r="Z432" s="184">
        <v>33133</v>
      </c>
      <c r="AA432" s="185" t="s">
        <v>2585</v>
      </c>
      <c r="AB432" s="184">
        <v>146000</v>
      </c>
      <c r="AC432" s="185" t="s">
        <v>3873</v>
      </c>
      <c r="AD432" s="184">
        <v>650000</v>
      </c>
      <c r="AE432" s="185" t="s">
        <v>717</v>
      </c>
      <c r="AH432" s="184">
        <f t="shared" si="48"/>
        <v>839133</v>
      </c>
      <c r="AK432" s="190">
        <f t="shared" si="55"/>
        <v>0</v>
      </c>
      <c r="AL432" s="264" t="s">
        <v>4754</v>
      </c>
      <c r="AM432" s="264"/>
      <c r="AO432" s="135">
        <f t="shared" si="49"/>
        <v>839133</v>
      </c>
      <c r="AP432" s="162">
        <f>0.7%+0.05%+0.12%</f>
        <v>0.0087</v>
      </c>
      <c r="AQ432" s="237">
        <f t="shared" si="50"/>
        <v>300</v>
      </c>
      <c r="AR432" s="237">
        <v>100</v>
      </c>
      <c r="AS432" s="184"/>
      <c r="AT432" s="184"/>
      <c r="AU432" s="184"/>
      <c r="AV432" s="184"/>
      <c r="AW432" s="184">
        <v>200</v>
      </c>
      <c r="AX432" s="184"/>
      <c r="AY432" s="184"/>
      <c r="AZ432" s="184"/>
      <c r="BB432" s="184"/>
      <c r="BH432" s="135">
        <v>189133</v>
      </c>
      <c r="BI432" s="135">
        <v>650000</v>
      </c>
      <c r="BT432" s="135" t="s">
        <v>496</v>
      </c>
      <c r="BU432" s="135" t="s">
        <v>506</v>
      </c>
    </row>
    <row r="433" s="135" customFormat="1" customHeight="1" spans="1:77">
      <c r="A433" s="220">
        <v>356</v>
      </c>
      <c r="C433" s="135" t="s">
        <v>3731</v>
      </c>
      <c r="D433" s="135">
        <v>20240001566</v>
      </c>
      <c r="F433" s="264" t="s">
        <v>4755</v>
      </c>
      <c r="G433" s="135" t="s">
        <v>4756</v>
      </c>
      <c r="I433" s="236" t="s">
        <v>4757</v>
      </c>
      <c r="J433" s="135">
        <v>147.25</v>
      </c>
      <c r="K433" s="135">
        <v>147.25</v>
      </c>
      <c r="L433" s="135">
        <v>6064.43</v>
      </c>
      <c r="M433" s="285">
        <v>892988</v>
      </c>
      <c r="N433" s="184">
        <v>6064.43</v>
      </c>
      <c r="O433" s="190"/>
      <c r="P433" s="264"/>
      <c r="R433" s="184"/>
      <c r="S433" s="185"/>
      <c r="T433" s="220"/>
      <c r="U433" s="185" t="s">
        <v>515</v>
      </c>
      <c r="V433" s="184">
        <v>194988</v>
      </c>
      <c r="W433" s="185" t="s">
        <v>3731</v>
      </c>
      <c r="X433" s="184">
        <v>698000</v>
      </c>
      <c r="Y433" s="185" t="s">
        <v>814</v>
      </c>
      <c r="AB433" s="184"/>
      <c r="AH433" s="184">
        <f t="shared" si="48"/>
        <v>892988</v>
      </c>
      <c r="AK433" s="190">
        <f t="shared" si="55"/>
        <v>0</v>
      </c>
      <c r="AL433" s="264"/>
      <c r="AM433" s="264"/>
      <c r="AO433" s="135">
        <f t="shared" si="49"/>
        <v>892988</v>
      </c>
      <c r="AP433" s="166">
        <f>0.7%+0.04%+0.12%</f>
        <v>0.0086</v>
      </c>
      <c r="AQ433" s="237">
        <f t="shared" si="50"/>
        <v>300</v>
      </c>
      <c r="AR433" s="237">
        <v>100</v>
      </c>
      <c r="AS433" s="184"/>
      <c r="AT433" s="184"/>
      <c r="AU433" s="184"/>
      <c r="AV433" s="184">
        <v>200</v>
      </c>
      <c r="AW433" s="184"/>
      <c r="AX433" s="184"/>
      <c r="AY433" s="184"/>
      <c r="AZ433" s="184"/>
      <c r="BB433" s="184"/>
      <c r="BG433" s="135">
        <v>194988</v>
      </c>
      <c r="BJ433" s="135">
        <v>698000</v>
      </c>
      <c r="BT433" s="135" t="s">
        <v>496</v>
      </c>
      <c r="BU433" s="135" t="s">
        <v>506</v>
      </c>
      <c r="BY433" s="135">
        <f>BW433-BX433</f>
        <v>0</v>
      </c>
    </row>
    <row r="434" s="135" customFormat="1" ht="45" customHeight="1" spans="1:73">
      <c r="A434" s="220">
        <v>357</v>
      </c>
      <c r="C434" s="135" t="s">
        <v>4758</v>
      </c>
      <c r="D434" s="135">
        <v>20230007467</v>
      </c>
      <c r="F434" s="264" t="s">
        <v>4759</v>
      </c>
      <c r="G434" s="135" t="s">
        <v>4760</v>
      </c>
      <c r="H434" s="834" t="s">
        <v>4761</v>
      </c>
      <c r="I434" s="236" t="s">
        <v>4762</v>
      </c>
      <c r="J434" s="135">
        <v>138.03</v>
      </c>
      <c r="K434" s="135">
        <v>138.03</v>
      </c>
      <c r="L434" s="135">
        <v>6108.27</v>
      </c>
      <c r="M434" s="285">
        <v>843124</v>
      </c>
      <c r="N434" s="184">
        <v>6108.27</v>
      </c>
      <c r="O434" s="190"/>
      <c r="P434" s="264"/>
      <c r="R434" s="184"/>
      <c r="S434" s="185"/>
      <c r="T434" s="220"/>
      <c r="U434" s="185" t="s">
        <v>590</v>
      </c>
      <c r="V434" s="184">
        <v>10000</v>
      </c>
      <c r="W434" s="185" t="s">
        <v>2585</v>
      </c>
      <c r="X434" s="184">
        <v>10000</v>
      </c>
      <c r="Y434" s="185" t="s">
        <v>2820</v>
      </c>
      <c r="Z434" s="184">
        <v>283124</v>
      </c>
      <c r="AA434" s="185" t="s">
        <v>4640</v>
      </c>
      <c r="AB434" s="184">
        <v>4000</v>
      </c>
      <c r="AC434" s="185" t="s">
        <v>1400</v>
      </c>
      <c r="AD434" s="135">
        <v>236000</v>
      </c>
      <c r="AE434" s="135" t="s">
        <v>1400</v>
      </c>
      <c r="AF434" s="135">
        <v>300000</v>
      </c>
      <c r="AG434" s="135" t="s">
        <v>1524</v>
      </c>
      <c r="AH434" s="184">
        <f t="shared" si="48"/>
        <v>843124</v>
      </c>
      <c r="AK434" s="190">
        <f t="shared" si="55"/>
        <v>0</v>
      </c>
      <c r="AL434" s="264" t="s">
        <v>4763</v>
      </c>
      <c r="AM434" s="264"/>
      <c r="AO434" s="135">
        <f t="shared" si="49"/>
        <v>843124</v>
      </c>
      <c r="AP434" s="162">
        <f>0.6%+0.04%+0.12%</f>
        <v>0.0076</v>
      </c>
      <c r="AQ434" s="237">
        <f t="shared" si="50"/>
        <v>300</v>
      </c>
      <c r="AR434" s="184"/>
      <c r="AS434" s="184"/>
      <c r="AT434" s="184">
        <v>100</v>
      </c>
      <c r="AU434" s="184"/>
      <c r="AV434" s="184"/>
      <c r="AW434" s="184">
        <v>200</v>
      </c>
      <c r="AX434" s="184"/>
      <c r="AY434" s="184"/>
      <c r="AZ434" s="184"/>
      <c r="BB434" s="184"/>
      <c r="BC434" s="135">
        <v>843124</v>
      </c>
      <c r="BT434" s="135" t="s">
        <v>496</v>
      </c>
      <c r="BU434" s="135" t="s">
        <v>506</v>
      </c>
    </row>
    <row r="435" s="135" customFormat="1" ht="46" customHeight="1" spans="1:77">
      <c r="A435" s="220">
        <v>358</v>
      </c>
      <c r="C435" s="155">
        <v>45383</v>
      </c>
      <c r="D435" s="135">
        <v>20240001789</v>
      </c>
      <c r="F435" s="264" t="s">
        <v>4764</v>
      </c>
      <c r="G435" s="164" t="s">
        <v>4765</v>
      </c>
      <c r="H435" s="834" t="s">
        <v>4766</v>
      </c>
      <c r="I435" s="236" t="s">
        <v>4767</v>
      </c>
      <c r="J435" s="135">
        <v>147.25</v>
      </c>
      <c r="K435" s="135">
        <v>147.25</v>
      </c>
      <c r="L435" s="135">
        <v>6150</v>
      </c>
      <c r="M435" s="285">
        <v>905586</v>
      </c>
      <c r="N435" s="184">
        <v>6093.34</v>
      </c>
      <c r="O435" s="190"/>
      <c r="P435" s="264"/>
      <c r="R435" s="184"/>
      <c r="S435" s="185"/>
      <c r="T435" s="845" t="s">
        <v>4768</v>
      </c>
      <c r="U435" s="261" t="s">
        <v>4769</v>
      </c>
      <c r="V435" s="184">
        <f>10000-10000</f>
        <v>0</v>
      </c>
      <c r="W435" s="155" t="s">
        <v>2052</v>
      </c>
      <c r="X435" s="184">
        <f>10000-10000</f>
        <v>0</v>
      </c>
      <c r="Y435" s="185" t="s">
        <v>557</v>
      </c>
      <c r="Z435" s="184">
        <f>10000-10000</f>
        <v>0</v>
      </c>
      <c r="AA435" s="185" t="s">
        <v>2585</v>
      </c>
      <c r="AB435" s="184">
        <v>10000</v>
      </c>
      <c r="AC435" s="185" t="s">
        <v>3654</v>
      </c>
      <c r="AD435" s="184">
        <f>150000+225+60000</f>
        <v>210225</v>
      </c>
      <c r="AE435" s="185" t="s">
        <v>716</v>
      </c>
      <c r="AF435" s="184">
        <v>678000</v>
      </c>
      <c r="AG435" s="185" t="s">
        <v>3389</v>
      </c>
      <c r="AH435" s="184">
        <f t="shared" si="48"/>
        <v>898225</v>
      </c>
      <c r="AK435" s="190">
        <f t="shared" si="55"/>
        <v>7361</v>
      </c>
      <c r="AL435" s="264" t="s">
        <v>4770</v>
      </c>
      <c r="AM435" s="264"/>
      <c r="AO435" s="135">
        <f t="shared" si="49"/>
        <v>898225</v>
      </c>
      <c r="AP435" s="166">
        <f>0.5%+0.04%+0.12%</f>
        <v>0.0066</v>
      </c>
      <c r="AQ435" s="237">
        <f t="shared" si="50"/>
        <v>300</v>
      </c>
      <c r="AR435" s="237">
        <v>100</v>
      </c>
      <c r="AS435" s="184"/>
      <c r="AT435" s="184"/>
      <c r="AU435" s="184"/>
      <c r="AV435" s="184"/>
      <c r="AW435" s="184">
        <v>200</v>
      </c>
      <c r="AX435" s="184"/>
      <c r="AY435" s="184"/>
      <c r="AZ435" s="184"/>
      <c r="BB435" s="184"/>
      <c r="BH435" s="135">
        <v>220225</v>
      </c>
      <c r="BJ435" s="135">
        <v>678000</v>
      </c>
      <c r="BT435" s="135" t="s">
        <v>496</v>
      </c>
      <c r="BU435" s="135" t="s">
        <v>506</v>
      </c>
      <c r="BY435" s="135">
        <f>BW435-BX435</f>
        <v>0</v>
      </c>
    </row>
    <row r="436" s="135" customFormat="1" ht="50" customHeight="1" spans="1:73">
      <c r="A436" s="220">
        <v>359</v>
      </c>
      <c r="C436" s="135" t="s">
        <v>2529</v>
      </c>
      <c r="D436" s="135">
        <v>20230007286</v>
      </c>
      <c r="F436" s="264" t="s">
        <v>4771</v>
      </c>
      <c r="G436" s="164" t="s">
        <v>4772</v>
      </c>
      <c r="H436" s="834" t="s">
        <v>3635</v>
      </c>
      <c r="I436" s="236" t="s">
        <v>4773</v>
      </c>
      <c r="J436" s="135">
        <v>138.03</v>
      </c>
      <c r="K436" s="135">
        <v>138.03</v>
      </c>
      <c r="L436" s="135">
        <v>6130.01</v>
      </c>
      <c r="M436" s="285">
        <v>846126</v>
      </c>
      <c r="N436" s="184">
        <v>6130.01</v>
      </c>
      <c r="O436" s="190"/>
      <c r="P436" s="264"/>
      <c r="R436" s="184"/>
      <c r="S436" s="185"/>
      <c r="T436" s="262" t="s">
        <v>4774</v>
      </c>
      <c r="U436" s="261" t="s">
        <v>4775</v>
      </c>
      <c r="V436" s="184">
        <f>10000-10000</f>
        <v>0</v>
      </c>
      <c r="W436" s="185" t="s">
        <v>566</v>
      </c>
      <c r="X436" s="184">
        <v>20000</v>
      </c>
      <c r="Y436" s="185" t="s">
        <v>1840</v>
      </c>
      <c r="Z436" s="135">
        <f>152126+4000</f>
        <v>156126</v>
      </c>
      <c r="AA436" s="135" t="s">
        <v>2529</v>
      </c>
      <c r="AB436" s="184">
        <v>670000</v>
      </c>
      <c r="AC436" s="185" t="s">
        <v>888</v>
      </c>
      <c r="AH436" s="184">
        <f t="shared" si="48"/>
        <v>846126</v>
      </c>
      <c r="AK436" s="190">
        <f t="shared" si="55"/>
        <v>0</v>
      </c>
      <c r="AL436" s="264" t="s">
        <v>4776</v>
      </c>
      <c r="AM436" s="264"/>
      <c r="AO436" s="135">
        <f t="shared" si="49"/>
        <v>846126</v>
      </c>
      <c r="AP436" s="162">
        <f>0.6%+0.04%+0.12%</f>
        <v>0.0076</v>
      </c>
      <c r="AQ436" s="237">
        <f t="shared" si="50"/>
        <v>100</v>
      </c>
      <c r="AR436" s="184"/>
      <c r="AS436" s="184"/>
      <c r="AT436" s="184"/>
      <c r="AU436" s="184">
        <v>100</v>
      </c>
      <c r="AV436" s="184"/>
      <c r="AW436" s="184"/>
      <c r="AX436" s="184"/>
      <c r="AY436" s="184"/>
      <c r="AZ436" s="184">
        <v>176126</v>
      </c>
      <c r="BB436" s="184"/>
      <c r="BC436" s="135">
        <v>670000</v>
      </c>
      <c r="BT436" s="135" t="s">
        <v>496</v>
      </c>
      <c r="BU436" s="135" t="s">
        <v>506</v>
      </c>
    </row>
    <row r="437" s="135" customFormat="1" ht="43" customHeight="1" spans="1:73">
      <c r="A437" s="220">
        <v>360</v>
      </c>
      <c r="C437" s="155">
        <v>45449</v>
      </c>
      <c r="D437" s="135">
        <v>20240003336</v>
      </c>
      <c r="F437" s="264" t="s">
        <v>4777</v>
      </c>
      <c r="G437" s="164" t="s">
        <v>4778</v>
      </c>
      <c r="H437" s="834" t="s">
        <v>4779</v>
      </c>
      <c r="I437" s="236" t="s">
        <v>4780</v>
      </c>
      <c r="J437" s="135">
        <v>147.25</v>
      </c>
      <c r="K437" s="135">
        <v>147.25</v>
      </c>
      <c r="L437" s="135">
        <f>M437/K437</f>
        <v>6132.42784380306</v>
      </c>
      <c r="M437" s="285">
        <v>903000</v>
      </c>
      <c r="N437" s="184">
        <v>6115.08</v>
      </c>
      <c r="P437" s="264"/>
      <c r="R437" s="184"/>
      <c r="S437" s="185"/>
      <c r="T437" s="262" t="s">
        <v>4781</v>
      </c>
      <c r="U437" s="261" t="s">
        <v>3523</v>
      </c>
      <c r="V437" s="184">
        <f>10000-10000</f>
        <v>0</v>
      </c>
      <c r="W437" s="185" t="s">
        <v>2052</v>
      </c>
      <c r="X437" s="184">
        <v>3000</v>
      </c>
      <c r="Y437" s="185" t="s">
        <v>3420</v>
      </c>
      <c r="Z437" s="184">
        <v>450000</v>
      </c>
      <c r="AA437" s="185" t="s">
        <v>3395</v>
      </c>
      <c r="AB437" s="184">
        <v>450000</v>
      </c>
      <c r="AC437" s="185" t="s">
        <v>3023</v>
      </c>
      <c r="AH437" s="184">
        <f t="shared" si="48"/>
        <v>903000</v>
      </c>
      <c r="AK437" s="190">
        <f t="shared" si="55"/>
        <v>0</v>
      </c>
      <c r="AL437" s="264" t="s">
        <v>4782</v>
      </c>
      <c r="AM437" s="264"/>
      <c r="AO437" s="135">
        <f t="shared" si="49"/>
        <v>903000</v>
      </c>
      <c r="AP437" s="162">
        <f>0.4%+0.02%+0.08%</f>
        <v>0.005</v>
      </c>
      <c r="AQ437" s="237">
        <f t="shared" si="50"/>
        <v>100</v>
      </c>
      <c r="AR437" s="237">
        <v>100</v>
      </c>
      <c r="AS437" s="184"/>
      <c r="AT437" s="184"/>
      <c r="AU437" s="184"/>
      <c r="AV437" s="184"/>
      <c r="AW437" s="184"/>
      <c r="AX437" s="184"/>
      <c r="AY437" s="184"/>
      <c r="AZ437" s="184"/>
      <c r="BB437" s="184"/>
      <c r="BJ437" s="135">
        <v>453000</v>
      </c>
      <c r="BK437" s="135">
        <v>450000</v>
      </c>
      <c r="BT437" s="135" t="s">
        <v>496</v>
      </c>
      <c r="BU437" s="135" t="s">
        <v>506</v>
      </c>
    </row>
    <row r="438" s="135" customFormat="1" customHeight="1" spans="1:54">
      <c r="A438" s="220">
        <v>361</v>
      </c>
      <c r="B438" s="135"/>
      <c r="F438" s="264" t="s">
        <v>4783</v>
      </c>
      <c r="G438" s="135" t="s">
        <v>4784</v>
      </c>
      <c r="H438" s="834" t="s">
        <v>4785</v>
      </c>
      <c r="I438" s="236" t="s">
        <v>4786</v>
      </c>
      <c r="J438" s="135">
        <v>138.03</v>
      </c>
      <c r="K438" s="135">
        <v>138.03</v>
      </c>
      <c r="L438" s="135">
        <v>6882.56</v>
      </c>
      <c r="M438" s="285">
        <v>950000</v>
      </c>
      <c r="N438" s="184">
        <v>7139.59</v>
      </c>
      <c r="O438" s="135"/>
      <c r="P438" s="264"/>
      <c r="R438" s="184"/>
      <c r="S438" s="185"/>
      <c r="T438" s="220"/>
      <c r="U438" s="185" t="s">
        <v>524</v>
      </c>
      <c r="V438" s="184">
        <v>10000</v>
      </c>
      <c r="W438" s="185" t="s">
        <v>206</v>
      </c>
      <c r="X438" s="184"/>
      <c r="Y438" s="292"/>
      <c r="AB438" s="184"/>
      <c r="AH438" s="184">
        <f t="shared" si="48"/>
        <v>10000</v>
      </c>
      <c r="AK438" s="190">
        <f t="shared" si="55"/>
        <v>940000</v>
      </c>
      <c r="AL438" s="264" t="s">
        <v>4787</v>
      </c>
      <c r="AM438" s="264" t="s">
        <v>3321</v>
      </c>
      <c r="AO438" s="135">
        <f t="shared" si="49"/>
        <v>0</v>
      </c>
      <c r="AP438" s="166">
        <f>0.6%+0.08%+0.03%</f>
        <v>0.0071</v>
      </c>
      <c r="AQ438" s="237">
        <f t="shared" si="50"/>
        <v>100</v>
      </c>
      <c r="AR438" s="184"/>
      <c r="AS438" s="184"/>
      <c r="AT438" s="184"/>
      <c r="AU438" s="184">
        <v>100</v>
      </c>
      <c r="AV438" s="184"/>
      <c r="AW438" s="184"/>
      <c r="AX438" s="184"/>
      <c r="AY438" s="184"/>
      <c r="AZ438" s="184"/>
      <c r="BB438" s="184"/>
    </row>
    <row r="439" s="135" customFormat="1" customHeight="1" spans="1:72">
      <c r="A439" s="220">
        <v>362</v>
      </c>
      <c r="C439" s="135" t="s">
        <v>125</v>
      </c>
      <c r="D439" s="135">
        <v>20240005902</v>
      </c>
      <c r="F439" s="264" t="s">
        <v>4788</v>
      </c>
      <c r="G439" s="135" t="s">
        <v>4789</v>
      </c>
      <c r="H439" s="834" t="s">
        <v>4790</v>
      </c>
      <c r="I439" s="236" t="s">
        <v>4791</v>
      </c>
      <c r="J439" s="135">
        <v>147.25</v>
      </c>
      <c r="K439" s="135">
        <v>147.25</v>
      </c>
      <c r="L439" s="135">
        <v>7164</v>
      </c>
      <c r="M439" s="285">
        <f>K439*L439</f>
        <v>1054899</v>
      </c>
      <c r="N439" s="184">
        <v>7155.59</v>
      </c>
      <c r="P439" s="264"/>
      <c r="R439" s="184"/>
      <c r="S439" s="185"/>
      <c r="T439" s="220"/>
      <c r="U439" s="185" t="s">
        <v>2249</v>
      </c>
      <c r="V439" s="184">
        <v>20000</v>
      </c>
      <c r="W439" s="185" t="s">
        <v>1954</v>
      </c>
      <c r="X439" s="184">
        <v>100000</v>
      </c>
      <c r="Y439" s="185" t="s">
        <v>526</v>
      </c>
      <c r="Z439" s="184">
        <v>91899</v>
      </c>
      <c r="AA439" s="185" t="s">
        <v>125</v>
      </c>
      <c r="AB439" s="184"/>
      <c r="AH439" s="184">
        <f t="shared" si="48"/>
        <v>211899</v>
      </c>
      <c r="AK439" s="190">
        <f t="shared" si="55"/>
        <v>843000</v>
      </c>
      <c r="AL439" s="264" t="s">
        <v>4792</v>
      </c>
      <c r="AM439" s="264"/>
      <c r="AO439" s="135">
        <f t="shared" si="49"/>
        <v>211899</v>
      </c>
      <c r="AP439" s="162">
        <f>0.6%+0.03%+0.14%</f>
        <v>0.0077</v>
      </c>
      <c r="AQ439" s="237">
        <f t="shared" si="50"/>
        <v>0</v>
      </c>
      <c r="AR439" s="184"/>
      <c r="AS439" s="184"/>
      <c r="AT439" s="184"/>
      <c r="AU439" s="184"/>
      <c r="AV439" s="184"/>
      <c r="AW439" s="184"/>
      <c r="AX439" s="184"/>
      <c r="AY439" s="184"/>
      <c r="AZ439" s="184"/>
      <c r="BB439" s="184"/>
      <c r="BN439" s="135">
        <v>211899</v>
      </c>
      <c r="BT439" s="135" t="s">
        <v>496</v>
      </c>
    </row>
    <row r="440" s="138" customFormat="1" customHeight="1" spans="1:77">
      <c r="A440" s="305" t="s">
        <v>59</v>
      </c>
      <c r="B440" s="138">
        <f>SUM(B4:B439)</f>
        <v>9</v>
      </c>
      <c r="E440" s="138">
        <f>SUM(E258:E439)</f>
        <v>0</v>
      </c>
      <c r="F440" s="138">
        <f>SUM(F258:F439)</f>
        <v>0</v>
      </c>
      <c r="I440" s="311">
        <f>SUM(I258:I439)</f>
        <v>0</v>
      </c>
      <c r="J440" s="165">
        <f>SUM(J4:J439)</f>
        <v>48195.4999999999</v>
      </c>
      <c r="K440" s="165">
        <f>SUM(K4:K439)</f>
        <v>36462.34</v>
      </c>
      <c r="L440" s="165"/>
      <c r="M440" s="312">
        <f>SUM(M4:M439)</f>
        <v>202447482</v>
      </c>
      <c r="N440" s="313"/>
      <c r="O440" s="165"/>
      <c r="P440" s="165"/>
      <c r="Q440" s="165"/>
      <c r="R440" s="316">
        <f>SUM(R4:R439)</f>
        <v>7956921</v>
      </c>
      <c r="S440" s="317"/>
      <c r="T440" s="305"/>
      <c r="U440" s="317"/>
      <c r="V440" s="165">
        <f>SUM(V4:V439)</f>
        <v>8715512</v>
      </c>
      <c r="W440" s="165"/>
      <c r="X440" s="165">
        <f>SUM(X4:X439)</f>
        <v>38649572</v>
      </c>
      <c r="Y440" s="165"/>
      <c r="Z440" s="165">
        <f>SUM(Z4:Z439)</f>
        <v>58607849</v>
      </c>
      <c r="AA440" s="165"/>
      <c r="AB440" s="165">
        <f>SUM(AB4:AB439)</f>
        <v>46652402</v>
      </c>
      <c r="AC440" s="165"/>
      <c r="AD440" s="165">
        <f>SUM(AD4:AD439)</f>
        <v>18949482</v>
      </c>
      <c r="AE440" s="165"/>
      <c r="AF440" s="165">
        <f>SUM(AF4:AF439)</f>
        <v>11952000</v>
      </c>
      <c r="AG440" s="165"/>
      <c r="AH440" s="165">
        <f>SUM(AH4:AH439)</f>
        <v>183526817</v>
      </c>
      <c r="AI440" s="165">
        <f>SUM(AI4:AI439)</f>
        <v>0</v>
      </c>
      <c r="AJ440" s="165">
        <f>SUM(AJ4:AJ439)</f>
        <v>0</v>
      </c>
      <c r="AK440" s="165">
        <f>SUM(AK4:AK439)</f>
        <v>18117000</v>
      </c>
      <c r="AL440" s="165"/>
      <c r="AM440" s="165"/>
      <c r="AN440" s="165">
        <f>SUM(AN188:AN439)</f>
        <v>0</v>
      </c>
      <c r="AO440" s="165">
        <f>SUM(AO4:AO439)</f>
        <v>175897840</v>
      </c>
      <c r="AP440" s="165"/>
      <c r="AQ440" s="165">
        <f t="shared" ref="AP440:BP440" si="56">SUM(AQ4:AQ439)</f>
        <v>18500</v>
      </c>
      <c r="AR440" s="165">
        <f t="shared" si="56"/>
        <v>2100</v>
      </c>
      <c r="AS440" s="165">
        <f t="shared" si="56"/>
        <v>1300</v>
      </c>
      <c r="AT440" s="165">
        <f t="shared" si="56"/>
        <v>2300</v>
      </c>
      <c r="AU440" s="165">
        <f t="shared" si="56"/>
        <v>1000</v>
      </c>
      <c r="AV440" s="165">
        <f t="shared" si="56"/>
        <v>4200</v>
      </c>
      <c r="AW440" s="165">
        <f t="shared" si="56"/>
        <v>5200</v>
      </c>
      <c r="AX440" s="165">
        <f t="shared" si="56"/>
        <v>2200</v>
      </c>
      <c r="AY440" s="165">
        <f t="shared" si="56"/>
        <v>200</v>
      </c>
      <c r="AZ440" s="165">
        <f t="shared" si="56"/>
        <v>3758483</v>
      </c>
      <c r="BA440" s="165">
        <f t="shared" si="56"/>
        <v>773388</v>
      </c>
      <c r="BB440" s="165">
        <f t="shared" si="56"/>
        <v>9516785</v>
      </c>
      <c r="BC440" s="165">
        <f t="shared" si="56"/>
        <v>18339412</v>
      </c>
      <c r="BD440" s="165">
        <f t="shared" si="56"/>
        <v>12008088</v>
      </c>
      <c r="BE440" s="165">
        <f t="shared" si="56"/>
        <v>13246008</v>
      </c>
      <c r="BF440" s="165">
        <f t="shared" si="56"/>
        <v>7592677</v>
      </c>
      <c r="BG440" s="165">
        <f t="shared" si="56"/>
        <v>23180507</v>
      </c>
      <c r="BH440" s="165">
        <f t="shared" si="56"/>
        <v>18611850</v>
      </c>
      <c r="BI440" s="165">
        <f t="shared" si="56"/>
        <v>13112872</v>
      </c>
      <c r="BJ440" s="165">
        <f t="shared" si="56"/>
        <v>10638643</v>
      </c>
      <c r="BK440" s="165">
        <f t="shared" si="56"/>
        <v>6570493</v>
      </c>
      <c r="BL440" s="165">
        <f t="shared" si="56"/>
        <v>7859000</v>
      </c>
      <c r="BM440" s="165">
        <f t="shared" si="56"/>
        <v>6178659</v>
      </c>
      <c r="BN440" s="313">
        <f t="shared" si="56"/>
        <v>6515819</v>
      </c>
      <c r="BO440" s="165">
        <f t="shared" si="56"/>
        <v>12502469</v>
      </c>
      <c r="BP440" s="165">
        <f t="shared" si="56"/>
        <v>5492687</v>
      </c>
      <c r="BQ440" s="165"/>
      <c r="BR440" s="313">
        <f>SUM(BR4:BR439)</f>
        <v>36669.0461</v>
      </c>
      <c r="BV440" s="313">
        <f>SUM(BV4:BV439)</f>
        <v>0</v>
      </c>
      <c r="BW440" s="313">
        <f t="shared" ref="BW440:BY440" si="57">SUM(BW4:BW439)</f>
        <v>0</v>
      </c>
      <c r="BX440" s="313">
        <f t="shared" si="57"/>
        <v>0</v>
      </c>
      <c r="BY440" s="313">
        <f t="shared" si="57"/>
        <v>0</v>
      </c>
    </row>
    <row r="441" s="132" customFormat="1" customHeight="1" spans="1:70">
      <c r="A441" s="212"/>
      <c r="M441" s="213"/>
      <c r="N441" s="215"/>
      <c r="Q441" s="132" t="s">
        <v>3182</v>
      </c>
      <c r="R441" s="215">
        <v>7279799</v>
      </c>
      <c r="S441" s="216"/>
      <c r="T441" s="212"/>
      <c r="U441" s="216"/>
      <c r="V441" s="215"/>
      <c r="X441" s="215"/>
      <c r="AB441" s="215"/>
      <c r="AH441" s="215"/>
      <c r="AK441" s="173"/>
      <c r="AP441" s="320"/>
      <c r="AQ441" s="215"/>
      <c r="AR441" s="215"/>
      <c r="AS441" s="215"/>
      <c r="AT441" s="215"/>
      <c r="AU441" s="215"/>
      <c r="AV441" s="215"/>
      <c r="AW441" s="215"/>
      <c r="AX441" s="215"/>
      <c r="AY441" s="215"/>
      <c r="AZ441" s="215"/>
      <c r="BB441" s="215"/>
      <c r="BR441" s="132">
        <f>BR440+'画堂春锦苑8#楼明细表'!AZ91+'画堂春锦苑住宅4#6#'!AV168</f>
        <v>98940.6454</v>
      </c>
    </row>
    <row r="442" s="132" customFormat="1" customHeight="1" spans="1:54">
      <c r="A442" s="212"/>
      <c r="M442" s="213"/>
      <c r="N442" s="215"/>
      <c r="Q442" s="132" t="s">
        <v>98</v>
      </c>
      <c r="R442" s="215">
        <v>677122</v>
      </c>
      <c r="S442" s="216"/>
      <c r="T442" s="212"/>
      <c r="U442" s="216"/>
      <c r="V442" s="215"/>
      <c r="X442" s="215"/>
      <c r="AB442" s="215"/>
      <c r="AH442" s="215"/>
      <c r="AK442" s="173"/>
      <c r="AP442" s="320"/>
      <c r="AQ442" s="215"/>
      <c r="AR442" s="215"/>
      <c r="AS442" s="215"/>
      <c r="AT442" s="215"/>
      <c r="AU442" s="215"/>
      <c r="AV442" s="215"/>
      <c r="AW442" s="215"/>
      <c r="AX442" s="215"/>
      <c r="AY442" s="215"/>
      <c r="AZ442" s="215"/>
      <c r="BB442" s="215"/>
    </row>
    <row r="443" s="132" customFormat="1" customHeight="1" spans="1:54">
      <c r="A443" s="212"/>
      <c r="D443" s="306" t="s">
        <v>3185</v>
      </c>
      <c r="E443" s="306" t="s">
        <v>3186</v>
      </c>
      <c r="F443" s="306"/>
      <c r="H443" s="306"/>
      <c r="M443" s="213"/>
      <c r="N443" s="215"/>
      <c r="Q443" s="132" t="s">
        <v>63</v>
      </c>
      <c r="R443" s="271"/>
      <c r="S443" s="265"/>
      <c r="T443" s="212"/>
      <c r="U443" s="216"/>
      <c r="V443" s="215"/>
      <c r="X443" s="215"/>
      <c r="AB443" s="215"/>
      <c r="AH443" s="215"/>
      <c r="AK443" s="173"/>
      <c r="AP443" s="320"/>
      <c r="AQ443" s="215"/>
      <c r="AR443" s="215"/>
      <c r="AS443" s="215"/>
      <c r="AT443" s="215"/>
      <c r="AU443" s="215"/>
      <c r="AV443" s="215"/>
      <c r="AW443" s="215"/>
      <c r="AX443" s="215"/>
      <c r="AY443" s="215"/>
      <c r="AZ443" s="215"/>
      <c r="BB443" s="215"/>
    </row>
    <row r="444" s="132" customFormat="1" customHeight="1" spans="1:54">
      <c r="A444" s="212"/>
      <c r="C444" s="219"/>
      <c r="D444" s="306"/>
      <c r="E444" s="307" t="s">
        <v>3189</v>
      </c>
      <c r="F444" s="306" t="s">
        <v>3190</v>
      </c>
      <c r="G444" s="132" t="s">
        <v>3191</v>
      </c>
      <c r="H444" s="306" t="s">
        <v>3192</v>
      </c>
      <c r="M444" s="213"/>
      <c r="N444" s="215"/>
      <c r="Q444" s="132" t="s">
        <v>4793</v>
      </c>
      <c r="R444" s="215"/>
      <c r="S444" s="216"/>
      <c r="T444" s="212"/>
      <c r="U444" s="216"/>
      <c r="V444" s="215"/>
      <c r="X444" s="215"/>
      <c r="AB444" s="215"/>
      <c r="AH444" s="215"/>
      <c r="AK444" s="173"/>
      <c r="AP444" s="320"/>
      <c r="AQ444" s="215"/>
      <c r="AR444" s="215"/>
      <c r="AS444" s="215"/>
      <c r="AT444" s="215"/>
      <c r="AU444" s="215"/>
      <c r="AV444" s="215"/>
      <c r="AW444" s="215"/>
      <c r="AX444" s="215"/>
      <c r="AY444" s="215"/>
      <c r="AZ444" s="215"/>
      <c r="BB444" s="215"/>
    </row>
    <row r="445" s="132" customFormat="1" customHeight="1" spans="1:54">
      <c r="A445" s="212"/>
      <c r="M445" s="213"/>
      <c r="N445" s="215"/>
      <c r="Q445" s="132" t="s">
        <v>63</v>
      </c>
      <c r="R445" s="215">
        <f>R441+R442+R443</f>
        <v>7956921</v>
      </c>
      <c r="S445" s="318"/>
      <c r="T445" s="319"/>
      <c r="U445" s="318"/>
      <c r="V445" s="215"/>
      <c r="X445" s="215"/>
      <c r="AB445" s="215"/>
      <c r="AH445" s="215"/>
      <c r="AK445" s="173"/>
      <c r="AP445" s="320"/>
      <c r="AQ445" s="215"/>
      <c r="AR445" s="215"/>
      <c r="AS445" s="215"/>
      <c r="AT445" s="215"/>
      <c r="AU445" s="215"/>
      <c r="AV445" s="215"/>
      <c r="AW445" s="215"/>
      <c r="AX445" s="215"/>
      <c r="AY445" s="215"/>
      <c r="AZ445" s="215"/>
      <c r="BB445" s="215"/>
    </row>
    <row r="446" s="132" customFormat="1" customHeight="1" spans="1:64">
      <c r="A446" s="212"/>
      <c r="M446" s="213"/>
      <c r="N446" s="214"/>
      <c r="R446" s="215"/>
      <c r="S446" s="216"/>
      <c r="T446" s="212"/>
      <c r="U446" s="216"/>
      <c r="V446" s="215"/>
      <c r="X446" s="215"/>
      <c r="AB446" s="215"/>
      <c r="AH446" s="215"/>
      <c r="AK446" s="173"/>
      <c r="AP446" s="320"/>
      <c r="AQ446" s="215"/>
      <c r="AR446" s="215"/>
      <c r="AS446" s="215"/>
      <c r="AT446" s="215"/>
      <c r="AU446" s="215"/>
      <c r="AV446" s="215"/>
      <c r="AW446" s="215"/>
      <c r="AX446" s="215"/>
      <c r="AY446" s="215"/>
      <c r="AZ446" s="215"/>
      <c r="BB446" s="215"/>
      <c r="BL446" s="132">
        <f>BL440+'[2]8#楼明细表'!AT71</f>
        <v>11646691</v>
      </c>
    </row>
    <row r="447" s="132" customFormat="1" customHeight="1" spans="1:54">
      <c r="A447" s="212"/>
      <c r="M447" s="213"/>
      <c r="N447" s="214"/>
      <c r="R447" s="215"/>
      <c r="S447" s="216"/>
      <c r="T447" s="212"/>
      <c r="U447" s="216"/>
      <c r="V447" s="215"/>
      <c r="X447" s="215"/>
      <c r="AB447" s="215"/>
      <c r="AH447" s="215"/>
      <c r="AK447" s="173"/>
      <c r="AP447" s="320"/>
      <c r="AQ447" s="215"/>
      <c r="AR447" s="215"/>
      <c r="AS447" s="215"/>
      <c r="AT447" s="215"/>
      <c r="AU447" s="215"/>
      <c r="AV447" s="215"/>
      <c r="AW447" s="215"/>
      <c r="AX447" s="215"/>
      <c r="AY447" s="215"/>
      <c r="AZ447" s="215"/>
      <c r="BB447" s="215"/>
    </row>
    <row r="448" s="132" customFormat="1" customHeight="1" spans="1:54">
      <c r="A448" s="212"/>
      <c r="M448" s="213"/>
      <c r="N448" s="214"/>
      <c r="S448" s="216"/>
      <c r="T448" s="212"/>
      <c r="U448" s="216"/>
      <c r="V448" s="215"/>
      <c r="X448" s="215"/>
      <c r="AB448" s="215"/>
      <c r="AH448" s="215"/>
      <c r="AK448" s="173"/>
      <c r="AP448" s="320"/>
      <c r="AQ448" s="215"/>
      <c r="AR448" s="215"/>
      <c r="AS448" s="215"/>
      <c r="AT448" s="215"/>
      <c r="AU448" s="215"/>
      <c r="AV448" s="215"/>
      <c r="AW448" s="215"/>
      <c r="AX448" s="215"/>
      <c r="AY448" s="215"/>
      <c r="AZ448" s="215"/>
      <c r="BB448" s="215"/>
    </row>
    <row r="449" s="132" customFormat="1" customHeight="1" spans="1:54">
      <c r="A449" s="212"/>
      <c r="M449" s="213"/>
      <c r="N449" s="214"/>
      <c r="S449" s="216"/>
      <c r="T449" s="212"/>
      <c r="U449" s="216"/>
      <c r="V449" s="215"/>
      <c r="X449" s="215"/>
      <c r="AB449" s="215"/>
      <c r="AH449" s="215"/>
      <c r="AK449" s="173"/>
      <c r="AP449" s="320"/>
      <c r="AQ449" s="215"/>
      <c r="AR449" s="215"/>
      <c r="AS449" s="215"/>
      <c r="AT449" s="215"/>
      <c r="AU449" s="215"/>
      <c r="AV449" s="215"/>
      <c r="AW449" s="215"/>
      <c r="AX449" s="215"/>
      <c r="AY449" s="215"/>
      <c r="AZ449" s="215"/>
      <c r="BB449" s="215"/>
    </row>
    <row r="450" s="132" customFormat="1" customHeight="1" spans="1:54">
      <c r="A450" s="212"/>
      <c r="M450" s="213"/>
      <c r="N450" s="214"/>
      <c r="S450" s="216"/>
      <c r="T450" s="212"/>
      <c r="U450" s="216"/>
      <c r="V450" s="215"/>
      <c r="X450" s="215"/>
      <c r="AB450" s="215"/>
      <c r="AH450" s="215"/>
      <c r="AK450" s="173"/>
      <c r="AP450" s="320"/>
      <c r="AQ450" s="215"/>
      <c r="AR450" s="215"/>
      <c r="AS450" s="215"/>
      <c r="AT450" s="215"/>
      <c r="AU450" s="215"/>
      <c r="AV450" s="215"/>
      <c r="AW450" s="215"/>
      <c r="AX450" s="215"/>
      <c r="AY450" s="215"/>
      <c r="AZ450" s="215"/>
      <c r="BB450" s="215"/>
    </row>
    <row r="451" s="132" customFormat="1" customHeight="1" spans="1:54">
      <c r="A451" s="212"/>
      <c r="M451" s="213"/>
      <c r="N451" s="214"/>
      <c r="R451" s="215"/>
      <c r="S451" s="216"/>
      <c r="T451" s="212"/>
      <c r="U451" s="216"/>
      <c r="V451" s="215"/>
      <c r="X451" s="215"/>
      <c r="AB451" s="215"/>
      <c r="AH451" s="215"/>
      <c r="AK451" s="173"/>
      <c r="AP451" s="320"/>
      <c r="AQ451" s="215"/>
      <c r="AR451" s="215"/>
      <c r="AS451" s="215"/>
      <c r="AT451" s="215"/>
      <c r="AU451" s="215"/>
      <c r="AV451" s="215"/>
      <c r="AW451" s="215"/>
      <c r="AX451" s="215"/>
      <c r="AY451" s="215"/>
      <c r="AZ451" s="215"/>
      <c r="BB451" s="215"/>
    </row>
    <row r="452" s="132" customFormat="1" customHeight="1" spans="1:54">
      <c r="A452" s="212"/>
      <c r="M452" s="213"/>
      <c r="N452" s="214"/>
      <c r="R452" s="215"/>
      <c r="S452" s="216"/>
      <c r="T452" s="212"/>
      <c r="U452" s="216"/>
      <c r="V452" s="215"/>
      <c r="X452" s="215"/>
      <c r="AB452" s="215"/>
      <c r="AH452" s="215"/>
      <c r="AK452" s="173"/>
      <c r="AP452" s="320"/>
      <c r="AQ452" s="215"/>
      <c r="AR452" s="215"/>
      <c r="AS452" s="215"/>
      <c r="AT452" s="215"/>
      <c r="AU452" s="215"/>
      <c r="AV452" s="215"/>
      <c r="AW452" s="215"/>
      <c r="AX452" s="215"/>
      <c r="AY452" s="215"/>
      <c r="AZ452" s="215"/>
      <c r="BB452" s="215"/>
    </row>
    <row r="453" s="132" customFormat="1" customHeight="1" spans="1:54">
      <c r="A453" s="212"/>
      <c r="M453" s="213"/>
      <c r="N453" s="214"/>
      <c r="R453" s="215"/>
      <c r="S453" s="216"/>
      <c r="T453" s="212"/>
      <c r="U453" s="216"/>
      <c r="V453" s="215"/>
      <c r="X453" s="215"/>
      <c r="AB453" s="215"/>
      <c r="AH453" s="215"/>
      <c r="AK453" s="173"/>
      <c r="AP453" s="320"/>
      <c r="AQ453" s="215"/>
      <c r="AR453" s="215"/>
      <c r="AS453" s="215"/>
      <c r="AT453" s="215"/>
      <c r="AU453" s="215"/>
      <c r="AV453" s="215"/>
      <c r="AW453" s="215"/>
      <c r="AX453" s="215"/>
      <c r="AY453" s="215"/>
      <c r="AZ453" s="215"/>
      <c r="BB453" s="215"/>
    </row>
    <row r="454" s="132" customFormat="1" customHeight="1" spans="1:54">
      <c r="A454" s="212"/>
      <c r="M454" s="213"/>
      <c r="N454" s="214"/>
      <c r="R454" s="215"/>
      <c r="S454" s="216"/>
      <c r="T454" s="212"/>
      <c r="U454" s="216"/>
      <c r="V454" s="215"/>
      <c r="X454" s="215"/>
      <c r="AB454" s="215"/>
      <c r="AH454" s="215"/>
      <c r="AK454" s="173"/>
      <c r="AP454" s="320"/>
      <c r="AQ454" s="215"/>
      <c r="AR454" s="215"/>
      <c r="AS454" s="215"/>
      <c r="AT454" s="215"/>
      <c r="AU454" s="215"/>
      <c r="AV454" s="215"/>
      <c r="AW454" s="215"/>
      <c r="AX454" s="215"/>
      <c r="AY454" s="215"/>
      <c r="AZ454" s="215"/>
      <c r="BB454" s="215"/>
    </row>
    <row r="455" s="132" customFormat="1" customHeight="1" spans="1:54">
      <c r="A455" s="212"/>
      <c r="M455" s="213"/>
      <c r="N455" s="214"/>
      <c r="R455" s="215"/>
      <c r="S455" s="216"/>
      <c r="T455" s="212"/>
      <c r="U455" s="216"/>
      <c r="V455" s="215"/>
      <c r="X455" s="215"/>
      <c r="AB455" s="215"/>
      <c r="AH455" s="215"/>
      <c r="AK455" s="173"/>
      <c r="AP455" s="320"/>
      <c r="AQ455" s="215"/>
      <c r="AR455" s="215"/>
      <c r="AS455" s="215"/>
      <c r="AT455" s="215"/>
      <c r="AU455" s="215"/>
      <c r="AV455" s="215"/>
      <c r="AW455" s="215"/>
      <c r="AX455" s="215"/>
      <c r="AY455" s="215"/>
      <c r="AZ455" s="215"/>
      <c r="BB455" s="215"/>
    </row>
    <row r="456" s="132" customFormat="1" customHeight="1" spans="1:54">
      <c r="A456" s="212"/>
      <c r="M456" s="213"/>
      <c r="N456" s="214"/>
      <c r="R456" s="215"/>
      <c r="S456" s="216"/>
      <c r="T456" s="212"/>
      <c r="U456" s="216"/>
      <c r="V456" s="215"/>
      <c r="X456" s="215"/>
      <c r="AB456" s="215"/>
      <c r="AH456" s="215"/>
      <c r="AK456" s="173"/>
      <c r="AP456" s="320"/>
      <c r="AQ456" s="215"/>
      <c r="AR456" s="215"/>
      <c r="AS456" s="215"/>
      <c r="AT456" s="215"/>
      <c r="AU456" s="215"/>
      <c r="AV456" s="215"/>
      <c r="AW456" s="215"/>
      <c r="AX456" s="215"/>
      <c r="AY456" s="215"/>
      <c r="AZ456" s="215"/>
      <c r="BB456" s="215"/>
    </row>
    <row r="457" s="132" customFormat="1" customHeight="1" spans="1:54">
      <c r="A457" s="212"/>
      <c r="M457" s="213"/>
      <c r="N457" s="214"/>
      <c r="R457" s="215"/>
      <c r="S457" s="216"/>
      <c r="T457" s="212"/>
      <c r="U457" s="216"/>
      <c r="V457" s="215"/>
      <c r="X457" s="215"/>
      <c r="AB457" s="215"/>
      <c r="AH457" s="215"/>
      <c r="AK457" s="173"/>
      <c r="AP457" s="320"/>
      <c r="AQ457" s="215"/>
      <c r="AR457" s="215"/>
      <c r="AS457" s="215"/>
      <c r="AT457" s="215"/>
      <c r="AU457" s="215"/>
      <c r="AV457" s="215"/>
      <c r="AW457" s="215"/>
      <c r="AX457" s="215"/>
      <c r="AY457" s="215"/>
      <c r="AZ457" s="215"/>
      <c r="BB457" s="215"/>
    </row>
  </sheetData>
  <autoFilter xmlns:etc="http://www.wps.cn/officeDocument/2017/etCustomData" ref="A2:BZ446" etc:filterBottomFollowUsedRange="0">
    <extLst/>
  </autoFilter>
  <sortState ref="BT2">
    <sortCondition ref="BT2"/>
  </sortState>
  <mergeCells count="61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R2:BR3"/>
    <mergeCell ref="BT2:BT3"/>
    <mergeCell ref="BU2:BU3"/>
    <mergeCell ref="BY2:BY3"/>
    <mergeCell ref="BV2:BX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02"/>
  <sheetViews>
    <sheetView workbookViewId="0">
      <pane ySplit="3" topLeftCell="A51" activePane="bottomLeft" state="frozen"/>
      <selection/>
      <selection pane="bottomLeft" activeCell="P63" sqref="P63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2" width="12.125" style="58" customWidth="1"/>
    <col min="13" max="13" width="17.625" style="58" customWidth="1"/>
    <col min="14" max="17" width="12.125" style="58" customWidth="1"/>
    <col min="18" max="18" width="13.375" style="58" customWidth="1"/>
    <col min="19" max="21" width="12.125" style="58" customWidth="1"/>
    <col min="22" max="33" width="13.125" style="58" customWidth="1"/>
    <col min="34" max="34" width="15.875" style="168" customWidth="1"/>
    <col min="35" max="35" width="14.375" style="58" customWidth="1"/>
    <col min="36" max="36" width="17" style="58" customWidth="1"/>
    <col min="37" max="37" width="16.375" style="169" customWidth="1"/>
    <col min="38" max="38" width="13.875" style="58" customWidth="1"/>
    <col min="39" max="39" width="26.5" style="58" customWidth="1"/>
    <col min="40" max="40" width="19.875" style="58" customWidth="1"/>
    <col min="41" max="41" width="10.5" style="58" customWidth="1"/>
    <col min="42" max="42" width="11.75" style="170" customWidth="1"/>
    <col min="43" max="43" width="12.125" style="58" customWidth="1"/>
    <col min="44" max="44" width="15.375" style="58" customWidth="1"/>
    <col min="45" max="50" width="11.375" style="58" customWidth="1"/>
    <col min="51" max="51" width="13" style="58" customWidth="1"/>
    <col min="52" max="52" width="15.875" style="58"/>
    <col min="53" max="58" width="9" style="58"/>
    <col min="59" max="59" width="25.125" style="58" customWidth="1"/>
    <col min="60" max="60" width="9" style="58"/>
    <col min="61" max="61" width="9.375" style="58"/>
    <col min="62" max="16384" width="9" style="58"/>
  </cols>
  <sheetData>
    <row r="1" s="132" customFormat="1" customHeight="1" spans="1:42">
      <c r="A1" s="171" t="s">
        <v>4794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86"/>
      <c r="AI1" s="171"/>
      <c r="AJ1" s="171"/>
      <c r="AK1" s="187"/>
      <c r="AL1" s="171"/>
      <c r="AM1" s="171"/>
      <c r="AN1" s="171"/>
      <c r="AP1" s="192"/>
    </row>
    <row r="2" s="133" customFormat="1" customHeight="1" spans="1:58">
      <c r="A2" s="139" t="s">
        <v>21</v>
      </c>
      <c r="B2" s="133" t="s">
        <v>422</v>
      </c>
      <c r="C2" s="140" t="s">
        <v>423</v>
      </c>
      <c r="D2" s="133" t="s">
        <v>424</v>
      </c>
      <c r="F2" s="133" t="s">
        <v>426</v>
      </c>
      <c r="G2" s="133" t="s">
        <v>427</v>
      </c>
      <c r="H2" s="133" t="s">
        <v>425</v>
      </c>
      <c r="I2" s="133" t="s">
        <v>429</v>
      </c>
      <c r="J2" s="141" t="s">
        <v>1169</v>
      </c>
      <c r="K2" s="133" t="s">
        <v>431</v>
      </c>
      <c r="L2" s="133" t="s">
        <v>432</v>
      </c>
      <c r="M2" s="142" t="s">
        <v>433</v>
      </c>
      <c r="N2" s="143" t="s">
        <v>434</v>
      </c>
      <c r="O2" s="144" t="s">
        <v>436</v>
      </c>
      <c r="P2" s="145"/>
      <c r="Q2" s="145"/>
      <c r="R2" s="143" t="s">
        <v>437</v>
      </c>
      <c r="S2" s="154" t="s">
        <v>438</v>
      </c>
      <c r="T2" s="139" t="s">
        <v>439</v>
      </c>
      <c r="U2" s="154" t="s">
        <v>440</v>
      </c>
      <c r="V2" s="142" t="s">
        <v>441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88" t="s">
        <v>442</v>
      </c>
      <c r="AI2" s="140" t="s">
        <v>39</v>
      </c>
      <c r="AJ2" s="133" t="s">
        <v>444</v>
      </c>
      <c r="AK2" s="144" t="s">
        <v>42</v>
      </c>
      <c r="AL2" s="133" t="s">
        <v>445</v>
      </c>
      <c r="AM2" s="133" t="s">
        <v>30</v>
      </c>
      <c r="AN2" s="133" t="s">
        <v>1171</v>
      </c>
      <c r="AO2" s="158" t="s">
        <v>455</v>
      </c>
      <c r="AP2" s="193" t="s">
        <v>456</v>
      </c>
      <c r="AQ2" s="194" t="s">
        <v>3215</v>
      </c>
      <c r="AR2" s="194" t="s">
        <v>3216</v>
      </c>
      <c r="AS2" s="194" t="s">
        <v>3217</v>
      </c>
      <c r="AT2" s="194" t="s">
        <v>3218</v>
      </c>
      <c r="AU2" s="194" t="s">
        <v>4795</v>
      </c>
      <c r="AV2" s="194" t="s">
        <v>4796</v>
      </c>
      <c r="AW2" s="194" t="s">
        <v>4797</v>
      </c>
      <c r="AX2" s="194" t="s">
        <v>4798</v>
      </c>
      <c r="AY2" s="161"/>
      <c r="AZ2" s="133" t="s">
        <v>475</v>
      </c>
      <c r="BB2" s="133" t="s">
        <v>149</v>
      </c>
      <c r="BC2" s="133" t="s">
        <v>476</v>
      </c>
      <c r="BD2" s="201"/>
      <c r="BE2" s="201"/>
      <c r="BF2" s="201"/>
    </row>
    <row r="3" s="133" customFormat="1" customHeight="1" spans="1:58">
      <c r="A3" s="139"/>
      <c r="C3" s="140"/>
      <c r="E3" s="133" t="s">
        <v>1197</v>
      </c>
      <c r="J3" s="144"/>
      <c r="M3" s="142"/>
      <c r="N3" s="143"/>
      <c r="O3" s="144" t="s">
        <v>478</v>
      </c>
      <c r="P3" s="145" t="s">
        <v>1198</v>
      </c>
      <c r="Q3" s="145" t="s">
        <v>1199</v>
      </c>
      <c r="R3" s="142"/>
      <c r="S3" s="154"/>
      <c r="T3" s="139"/>
      <c r="U3" s="154"/>
      <c r="V3" s="142" t="s">
        <v>480</v>
      </c>
      <c r="W3" s="133" t="s">
        <v>481</v>
      </c>
      <c r="X3" s="142" t="s">
        <v>482</v>
      </c>
      <c r="Y3" s="156" t="s">
        <v>481</v>
      </c>
      <c r="Z3" s="133" t="s">
        <v>483</v>
      </c>
      <c r="AA3" s="144" t="s">
        <v>481</v>
      </c>
      <c r="AB3" s="142" t="s">
        <v>484</v>
      </c>
      <c r="AC3" s="133" t="s">
        <v>481</v>
      </c>
      <c r="AD3" s="133" t="s">
        <v>485</v>
      </c>
      <c r="AE3" s="133" t="s">
        <v>481</v>
      </c>
      <c r="AF3" s="133" t="s">
        <v>486</v>
      </c>
      <c r="AG3" s="133" t="s">
        <v>481</v>
      </c>
      <c r="AH3" s="188"/>
      <c r="AK3" s="144"/>
      <c r="AO3" s="158"/>
      <c r="AP3" s="193"/>
      <c r="AQ3" s="194"/>
      <c r="AR3" s="194"/>
      <c r="AS3" s="194"/>
      <c r="AT3" s="194"/>
      <c r="AU3" s="194"/>
      <c r="AV3" s="194"/>
      <c r="AW3" s="194"/>
      <c r="AX3" s="194"/>
      <c r="AY3" s="161"/>
      <c r="BD3" s="201"/>
      <c r="BE3" s="201"/>
      <c r="BF3" s="201"/>
    </row>
    <row r="4" s="133" customFormat="1" customHeight="1" spans="1:50">
      <c r="A4" s="139"/>
      <c r="C4" s="140"/>
      <c r="I4" s="172" t="s">
        <v>4799</v>
      </c>
      <c r="J4" s="173">
        <v>30.45</v>
      </c>
      <c r="M4" s="142"/>
      <c r="N4" s="143"/>
      <c r="O4" s="144"/>
      <c r="P4" s="145"/>
      <c r="Q4" s="145"/>
      <c r="R4" s="142"/>
      <c r="S4" s="154"/>
      <c r="T4" s="139"/>
      <c r="U4" s="154"/>
      <c r="V4" s="142"/>
      <c r="X4" s="142"/>
      <c r="Y4" s="156"/>
      <c r="AA4" s="144"/>
      <c r="AB4" s="142"/>
      <c r="AH4" s="188"/>
      <c r="AK4" s="144"/>
      <c r="AO4" s="195"/>
      <c r="AP4" s="196"/>
      <c r="AQ4" s="197"/>
      <c r="AR4" s="197"/>
      <c r="AS4" s="197"/>
      <c r="AT4" s="197"/>
      <c r="AU4" s="197"/>
      <c r="AV4" s="197"/>
      <c r="AW4" s="197"/>
      <c r="AX4" s="197"/>
    </row>
    <row r="5" s="133" customFormat="1" customHeight="1" spans="1:50">
      <c r="A5" s="139"/>
      <c r="C5" s="140"/>
      <c r="I5" s="172" t="s">
        <v>4800</v>
      </c>
      <c r="J5" s="173">
        <v>17.74</v>
      </c>
      <c r="M5" s="142"/>
      <c r="N5" s="143"/>
      <c r="O5" s="144"/>
      <c r="P5" s="145"/>
      <c r="Q5" s="145"/>
      <c r="R5" s="142"/>
      <c r="S5" s="154"/>
      <c r="T5" s="139"/>
      <c r="U5" s="154"/>
      <c r="V5" s="142"/>
      <c r="X5" s="142"/>
      <c r="Y5" s="156"/>
      <c r="AA5" s="144"/>
      <c r="AB5" s="142"/>
      <c r="AH5" s="188"/>
      <c r="AK5" s="144"/>
      <c r="AO5" s="195"/>
      <c r="AP5" s="196"/>
      <c r="AQ5" s="197"/>
      <c r="AR5" s="197"/>
      <c r="AS5" s="197"/>
      <c r="AT5" s="197"/>
      <c r="AU5" s="197"/>
      <c r="AV5" s="197"/>
      <c r="AW5" s="197"/>
      <c r="AX5" s="197"/>
    </row>
    <row r="6" s="133" customFormat="1" customHeight="1" spans="1:50">
      <c r="A6" s="139"/>
      <c r="C6" s="140"/>
      <c r="I6" s="172" t="s">
        <v>4801</v>
      </c>
      <c r="J6" s="173">
        <v>11.53</v>
      </c>
      <c r="M6" s="142"/>
      <c r="N6" s="143"/>
      <c r="O6" s="144"/>
      <c r="P6" s="145"/>
      <c r="Q6" s="145"/>
      <c r="R6" s="142"/>
      <c r="S6" s="154"/>
      <c r="T6" s="139"/>
      <c r="U6" s="154"/>
      <c r="V6" s="142"/>
      <c r="X6" s="142"/>
      <c r="Y6" s="156"/>
      <c r="AA6" s="144"/>
      <c r="AB6" s="142"/>
      <c r="AH6" s="188"/>
      <c r="AK6" s="144"/>
      <c r="AO6" s="195"/>
      <c r="AP6" s="196"/>
      <c r="AQ6" s="197"/>
      <c r="AR6" s="197"/>
      <c r="AS6" s="197"/>
      <c r="AT6" s="197"/>
      <c r="AU6" s="197"/>
      <c r="AV6" s="197"/>
      <c r="AW6" s="197"/>
      <c r="AX6" s="197"/>
    </row>
    <row r="7" s="133" customFormat="1" customHeight="1" spans="1:50">
      <c r="A7" s="139"/>
      <c r="C7" s="140"/>
      <c r="I7" s="172" t="s">
        <v>4802</v>
      </c>
      <c r="J7" s="173">
        <v>19.52</v>
      </c>
      <c r="M7" s="142"/>
      <c r="N7" s="143"/>
      <c r="O7" s="144"/>
      <c r="P7" s="145"/>
      <c r="Q7" s="145"/>
      <c r="R7" s="142"/>
      <c r="S7" s="154"/>
      <c r="T7" s="139"/>
      <c r="U7" s="154"/>
      <c r="V7" s="142"/>
      <c r="X7" s="142"/>
      <c r="Y7" s="156"/>
      <c r="AA7" s="144"/>
      <c r="AB7" s="142"/>
      <c r="AH7" s="188"/>
      <c r="AK7" s="144"/>
      <c r="AO7" s="195"/>
      <c r="AP7" s="196"/>
      <c r="AQ7" s="197"/>
      <c r="AR7" s="197"/>
      <c r="AS7" s="197"/>
      <c r="AT7" s="197"/>
      <c r="AU7" s="197"/>
      <c r="AV7" s="197"/>
      <c r="AW7" s="197"/>
      <c r="AX7" s="197"/>
    </row>
    <row r="8" s="133" customFormat="1" customHeight="1" spans="1:50">
      <c r="A8" s="139"/>
      <c r="C8" s="140"/>
      <c r="I8" s="172" t="s">
        <v>4803</v>
      </c>
      <c r="J8" s="173">
        <v>71.65</v>
      </c>
      <c r="M8" s="142"/>
      <c r="N8" s="143"/>
      <c r="O8" s="144"/>
      <c r="P8" s="145"/>
      <c r="Q8" s="145"/>
      <c r="R8" s="142"/>
      <c r="S8" s="154"/>
      <c r="T8" s="139"/>
      <c r="U8" s="154"/>
      <c r="V8" s="142"/>
      <c r="X8" s="142"/>
      <c r="Y8" s="156"/>
      <c r="AA8" s="144"/>
      <c r="AB8" s="142"/>
      <c r="AH8" s="188"/>
      <c r="AK8" s="144"/>
      <c r="AO8" s="195"/>
      <c r="AP8" s="196"/>
      <c r="AQ8" s="197"/>
      <c r="AR8" s="197"/>
      <c r="AS8" s="197"/>
      <c r="AT8" s="197"/>
      <c r="AU8" s="197"/>
      <c r="AV8" s="197"/>
      <c r="AW8" s="197"/>
      <c r="AX8" s="197"/>
    </row>
    <row r="9" s="133" customFormat="1" customHeight="1" spans="1:50">
      <c r="A9" s="139"/>
      <c r="C9" s="140"/>
      <c r="I9" s="172" t="s">
        <v>4804</v>
      </c>
      <c r="J9" s="173">
        <v>68.35</v>
      </c>
      <c r="M9" s="142"/>
      <c r="N9" s="143"/>
      <c r="O9" s="144"/>
      <c r="P9" s="145"/>
      <c r="Q9" s="145"/>
      <c r="R9" s="142"/>
      <c r="S9" s="154"/>
      <c r="T9" s="139"/>
      <c r="U9" s="154"/>
      <c r="V9" s="142"/>
      <c r="X9" s="142"/>
      <c r="Y9" s="156"/>
      <c r="AA9" s="144"/>
      <c r="AB9" s="142"/>
      <c r="AH9" s="188"/>
      <c r="AK9" s="144"/>
      <c r="AO9" s="195"/>
      <c r="AP9" s="196"/>
      <c r="AQ9" s="197"/>
      <c r="AR9" s="197"/>
      <c r="AS9" s="197"/>
      <c r="AT9" s="197"/>
      <c r="AU9" s="197"/>
      <c r="AV9" s="197"/>
      <c r="AW9" s="197"/>
      <c r="AX9" s="197"/>
    </row>
    <row r="10" s="133" customFormat="1" customHeight="1" spans="1:50">
      <c r="A10" s="139"/>
      <c r="C10" s="140"/>
      <c r="I10" s="172" t="s">
        <v>4805</v>
      </c>
      <c r="J10" s="173">
        <v>21.89</v>
      </c>
      <c r="M10" s="142"/>
      <c r="N10" s="143"/>
      <c r="O10" s="144"/>
      <c r="P10" s="145"/>
      <c r="Q10" s="145"/>
      <c r="R10" s="142"/>
      <c r="S10" s="154"/>
      <c r="T10" s="139"/>
      <c r="U10" s="154"/>
      <c r="V10" s="142"/>
      <c r="X10" s="142"/>
      <c r="Y10" s="156"/>
      <c r="AA10" s="144"/>
      <c r="AB10" s="142"/>
      <c r="AH10" s="188"/>
      <c r="AK10" s="144"/>
      <c r="AO10" s="195"/>
      <c r="AP10" s="196"/>
      <c r="AQ10" s="197"/>
      <c r="AR10" s="197"/>
      <c r="AS10" s="197"/>
      <c r="AT10" s="197"/>
      <c r="AU10" s="197"/>
      <c r="AV10" s="197"/>
      <c r="AW10" s="197"/>
      <c r="AX10" s="197"/>
    </row>
    <row r="11" s="133" customFormat="1" customHeight="1" spans="1:50">
      <c r="A11" s="139"/>
      <c r="C11" s="140"/>
      <c r="I11" s="172" t="s">
        <v>4806</v>
      </c>
      <c r="J11" s="173">
        <v>10.84</v>
      </c>
      <c r="M11" s="142"/>
      <c r="N11" s="143"/>
      <c r="O11" s="144"/>
      <c r="P11" s="145"/>
      <c r="Q11" s="145"/>
      <c r="R11" s="142"/>
      <c r="S11" s="154"/>
      <c r="T11" s="139"/>
      <c r="U11" s="154"/>
      <c r="V11" s="142"/>
      <c r="X11" s="142"/>
      <c r="Y11" s="156"/>
      <c r="AA11" s="144"/>
      <c r="AB11" s="142"/>
      <c r="AH11" s="188"/>
      <c r="AK11" s="144"/>
      <c r="AO11" s="195"/>
      <c r="AP11" s="196"/>
      <c r="AQ11" s="197"/>
      <c r="AR11" s="197"/>
      <c r="AS11" s="197"/>
      <c r="AT11" s="197"/>
      <c r="AU11" s="197"/>
      <c r="AV11" s="197"/>
      <c r="AW11" s="197"/>
      <c r="AX11" s="197"/>
    </row>
    <row r="12" s="133" customFormat="1" customHeight="1" spans="1:50">
      <c r="A12" s="139"/>
      <c r="C12" s="140"/>
      <c r="I12" s="172" t="s">
        <v>4807</v>
      </c>
      <c r="J12" s="173">
        <v>11.24</v>
      </c>
      <c r="M12" s="142"/>
      <c r="N12" s="143"/>
      <c r="O12" s="144"/>
      <c r="P12" s="145"/>
      <c r="Q12" s="145"/>
      <c r="R12" s="142"/>
      <c r="S12" s="154"/>
      <c r="T12" s="139"/>
      <c r="U12" s="154"/>
      <c r="V12" s="142"/>
      <c r="X12" s="142"/>
      <c r="Y12" s="156"/>
      <c r="AA12" s="144"/>
      <c r="AB12" s="142"/>
      <c r="AH12" s="188"/>
      <c r="AK12" s="144"/>
      <c r="AO12" s="195"/>
      <c r="AP12" s="196"/>
      <c r="AQ12" s="197"/>
      <c r="AR12" s="197"/>
      <c r="AS12" s="197"/>
      <c r="AT12" s="197"/>
      <c r="AU12" s="197"/>
      <c r="AV12" s="197"/>
      <c r="AW12" s="197"/>
      <c r="AX12" s="197"/>
    </row>
    <row r="13" s="133" customFormat="1" customHeight="1" spans="1:50">
      <c r="A13" s="139"/>
      <c r="C13" s="140"/>
      <c r="I13" s="172" t="s">
        <v>4808</v>
      </c>
      <c r="J13" s="173">
        <v>27.78</v>
      </c>
      <c r="M13" s="142"/>
      <c r="N13" s="143"/>
      <c r="O13" s="144"/>
      <c r="P13" s="145"/>
      <c r="Q13" s="145"/>
      <c r="R13" s="142"/>
      <c r="S13" s="154"/>
      <c r="T13" s="139"/>
      <c r="U13" s="154"/>
      <c r="V13" s="142"/>
      <c r="X13" s="142"/>
      <c r="Y13" s="156"/>
      <c r="AA13" s="144"/>
      <c r="AB13" s="142"/>
      <c r="AH13" s="188"/>
      <c r="AK13" s="144"/>
      <c r="AO13" s="195"/>
      <c r="AP13" s="196"/>
      <c r="AQ13" s="197"/>
      <c r="AR13" s="197"/>
      <c r="AS13" s="197"/>
      <c r="AT13" s="197"/>
      <c r="AU13" s="197"/>
      <c r="AV13" s="197"/>
      <c r="AW13" s="197"/>
      <c r="AX13" s="197"/>
    </row>
    <row r="14" s="133" customFormat="1" customHeight="1" spans="1:50">
      <c r="A14" s="139"/>
      <c r="C14" s="140"/>
      <c r="I14" s="172" t="s">
        <v>4809</v>
      </c>
      <c r="J14" s="173">
        <v>36.68</v>
      </c>
      <c r="M14" s="142"/>
      <c r="N14" s="143"/>
      <c r="O14" s="144"/>
      <c r="P14" s="145"/>
      <c r="Q14" s="145"/>
      <c r="R14" s="142"/>
      <c r="S14" s="154"/>
      <c r="T14" s="139"/>
      <c r="U14" s="154"/>
      <c r="V14" s="142"/>
      <c r="X14" s="142"/>
      <c r="Y14" s="156"/>
      <c r="AA14" s="144"/>
      <c r="AB14" s="142"/>
      <c r="AH14" s="188"/>
      <c r="AK14" s="144"/>
      <c r="AO14" s="195"/>
      <c r="AP14" s="196"/>
      <c r="AQ14" s="197"/>
      <c r="AR14" s="197"/>
      <c r="AS14" s="197"/>
      <c r="AT14" s="197"/>
      <c r="AU14" s="197"/>
      <c r="AV14" s="197"/>
      <c r="AW14" s="197"/>
      <c r="AX14" s="197"/>
    </row>
    <row r="15" s="133" customFormat="1" customHeight="1" spans="1:50">
      <c r="A15" s="139"/>
      <c r="C15" s="140"/>
      <c r="I15" s="172" t="s">
        <v>4810</v>
      </c>
      <c r="J15" s="173">
        <v>63.71</v>
      </c>
      <c r="M15" s="142"/>
      <c r="N15" s="143"/>
      <c r="O15" s="144"/>
      <c r="P15" s="145"/>
      <c r="Q15" s="145"/>
      <c r="R15" s="142"/>
      <c r="S15" s="154"/>
      <c r="T15" s="139"/>
      <c r="U15" s="154"/>
      <c r="V15" s="142"/>
      <c r="X15" s="142"/>
      <c r="Y15" s="156"/>
      <c r="AA15" s="144"/>
      <c r="AB15" s="142"/>
      <c r="AH15" s="188"/>
      <c r="AK15" s="144"/>
      <c r="AO15" s="195"/>
      <c r="AP15" s="196"/>
      <c r="AQ15" s="197"/>
      <c r="AR15" s="197"/>
      <c r="AS15" s="197"/>
      <c r="AT15" s="197"/>
      <c r="AU15" s="197"/>
      <c r="AV15" s="197"/>
      <c r="AW15" s="197"/>
      <c r="AX15" s="197"/>
    </row>
    <row r="16" s="133" customFormat="1" customHeight="1" spans="1:50">
      <c r="A16" s="139"/>
      <c r="C16" s="140"/>
      <c r="I16" s="172" t="s">
        <v>4811</v>
      </c>
      <c r="J16" s="173">
        <v>63.71</v>
      </c>
      <c r="M16" s="142"/>
      <c r="N16" s="143"/>
      <c r="O16" s="144"/>
      <c r="P16" s="145"/>
      <c r="Q16" s="145"/>
      <c r="R16" s="142"/>
      <c r="S16" s="154"/>
      <c r="T16" s="139"/>
      <c r="U16" s="154"/>
      <c r="V16" s="142"/>
      <c r="X16" s="142"/>
      <c r="Y16" s="156"/>
      <c r="AA16" s="144"/>
      <c r="AB16" s="142"/>
      <c r="AH16" s="188"/>
      <c r="AK16" s="144"/>
      <c r="AO16" s="195"/>
      <c r="AP16" s="196"/>
      <c r="AQ16" s="197"/>
      <c r="AR16" s="197"/>
      <c r="AS16" s="197"/>
      <c r="AT16" s="197"/>
      <c r="AU16" s="197"/>
      <c r="AV16" s="197"/>
      <c r="AW16" s="197"/>
      <c r="AX16" s="197"/>
    </row>
    <row r="17" s="133" customFormat="1" customHeight="1" spans="1:50">
      <c r="A17" s="139"/>
      <c r="C17" s="140"/>
      <c r="I17" s="172" t="s">
        <v>4812</v>
      </c>
      <c r="J17" s="173">
        <v>63.71</v>
      </c>
      <c r="M17" s="142"/>
      <c r="N17" s="143"/>
      <c r="O17" s="144"/>
      <c r="P17" s="145"/>
      <c r="Q17" s="145"/>
      <c r="R17" s="142"/>
      <c r="S17" s="154"/>
      <c r="T17" s="139"/>
      <c r="U17" s="154"/>
      <c r="V17" s="142"/>
      <c r="X17" s="142"/>
      <c r="Y17" s="156"/>
      <c r="AA17" s="144"/>
      <c r="AB17" s="142"/>
      <c r="AH17" s="188"/>
      <c r="AK17" s="144"/>
      <c r="AO17" s="195"/>
      <c r="AP17" s="196"/>
      <c r="AQ17" s="197"/>
      <c r="AR17" s="197"/>
      <c r="AS17" s="197"/>
      <c r="AT17" s="197"/>
      <c r="AU17" s="197"/>
      <c r="AV17" s="197"/>
      <c r="AW17" s="197"/>
      <c r="AX17" s="197"/>
    </row>
    <row r="18" s="133" customFormat="1" customHeight="1" spans="1:50">
      <c r="A18" s="139"/>
      <c r="C18" s="140"/>
      <c r="I18" s="172" t="s">
        <v>4813</v>
      </c>
      <c r="J18" s="173">
        <v>63.97</v>
      </c>
      <c r="M18" s="142"/>
      <c r="N18" s="143"/>
      <c r="O18" s="144"/>
      <c r="P18" s="145"/>
      <c r="Q18" s="145"/>
      <c r="R18" s="142"/>
      <c r="S18" s="154"/>
      <c r="T18" s="139"/>
      <c r="U18" s="154"/>
      <c r="V18" s="142"/>
      <c r="X18" s="142"/>
      <c r="Y18" s="156"/>
      <c r="AA18" s="144"/>
      <c r="AB18" s="142"/>
      <c r="AH18" s="188"/>
      <c r="AK18" s="144"/>
      <c r="AO18" s="195"/>
      <c r="AP18" s="196"/>
      <c r="AQ18" s="197"/>
      <c r="AR18" s="197"/>
      <c r="AS18" s="197"/>
      <c r="AT18" s="197"/>
      <c r="AU18" s="197"/>
      <c r="AV18" s="197"/>
      <c r="AW18" s="197"/>
      <c r="AX18" s="197"/>
    </row>
    <row r="19" s="133" customFormat="1" customHeight="1" spans="1:50">
      <c r="A19" s="139"/>
      <c r="C19" s="140"/>
      <c r="I19" s="172" t="s">
        <v>4814</v>
      </c>
      <c r="J19" s="173">
        <v>36.68</v>
      </c>
      <c r="M19" s="142"/>
      <c r="N19" s="143"/>
      <c r="O19" s="144"/>
      <c r="P19" s="145"/>
      <c r="Q19" s="145"/>
      <c r="R19" s="142"/>
      <c r="S19" s="154"/>
      <c r="T19" s="139"/>
      <c r="U19" s="154"/>
      <c r="V19" s="142"/>
      <c r="X19" s="142"/>
      <c r="Y19" s="156"/>
      <c r="AA19" s="144"/>
      <c r="AB19" s="142"/>
      <c r="AH19" s="188"/>
      <c r="AK19" s="144"/>
      <c r="AO19" s="195"/>
      <c r="AP19" s="196"/>
      <c r="AQ19" s="197"/>
      <c r="AR19" s="197"/>
      <c r="AS19" s="197"/>
      <c r="AT19" s="197"/>
      <c r="AU19" s="197"/>
      <c r="AV19" s="197"/>
      <c r="AW19" s="197"/>
      <c r="AX19" s="197"/>
    </row>
    <row r="20" s="133" customFormat="1" customHeight="1" spans="1:50">
      <c r="A20" s="139"/>
      <c r="C20" s="140"/>
      <c r="I20" s="172" t="s">
        <v>4815</v>
      </c>
      <c r="J20" s="173">
        <v>26.83</v>
      </c>
      <c r="M20" s="142"/>
      <c r="N20" s="143"/>
      <c r="O20" s="144"/>
      <c r="P20" s="145"/>
      <c r="Q20" s="145"/>
      <c r="R20" s="142"/>
      <c r="S20" s="154"/>
      <c r="T20" s="139"/>
      <c r="U20" s="154"/>
      <c r="V20" s="142"/>
      <c r="X20" s="142"/>
      <c r="Y20" s="156"/>
      <c r="AA20" s="144"/>
      <c r="AB20" s="142"/>
      <c r="AH20" s="188"/>
      <c r="AK20" s="144"/>
      <c r="AO20" s="195"/>
      <c r="AP20" s="196"/>
      <c r="AQ20" s="197"/>
      <c r="AR20" s="197"/>
      <c r="AS20" s="197"/>
      <c r="AT20" s="197"/>
      <c r="AU20" s="197"/>
      <c r="AV20" s="197"/>
      <c r="AW20" s="197"/>
      <c r="AX20" s="197"/>
    </row>
    <row r="21" s="133" customFormat="1" customHeight="1" spans="1:50">
      <c r="A21" s="139"/>
      <c r="C21" s="140"/>
      <c r="I21" s="172" t="s">
        <v>4816</v>
      </c>
      <c r="J21" s="173">
        <v>37.95</v>
      </c>
      <c r="M21" s="142"/>
      <c r="N21" s="143"/>
      <c r="O21" s="144"/>
      <c r="P21" s="145"/>
      <c r="Q21" s="145"/>
      <c r="R21" s="142"/>
      <c r="S21" s="154"/>
      <c r="T21" s="139"/>
      <c r="U21" s="154"/>
      <c r="V21" s="142"/>
      <c r="X21" s="142"/>
      <c r="Y21" s="156"/>
      <c r="AA21" s="144"/>
      <c r="AB21" s="142"/>
      <c r="AH21" s="188"/>
      <c r="AK21" s="144"/>
      <c r="AO21" s="195"/>
      <c r="AP21" s="196"/>
      <c r="AQ21" s="197"/>
      <c r="AR21" s="197"/>
      <c r="AS21" s="197"/>
      <c r="AT21" s="197"/>
      <c r="AU21" s="197"/>
      <c r="AV21" s="197"/>
      <c r="AW21" s="197"/>
      <c r="AX21" s="197"/>
    </row>
    <row r="22" s="133" customFormat="1" customHeight="1" spans="1:50">
      <c r="A22" s="139"/>
      <c r="C22" s="140"/>
      <c r="I22" s="172" t="s">
        <v>4817</v>
      </c>
      <c r="J22" s="173">
        <v>37.95</v>
      </c>
      <c r="M22" s="142"/>
      <c r="N22" s="143"/>
      <c r="O22" s="144"/>
      <c r="P22" s="145"/>
      <c r="Q22" s="145"/>
      <c r="R22" s="142"/>
      <c r="S22" s="154"/>
      <c r="T22" s="139"/>
      <c r="U22" s="154"/>
      <c r="V22" s="142"/>
      <c r="X22" s="142"/>
      <c r="Y22" s="156"/>
      <c r="AA22" s="144"/>
      <c r="AB22" s="142"/>
      <c r="AH22" s="188"/>
      <c r="AK22" s="144"/>
      <c r="AO22" s="195"/>
      <c r="AP22" s="196"/>
      <c r="AQ22" s="197"/>
      <c r="AR22" s="197"/>
      <c r="AS22" s="197"/>
      <c r="AT22" s="197"/>
      <c r="AU22" s="197"/>
      <c r="AV22" s="197"/>
      <c r="AW22" s="197"/>
      <c r="AX22" s="197"/>
    </row>
    <row r="23" s="133" customFormat="1" customHeight="1" spans="1:50">
      <c r="A23" s="139"/>
      <c r="C23" s="140"/>
      <c r="I23" s="172" t="s">
        <v>4818</v>
      </c>
      <c r="J23" s="173">
        <v>23.55</v>
      </c>
      <c r="M23" s="142"/>
      <c r="N23" s="143"/>
      <c r="O23" s="144"/>
      <c r="P23" s="145"/>
      <c r="Q23" s="145"/>
      <c r="R23" s="142"/>
      <c r="S23" s="154"/>
      <c r="T23" s="139"/>
      <c r="U23" s="154"/>
      <c r="V23" s="142"/>
      <c r="X23" s="142"/>
      <c r="Y23" s="156"/>
      <c r="AA23" s="144"/>
      <c r="AB23" s="142"/>
      <c r="AH23" s="188"/>
      <c r="AK23" s="144"/>
      <c r="AO23" s="195"/>
      <c r="AP23" s="196"/>
      <c r="AQ23" s="197"/>
      <c r="AR23" s="197"/>
      <c r="AS23" s="197"/>
      <c r="AT23" s="197"/>
      <c r="AU23" s="197"/>
      <c r="AV23" s="197"/>
      <c r="AW23" s="197"/>
      <c r="AX23" s="197"/>
    </row>
    <row r="24" s="135" customFormat="1" ht="35" customHeight="1" spans="1:55">
      <c r="A24" s="135">
        <v>1</v>
      </c>
      <c r="C24" s="155">
        <v>45434</v>
      </c>
      <c r="D24" s="135">
        <v>20240003043</v>
      </c>
      <c r="F24" s="846" t="s">
        <v>4819</v>
      </c>
      <c r="G24" s="164" t="s">
        <v>4820</v>
      </c>
      <c r="H24" s="834" t="s">
        <v>4821</v>
      </c>
      <c r="I24" s="174" t="s">
        <v>4822</v>
      </c>
      <c r="J24" s="175">
        <v>150.19</v>
      </c>
      <c r="K24" s="135">
        <v>150.19</v>
      </c>
      <c r="L24" s="135">
        <v>8200</v>
      </c>
      <c r="M24" s="176">
        <f>L24*K24</f>
        <v>1231558</v>
      </c>
      <c r="N24" s="135">
        <v>8200</v>
      </c>
      <c r="U24" s="135" t="s">
        <v>508</v>
      </c>
      <c r="V24" s="135">
        <v>20000</v>
      </c>
      <c r="W24" s="135" t="s">
        <v>843</v>
      </c>
      <c r="X24" s="135">
        <v>351558</v>
      </c>
      <c r="Y24" s="135" t="s">
        <v>632</v>
      </c>
      <c r="Z24" s="135">
        <v>860000</v>
      </c>
      <c r="AA24" s="135" t="s">
        <v>624</v>
      </c>
      <c r="AB24" s="135"/>
      <c r="AC24" s="135"/>
      <c r="AH24" s="189">
        <f>V24+X24+Z24+AB24+AD24+AF24</f>
        <v>1231558</v>
      </c>
      <c r="AK24" s="190">
        <f t="shared" ref="AK24:AK31" si="0">M24-AH24</f>
        <v>0</v>
      </c>
      <c r="AL24" s="135">
        <v>15199933931</v>
      </c>
      <c r="AO24" s="135">
        <f t="shared" ref="AO24:AO33" si="1">SUM(AQ24:AY24)</f>
        <v>1231558</v>
      </c>
      <c r="AP24" s="166">
        <f>0.7%+0.03%+0.08%</f>
        <v>0.0081</v>
      </c>
      <c r="AR24" s="135">
        <v>1231558</v>
      </c>
      <c r="BB24" s="135" t="s">
        <v>496</v>
      </c>
      <c r="BC24" s="135" t="s">
        <v>506</v>
      </c>
    </row>
    <row r="25" s="135" customFormat="1" customHeight="1" spans="1:54">
      <c r="A25" s="135">
        <v>2</v>
      </c>
      <c r="C25" s="155">
        <v>45516</v>
      </c>
      <c r="D25" s="135">
        <v>20240004628</v>
      </c>
      <c r="F25" s="834" t="s">
        <v>4823</v>
      </c>
      <c r="G25" s="135" t="s">
        <v>4824</v>
      </c>
      <c r="H25" s="834" t="s">
        <v>4825</v>
      </c>
      <c r="I25" s="174" t="s">
        <v>4826</v>
      </c>
      <c r="J25" s="175">
        <v>122.87</v>
      </c>
      <c r="K25" s="135">
        <v>122.87</v>
      </c>
      <c r="L25" s="135">
        <f>M25/K25</f>
        <v>7894.5226662326</v>
      </c>
      <c r="M25" s="135">
        <v>970000</v>
      </c>
      <c r="N25" s="135">
        <v>7894.52</v>
      </c>
      <c r="U25" s="135" t="s">
        <v>721</v>
      </c>
      <c r="V25" s="135">
        <v>20000</v>
      </c>
      <c r="W25" s="135" t="s">
        <v>4827</v>
      </c>
      <c r="X25" s="135">
        <v>250000</v>
      </c>
      <c r="Y25" s="135" t="s">
        <v>4052</v>
      </c>
      <c r="Z25" s="135">
        <v>700000</v>
      </c>
      <c r="AA25" s="135" t="s">
        <v>3832</v>
      </c>
      <c r="AH25" s="189">
        <f t="shared" ref="AH25:AH41" si="2">V25+X25+Z25+AB25+AD25+AF25</f>
        <v>970000</v>
      </c>
      <c r="AK25" s="190">
        <f t="shared" si="0"/>
        <v>0</v>
      </c>
      <c r="AL25" s="135">
        <v>15599750213</v>
      </c>
      <c r="AM25" s="135" t="s">
        <v>4828</v>
      </c>
      <c r="AO25" s="135">
        <f t="shared" si="1"/>
        <v>970000</v>
      </c>
      <c r="AP25" s="198">
        <f>0.5%+0.02%+0.08%</f>
        <v>0.006</v>
      </c>
      <c r="AT25" s="135">
        <v>270000</v>
      </c>
      <c r="AU25" s="135">
        <v>700000</v>
      </c>
      <c r="BB25" s="135" t="s">
        <v>496</v>
      </c>
    </row>
    <row r="26" s="135" customFormat="1" customHeight="1" spans="1:54">
      <c r="A26" s="135">
        <v>3</v>
      </c>
      <c r="B26" s="135"/>
      <c r="C26" s="135" t="s">
        <v>313</v>
      </c>
      <c r="D26" s="135">
        <v>20240006617</v>
      </c>
      <c r="F26" s="834" t="s">
        <v>314</v>
      </c>
      <c r="G26" s="135" t="s">
        <v>315</v>
      </c>
      <c r="H26" s="834" t="s">
        <v>4829</v>
      </c>
      <c r="I26" s="177" t="s">
        <v>4830</v>
      </c>
      <c r="J26" s="175">
        <v>148.64</v>
      </c>
      <c r="K26" s="135">
        <v>148.64</v>
      </c>
      <c r="L26" s="135">
        <v>5780</v>
      </c>
      <c r="M26" s="135">
        <v>859139</v>
      </c>
      <c r="N26" s="135">
        <v>5769.83</v>
      </c>
      <c r="R26" s="135">
        <v>185000</v>
      </c>
      <c r="S26" s="135" t="s">
        <v>3324</v>
      </c>
      <c r="U26" s="135" t="s">
        <v>721</v>
      </c>
      <c r="V26" s="135">
        <v>20000</v>
      </c>
      <c r="W26" s="135" t="s">
        <v>4831</v>
      </c>
      <c r="X26" s="135">
        <v>340139</v>
      </c>
      <c r="Y26" s="135" t="s">
        <v>313</v>
      </c>
      <c r="Z26" s="135">
        <v>185000</v>
      </c>
      <c r="AA26" s="135" t="s">
        <v>3324</v>
      </c>
      <c r="AH26" s="189">
        <f t="shared" si="2"/>
        <v>545139</v>
      </c>
      <c r="AK26" s="190">
        <f t="shared" si="0"/>
        <v>314000</v>
      </c>
      <c r="AL26" s="135">
        <v>13629949350</v>
      </c>
      <c r="AM26" s="135" t="s">
        <v>4065</v>
      </c>
      <c r="AO26" s="135">
        <f t="shared" si="1"/>
        <v>545139</v>
      </c>
      <c r="AP26" s="162">
        <f>0.7%+0.03%+0.08%+0.03%</f>
        <v>0.0084</v>
      </c>
      <c r="AX26" s="135">
        <v>545139</v>
      </c>
      <c r="AZ26" s="135">
        <f t="shared" ref="AZ26:AZ30" si="3">AX26*AP26</f>
        <v>4579.1676</v>
      </c>
      <c r="BB26" s="135" t="s">
        <v>496</v>
      </c>
    </row>
    <row r="27" s="135" customFormat="1" customHeight="1" spans="1:54">
      <c r="A27" s="135">
        <v>4</v>
      </c>
      <c r="B27" s="135"/>
      <c r="C27" s="135" t="s">
        <v>313</v>
      </c>
      <c r="D27" s="135">
        <v>20240006618</v>
      </c>
      <c r="F27" s="834" t="s">
        <v>316</v>
      </c>
      <c r="G27" s="135" t="s">
        <v>317</v>
      </c>
      <c r="H27" s="834" t="s">
        <v>4832</v>
      </c>
      <c r="I27" s="174" t="s">
        <v>4833</v>
      </c>
      <c r="J27" s="175">
        <v>139.33</v>
      </c>
      <c r="K27" s="135">
        <v>139.33</v>
      </c>
      <c r="L27" s="135">
        <v>5784.75</v>
      </c>
      <c r="M27" s="135">
        <v>805990</v>
      </c>
      <c r="N27" s="135">
        <v>5784.75</v>
      </c>
      <c r="R27" s="135">
        <v>550000</v>
      </c>
      <c r="S27" s="135" t="s">
        <v>865</v>
      </c>
      <c r="U27" s="135" t="s">
        <v>721</v>
      </c>
      <c r="V27" s="135">
        <v>20000</v>
      </c>
      <c r="W27" s="135" t="s">
        <v>4831</v>
      </c>
      <c r="X27" s="135">
        <v>95990</v>
      </c>
      <c r="Y27" s="135" t="s">
        <v>313</v>
      </c>
      <c r="Z27" s="135">
        <v>140000</v>
      </c>
      <c r="AA27" s="135" t="s">
        <v>592</v>
      </c>
      <c r="AB27" s="135">
        <v>550000</v>
      </c>
      <c r="AC27" s="135" t="s">
        <v>865</v>
      </c>
      <c r="AH27" s="189">
        <f t="shared" si="2"/>
        <v>805990</v>
      </c>
      <c r="AK27" s="190">
        <f t="shared" si="0"/>
        <v>0</v>
      </c>
      <c r="AL27" s="135">
        <v>13199840213</v>
      </c>
      <c r="AM27" s="135" t="s">
        <v>4065</v>
      </c>
      <c r="AO27" s="135">
        <f t="shared" si="1"/>
        <v>805990</v>
      </c>
      <c r="AP27" s="162">
        <f>0.7%+0.03%+0.08%+0.03%</f>
        <v>0.0084</v>
      </c>
      <c r="AW27" s="135">
        <v>255990</v>
      </c>
      <c r="AX27" s="135">
        <v>550000</v>
      </c>
      <c r="AZ27" s="135">
        <f t="shared" si="3"/>
        <v>4620</v>
      </c>
      <c r="BB27" s="135" t="s">
        <v>496</v>
      </c>
    </row>
    <row r="28" s="135" customFormat="1" ht="41" customHeight="1" spans="1:54">
      <c r="A28" s="135">
        <v>5</v>
      </c>
      <c r="B28" s="135"/>
      <c r="C28" s="135" t="s">
        <v>290</v>
      </c>
      <c r="D28" s="135">
        <v>20240006190</v>
      </c>
      <c r="F28" s="834" t="s">
        <v>318</v>
      </c>
      <c r="G28" s="164" t="s">
        <v>319</v>
      </c>
      <c r="H28" s="164" t="s">
        <v>4834</v>
      </c>
      <c r="I28" s="177" t="s">
        <v>4835</v>
      </c>
      <c r="J28" s="175">
        <v>148.64</v>
      </c>
      <c r="K28" s="135">
        <v>148.64</v>
      </c>
      <c r="L28" s="135">
        <v>5824.48</v>
      </c>
      <c r="M28" s="135">
        <f>377751+488000</f>
        <v>865751</v>
      </c>
      <c r="N28" s="135">
        <v>5824.48</v>
      </c>
      <c r="S28" s="155"/>
      <c r="U28" s="135" t="s">
        <v>4836</v>
      </c>
      <c r="V28" s="135">
        <v>2000</v>
      </c>
      <c r="W28" s="155">
        <v>45560</v>
      </c>
      <c r="X28" s="135">
        <v>377751</v>
      </c>
      <c r="Y28" s="155" t="s">
        <v>290</v>
      </c>
      <c r="Z28" s="135">
        <v>488000</v>
      </c>
      <c r="AA28" s="135" t="s">
        <v>290</v>
      </c>
      <c r="AH28" s="189">
        <f t="shared" si="2"/>
        <v>867751</v>
      </c>
      <c r="AK28" s="190">
        <f t="shared" si="0"/>
        <v>-2000</v>
      </c>
      <c r="AL28" s="135">
        <v>16609961005</v>
      </c>
      <c r="AM28" s="135" t="s">
        <v>4065</v>
      </c>
      <c r="AO28" s="135">
        <f t="shared" si="1"/>
        <v>865751</v>
      </c>
      <c r="AP28" s="162">
        <f>0.7%+0.08%+0.03%</f>
        <v>0.0081</v>
      </c>
      <c r="AV28" s="135">
        <v>865751</v>
      </c>
      <c r="BB28" s="135" t="s">
        <v>496</v>
      </c>
    </row>
    <row r="29" s="135" customFormat="1" ht="51" customHeight="1" spans="1:46">
      <c r="A29" s="135">
        <v>6</v>
      </c>
      <c r="F29" s="834" t="s">
        <v>4837</v>
      </c>
      <c r="G29" s="164" t="s">
        <v>4838</v>
      </c>
      <c r="H29" s="834" t="s">
        <v>4839</v>
      </c>
      <c r="I29" s="174" t="s">
        <v>4840</v>
      </c>
      <c r="J29" s="175">
        <v>139.33</v>
      </c>
      <c r="K29" s="135">
        <v>139.33</v>
      </c>
      <c r="L29" s="135">
        <v>5839.41</v>
      </c>
      <c r="M29" s="135">
        <v>813605</v>
      </c>
      <c r="N29" s="135">
        <v>5839.41</v>
      </c>
      <c r="T29" s="834" t="s">
        <v>4790</v>
      </c>
      <c r="U29" s="135" t="s">
        <v>515</v>
      </c>
      <c r="V29" s="135"/>
      <c r="W29" s="135"/>
      <c r="X29" s="135">
        <v>20000</v>
      </c>
      <c r="Y29" s="135" t="s">
        <v>3802</v>
      </c>
      <c r="Z29" s="135">
        <v>224605</v>
      </c>
      <c r="AA29" s="135" t="s">
        <v>1005</v>
      </c>
      <c r="AB29" s="135">
        <v>569000</v>
      </c>
      <c r="AC29" s="135" t="s">
        <v>728</v>
      </c>
      <c r="AH29" s="189">
        <f t="shared" si="2"/>
        <v>813605</v>
      </c>
      <c r="AK29" s="190">
        <f t="shared" si="0"/>
        <v>0</v>
      </c>
      <c r="AL29" s="135">
        <v>18909968952</v>
      </c>
      <c r="AO29" s="135">
        <f t="shared" si="1"/>
        <v>813605</v>
      </c>
      <c r="AP29" s="162">
        <f>0.7%+0.03%+0.12%</f>
        <v>0.0085</v>
      </c>
      <c r="AT29" s="135">
        <v>813605</v>
      </c>
    </row>
    <row r="30" s="135" customFormat="1" customHeight="1" spans="1:54">
      <c r="A30" s="135">
        <v>7</v>
      </c>
      <c r="B30" s="135"/>
      <c r="C30" s="135" t="s">
        <v>88</v>
      </c>
      <c r="D30" s="135">
        <v>20240005546</v>
      </c>
      <c r="F30" s="834" t="s">
        <v>320</v>
      </c>
      <c r="G30" s="135" t="s">
        <v>321</v>
      </c>
      <c r="I30" s="177" t="s">
        <v>4841</v>
      </c>
      <c r="J30" s="175">
        <v>148.64</v>
      </c>
      <c r="K30" s="135">
        <v>148.64</v>
      </c>
      <c r="L30" s="135">
        <v>5657.21</v>
      </c>
      <c r="M30" s="135">
        <v>840888</v>
      </c>
      <c r="N30" s="135">
        <v>5657.21</v>
      </c>
      <c r="O30" s="135"/>
      <c r="R30" s="135">
        <v>630000</v>
      </c>
      <c r="S30" s="155" t="s">
        <v>404</v>
      </c>
      <c r="U30" s="135" t="s">
        <v>590</v>
      </c>
      <c r="V30" s="135">
        <v>20000</v>
      </c>
      <c r="W30" s="155">
        <v>45551</v>
      </c>
      <c r="X30" s="135">
        <v>190888</v>
      </c>
      <c r="Y30" s="155" t="s">
        <v>88</v>
      </c>
      <c r="Z30" s="135">
        <v>630000</v>
      </c>
      <c r="AA30" s="155" t="s">
        <v>404</v>
      </c>
      <c r="AH30" s="189">
        <f t="shared" si="2"/>
        <v>840888</v>
      </c>
      <c r="AK30" s="190">
        <f t="shared" si="0"/>
        <v>0</v>
      </c>
      <c r="AL30" s="135">
        <v>18699610532</v>
      </c>
      <c r="AO30" s="135">
        <f t="shared" si="1"/>
        <v>840888</v>
      </c>
      <c r="AP30" s="162">
        <f>0.6%+0.04%+0.1%</f>
        <v>0.0074</v>
      </c>
      <c r="AV30" s="135">
        <v>210888</v>
      </c>
      <c r="AX30" s="135">
        <v>630000</v>
      </c>
      <c r="AZ30" s="135">
        <f t="shared" si="3"/>
        <v>4662</v>
      </c>
      <c r="BB30" s="135" t="s">
        <v>496</v>
      </c>
    </row>
    <row r="31" s="135" customFormat="1" customHeight="1" spans="1:55">
      <c r="A31" s="135">
        <v>8</v>
      </c>
      <c r="C31" s="155">
        <v>45472</v>
      </c>
      <c r="D31" s="135">
        <v>20240003715</v>
      </c>
      <c r="F31" s="834" t="s">
        <v>4842</v>
      </c>
      <c r="G31" s="135" t="s">
        <v>4843</v>
      </c>
      <c r="H31" s="834" t="s">
        <v>4844</v>
      </c>
      <c r="I31" s="174" t="s">
        <v>4845</v>
      </c>
      <c r="J31" s="175">
        <v>139.33</v>
      </c>
      <c r="K31" s="135">
        <v>139.33</v>
      </c>
      <c r="L31" s="135">
        <v>5600</v>
      </c>
      <c r="M31" s="135">
        <v>780248</v>
      </c>
      <c r="N31" s="135">
        <v>5600</v>
      </c>
      <c r="U31" s="135" t="s">
        <v>524</v>
      </c>
      <c r="V31" s="135">
        <v>20000</v>
      </c>
      <c r="W31" s="135" t="s">
        <v>4476</v>
      </c>
      <c r="X31" s="135">
        <v>10000</v>
      </c>
      <c r="Y31" s="135" t="s">
        <v>4455</v>
      </c>
      <c r="Z31" s="135">
        <v>126248</v>
      </c>
      <c r="AA31" s="135" t="s">
        <v>579</v>
      </c>
      <c r="AB31" s="135">
        <v>624000</v>
      </c>
      <c r="AC31" s="135" t="s">
        <v>341</v>
      </c>
      <c r="AH31" s="189">
        <f t="shared" si="2"/>
        <v>780248</v>
      </c>
      <c r="AK31" s="190">
        <f t="shared" si="0"/>
        <v>0</v>
      </c>
      <c r="AL31" s="135">
        <v>17641032589</v>
      </c>
      <c r="AM31" s="135" t="s">
        <v>3468</v>
      </c>
      <c r="AO31" s="135">
        <f t="shared" si="1"/>
        <v>780248</v>
      </c>
      <c r="AP31" s="166">
        <f>0.7%+0.08%</f>
        <v>0.0078</v>
      </c>
      <c r="AS31" s="135">
        <v>156248</v>
      </c>
      <c r="AT31" s="135">
        <v>624000</v>
      </c>
      <c r="BB31" s="135" t="s">
        <v>496</v>
      </c>
      <c r="BC31" s="135" t="s">
        <v>506</v>
      </c>
    </row>
    <row r="32" s="135" customFormat="1" customHeight="1" spans="1:54">
      <c r="A32" s="135">
        <v>9</v>
      </c>
      <c r="C32" s="155">
        <v>45416</v>
      </c>
      <c r="D32" s="135">
        <v>20240002559</v>
      </c>
      <c r="F32" s="834" t="s">
        <v>4846</v>
      </c>
      <c r="G32" s="135" t="s">
        <v>4847</v>
      </c>
      <c r="H32" s="834" t="s">
        <v>4848</v>
      </c>
      <c r="I32" s="177" t="s">
        <v>4849</v>
      </c>
      <c r="J32" s="175">
        <v>148.64</v>
      </c>
      <c r="K32" s="135">
        <v>148.64</v>
      </c>
      <c r="L32" s="135">
        <v>5897.806</v>
      </c>
      <c r="M32" s="135">
        <v>876650</v>
      </c>
      <c r="N32" s="135">
        <v>5897.806</v>
      </c>
      <c r="U32" s="135" t="s">
        <v>842</v>
      </c>
      <c r="V32" s="135">
        <v>20000</v>
      </c>
      <c r="W32" s="135" t="s">
        <v>3934</v>
      </c>
      <c r="X32" s="135">
        <v>121650</v>
      </c>
      <c r="Y32" s="135" t="s">
        <v>406</v>
      </c>
      <c r="Z32" s="135">
        <v>145000</v>
      </c>
      <c r="AA32" s="135" t="s">
        <v>519</v>
      </c>
      <c r="AB32" s="135">
        <v>590000</v>
      </c>
      <c r="AC32" s="135" t="s">
        <v>1081</v>
      </c>
      <c r="AH32" s="189">
        <f t="shared" si="2"/>
        <v>876650</v>
      </c>
      <c r="AK32" s="190">
        <f t="shared" ref="AK32:AK43" si="4">M32-AH32</f>
        <v>0</v>
      </c>
      <c r="AL32" s="135">
        <v>19199200131</v>
      </c>
      <c r="AO32" s="135">
        <f t="shared" si="1"/>
        <v>876650</v>
      </c>
      <c r="AP32" s="162">
        <f>0.7%+0.02%+0.12%</f>
        <v>0.0084</v>
      </c>
      <c r="AS32" s="135">
        <v>286650</v>
      </c>
      <c r="AT32" s="135">
        <v>590000</v>
      </c>
      <c r="BB32" s="135" t="s">
        <v>496</v>
      </c>
    </row>
    <row r="33" s="135" customFormat="1" customHeight="1" spans="1:55">
      <c r="A33" s="135">
        <v>10</v>
      </c>
      <c r="C33" s="155">
        <v>45472</v>
      </c>
      <c r="D33" s="135">
        <v>20240003716</v>
      </c>
      <c r="F33" s="834" t="s">
        <v>4850</v>
      </c>
      <c r="G33" s="164" t="s">
        <v>4851</v>
      </c>
      <c r="H33" s="834" t="s">
        <v>4852</v>
      </c>
      <c r="I33" s="174" t="s">
        <v>4853</v>
      </c>
      <c r="J33" s="175">
        <v>139.33</v>
      </c>
      <c r="K33" s="135">
        <v>139.33</v>
      </c>
      <c r="L33" s="135">
        <v>5946.36</v>
      </c>
      <c r="M33" s="135">
        <v>828507</v>
      </c>
      <c r="N33" s="135">
        <v>5946.36</v>
      </c>
      <c r="T33" s="164"/>
      <c r="U33" s="164" t="s">
        <v>524</v>
      </c>
      <c r="V33" s="135">
        <v>20000</v>
      </c>
      <c r="W33" s="135" t="s">
        <v>843</v>
      </c>
      <c r="X33" s="135">
        <v>33507</v>
      </c>
      <c r="Y33" s="135" t="s">
        <v>4455</v>
      </c>
      <c r="Z33" s="135">
        <v>70000</v>
      </c>
      <c r="AA33" s="135" t="s">
        <v>579</v>
      </c>
      <c r="AB33" s="135">
        <v>185000</v>
      </c>
      <c r="AC33" s="135" t="s">
        <v>4854</v>
      </c>
      <c r="AD33" s="135">
        <v>520000</v>
      </c>
      <c r="AE33" s="135" t="s">
        <v>4702</v>
      </c>
      <c r="AH33" s="189">
        <f t="shared" si="2"/>
        <v>828507</v>
      </c>
      <c r="AK33" s="190">
        <f t="shared" si="4"/>
        <v>0</v>
      </c>
      <c r="AL33" s="135">
        <v>13999021450</v>
      </c>
      <c r="AO33" s="135">
        <f t="shared" si="1"/>
        <v>828507</v>
      </c>
      <c r="AP33" s="162">
        <f>0.7%+0.08%</f>
        <v>0.0078</v>
      </c>
      <c r="AS33" s="135">
        <v>308507</v>
      </c>
      <c r="AT33" s="135">
        <v>520000</v>
      </c>
      <c r="BB33" s="135" t="s">
        <v>496</v>
      </c>
      <c r="BC33" s="135" t="s">
        <v>506</v>
      </c>
    </row>
    <row r="34" s="135" customFormat="1" customHeight="1" spans="1:54">
      <c r="A34" s="135">
        <v>11</v>
      </c>
      <c r="C34" s="135" t="s">
        <v>322</v>
      </c>
      <c r="D34" s="135">
        <v>20240006521</v>
      </c>
      <c r="F34" s="834" t="s">
        <v>323</v>
      </c>
      <c r="G34" s="135" t="s">
        <v>324</v>
      </c>
      <c r="I34" s="177" t="s">
        <v>4855</v>
      </c>
      <c r="J34" s="175">
        <v>148.64</v>
      </c>
      <c r="K34" s="135">
        <v>148.64</v>
      </c>
      <c r="L34" s="135">
        <v>5965.8</v>
      </c>
      <c r="M34" s="135">
        <v>886756</v>
      </c>
      <c r="N34" s="135">
        <v>5965.795</v>
      </c>
      <c r="R34" s="135">
        <v>700000</v>
      </c>
      <c r="S34" s="135" t="s">
        <v>401</v>
      </c>
      <c r="U34" s="135" t="s">
        <v>590</v>
      </c>
      <c r="V34" s="135">
        <v>5000</v>
      </c>
      <c r="W34" s="135" t="s">
        <v>671</v>
      </c>
      <c r="X34" s="135">
        <v>15000</v>
      </c>
      <c r="Y34" s="135" t="s">
        <v>1219</v>
      </c>
      <c r="Z34" s="135">
        <v>166756</v>
      </c>
      <c r="AA34" s="135" t="s">
        <v>322</v>
      </c>
      <c r="AB34" s="135">
        <v>700000</v>
      </c>
      <c r="AC34" s="135" t="s">
        <v>401</v>
      </c>
      <c r="AH34" s="189">
        <f t="shared" si="2"/>
        <v>886756</v>
      </c>
      <c r="AK34" s="190">
        <f t="shared" si="4"/>
        <v>0</v>
      </c>
      <c r="AL34" s="135">
        <v>19990288970</v>
      </c>
      <c r="AM34" s="135" t="s">
        <v>4054</v>
      </c>
      <c r="AO34" s="135">
        <f>SUM(AQ34:BA34)</f>
        <v>892356</v>
      </c>
      <c r="AP34" s="198">
        <f>0.7%+0.02%+0.08%</f>
        <v>0.008</v>
      </c>
      <c r="AW34" s="135">
        <v>186756</v>
      </c>
      <c r="AX34" s="135">
        <v>700000</v>
      </c>
      <c r="AZ34" s="135">
        <f>AX34*AP34</f>
        <v>5600</v>
      </c>
      <c r="BB34" s="135" t="s">
        <v>496</v>
      </c>
    </row>
    <row r="35" s="135" customFormat="1" customHeight="1" spans="1:55">
      <c r="A35" s="135">
        <v>12</v>
      </c>
      <c r="C35" s="155">
        <v>45416</v>
      </c>
      <c r="D35" s="135">
        <v>20240002527</v>
      </c>
      <c r="F35" s="834" t="s">
        <v>4856</v>
      </c>
      <c r="G35" s="164" t="s">
        <v>4857</v>
      </c>
      <c r="H35" s="834" t="s">
        <v>4858</v>
      </c>
      <c r="I35" s="174" t="s">
        <v>4859</v>
      </c>
      <c r="J35" s="175">
        <v>139.33</v>
      </c>
      <c r="K35" s="135">
        <v>139.33</v>
      </c>
      <c r="L35" s="135">
        <f>M35/K35</f>
        <v>5978.61192851504</v>
      </c>
      <c r="M35" s="135">
        <v>833000</v>
      </c>
      <c r="N35" s="135">
        <v>5978.61</v>
      </c>
      <c r="T35" s="164"/>
      <c r="U35" s="164" t="s">
        <v>842</v>
      </c>
      <c r="V35" s="135">
        <v>20000</v>
      </c>
      <c r="W35" s="135" t="s">
        <v>796</v>
      </c>
      <c r="X35" s="135">
        <v>233000</v>
      </c>
      <c r="Y35" s="135" t="s">
        <v>406</v>
      </c>
      <c r="Z35" s="135">
        <v>580000</v>
      </c>
      <c r="AA35" s="135" t="s">
        <v>814</v>
      </c>
      <c r="AH35" s="189">
        <f t="shared" si="2"/>
        <v>833000</v>
      </c>
      <c r="AK35" s="190">
        <f t="shared" si="4"/>
        <v>0</v>
      </c>
      <c r="AL35" s="135">
        <v>15299350690</v>
      </c>
      <c r="AO35" s="135">
        <f>SUM(AQ35:AY35)</f>
        <v>833000</v>
      </c>
      <c r="AP35" s="162">
        <f>0.7%+0.02%+0.12%</f>
        <v>0.0084</v>
      </c>
      <c r="AQ35" s="135">
        <v>253000</v>
      </c>
      <c r="AR35" s="135">
        <v>580000</v>
      </c>
      <c r="BB35" s="135" t="s">
        <v>496</v>
      </c>
      <c r="BC35" s="135" t="s">
        <v>506</v>
      </c>
    </row>
    <row r="36" s="135" customFormat="1" customHeight="1" spans="1:54">
      <c r="A36" s="135">
        <v>13</v>
      </c>
      <c r="C36" s="155">
        <v>45493</v>
      </c>
      <c r="D36" s="135">
        <v>20240004168</v>
      </c>
      <c r="F36" s="834" t="s">
        <v>4860</v>
      </c>
      <c r="G36" s="135" t="s">
        <v>4861</v>
      </c>
      <c r="I36" s="177" t="s">
        <v>4862</v>
      </c>
      <c r="J36" s="175">
        <v>148.64</v>
      </c>
      <c r="K36" s="135">
        <v>148.64</v>
      </c>
      <c r="L36" s="135">
        <f>M36/K36</f>
        <v>5948.08261571582</v>
      </c>
      <c r="M36" s="135">
        <v>884123</v>
      </c>
      <c r="N36" s="135">
        <v>5948.08</v>
      </c>
      <c r="S36" s="155"/>
      <c r="U36" s="135" t="s">
        <v>515</v>
      </c>
      <c r="V36" s="135">
        <v>169123</v>
      </c>
      <c r="W36" s="135" t="s">
        <v>3924</v>
      </c>
      <c r="X36" s="135">
        <v>65000</v>
      </c>
      <c r="Y36" s="135" t="s">
        <v>3250</v>
      </c>
      <c r="Z36" s="135">
        <v>650000</v>
      </c>
      <c r="AA36" s="155">
        <v>45537</v>
      </c>
      <c r="AH36" s="189">
        <f t="shared" si="2"/>
        <v>884123</v>
      </c>
      <c r="AK36" s="190">
        <f t="shared" si="4"/>
        <v>0</v>
      </c>
      <c r="AL36" s="135">
        <v>18742865669</v>
      </c>
      <c r="AM36" s="135" t="s">
        <v>4054</v>
      </c>
      <c r="AO36" s="135">
        <f>SUM(AQ36:AY36)</f>
        <v>884123</v>
      </c>
      <c r="AP36" s="198">
        <f>0.7%+0.03%+0.08%</f>
        <v>0.0081</v>
      </c>
      <c r="AT36" s="135">
        <v>234123</v>
      </c>
      <c r="AU36" s="135">
        <v>650000</v>
      </c>
      <c r="BB36" s="135" t="s">
        <v>496</v>
      </c>
    </row>
    <row r="37" s="135" customFormat="1" ht="33" customHeight="1" spans="1:54">
      <c r="A37" s="135">
        <v>14</v>
      </c>
      <c r="C37" s="135" t="s">
        <v>88</v>
      </c>
      <c r="D37" s="135">
        <v>20240005557</v>
      </c>
      <c r="F37" s="834" t="s">
        <v>325</v>
      </c>
      <c r="G37" s="164" t="s">
        <v>326</v>
      </c>
      <c r="I37" s="178" t="s">
        <v>4863</v>
      </c>
      <c r="J37" s="175">
        <v>139.33</v>
      </c>
      <c r="K37" s="135">
        <v>139.33</v>
      </c>
      <c r="L37" s="135">
        <v>5892.34</v>
      </c>
      <c r="M37" s="135">
        <v>820980</v>
      </c>
      <c r="N37" s="135">
        <v>6000</v>
      </c>
      <c r="O37" s="135"/>
      <c r="U37" s="164" t="s">
        <v>2249</v>
      </c>
      <c r="V37" s="135">
        <v>20000</v>
      </c>
      <c r="W37" s="135" t="s">
        <v>519</v>
      </c>
      <c r="X37" s="135">
        <f>180000+980</f>
        <v>180980</v>
      </c>
      <c r="Y37" s="135" t="s">
        <v>88</v>
      </c>
      <c r="Z37" s="135">
        <v>620000</v>
      </c>
      <c r="AA37" s="135" t="s">
        <v>303</v>
      </c>
      <c r="AH37" s="189">
        <f t="shared" si="2"/>
        <v>820980</v>
      </c>
      <c r="AK37" s="190">
        <f t="shared" si="4"/>
        <v>0</v>
      </c>
      <c r="AL37" s="135">
        <v>15684853588</v>
      </c>
      <c r="AM37" s="135" t="s">
        <v>4864</v>
      </c>
      <c r="AO37" s="135">
        <f>SUM(AQ37:BA37)</f>
        <v>820980</v>
      </c>
      <c r="AP37" s="198">
        <f>0.4%+0.03%+0.08%</f>
        <v>0.0051</v>
      </c>
      <c r="AW37" s="135">
        <v>820980</v>
      </c>
      <c r="BB37" s="135" t="s">
        <v>496</v>
      </c>
    </row>
    <row r="38" s="135" customFormat="1" customHeight="1" spans="1:54">
      <c r="A38" s="135">
        <v>15</v>
      </c>
      <c r="B38" s="135"/>
      <c r="C38" s="135" t="s">
        <v>327</v>
      </c>
      <c r="D38" s="135">
        <v>20240005654</v>
      </c>
      <c r="F38" s="834" t="s">
        <v>328</v>
      </c>
      <c r="G38" s="135" t="s">
        <v>329</v>
      </c>
      <c r="H38" s="834" t="s">
        <v>4865</v>
      </c>
      <c r="I38" s="174" t="s">
        <v>4866</v>
      </c>
      <c r="J38" s="175">
        <v>148.64</v>
      </c>
      <c r="K38" s="135">
        <v>148.64</v>
      </c>
      <c r="L38" s="135">
        <v>5853.07</v>
      </c>
      <c r="M38" s="135">
        <v>870000</v>
      </c>
      <c r="N38" s="135">
        <v>5853.07</v>
      </c>
      <c r="O38" s="135"/>
      <c r="U38" s="135" t="s">
        <v>709</v>
      </c>
      <c r="V38" s="135">
        <v>20000</v>
      </c>
      <c r="W38" s="135" t="s">
        <v>790</v>
      </c>
      <c r="X38" s="135">
        <v>850000</v>
      </c>
      <c r="Y38" s="135" t="s">
        <v>151</v>
      </c>
      <c r="AH38" s="189">
        <f t="shared" si="2"/>
        <v>870000</v>
      </c>
      <c r="AK38" s="190">
        <f t="shared" si="4"/>
        <v>0</v>
      </c>
      <c r="AL38" s="135">
        <v>17337600520</v>
      </c>
      <c r="AO38" s="135">
        <f t="shared" ref="AO38:AO43" si="5">SUM(AQ38:AY38)</f>
        <v>870000</v>
      </c>
      <c r="AP38" s="162">
        <f>0.6%+0.1%</f>
        <v>0.007</v>
      </c>
      <c r="AV38" s="135">
        <v>870000</v>
      </c>
      <c r="BB38" s="135" t="s">
        <v>496</v>
      </c>
    </row>
    <row r="39" s="135" customFormat="1" customHeight="1" spans="1:54">
      <c r="A39" s="135">
        <v>16</v>
      </c>
      <c r="C39" s="155">
        <v>45493</v>
      </c>
      <c r="D39" s="135">
        <v>20240004164</v>
      </c>
      <c r="F39" s="834" t="s">
        <v>4867</v>
      </c>
      <c r="G39" s="135" t="s">
        <v>4868</v>
      </c>
      <c r="H39" s="834" t="s">
        <v>4869</v>
      </c>
      <c r="I39" s="174" t="s">
        <v>4870</v>
      </c>
      <c r="J39" s="175">
        <v>139.33</v>
      </c>
      <c r="K39" s="135">
        <v>139.33</v>
      </c>
      <c r="L39" s="135">
        <v>6091.36</v>
      </c>
      <c r="M39" s="135">
        <v>848710</v>
      </c>
      <c r="N39" s="135">
        <v>6091.36</v>
      </c>
      <c r="T39" s="834" t="s">
        <v>4871</v>
      </c>
      <c r="U39" s="135" t="s">
        <v>2249</v>
      </c>
      <c r="V39" s="135">
        <v>2000</v>
      </c>
      <c r="W39" s="135" t="s">
        <v>3405</v>
      </c>
      <c r="X39" s="135">
        <v>8000</v>
      </c>
      <c r="Y39" s="135" t="s">
        <v>3451</v>
      </c>
      <c r="Z39" s="135">
        <v>96710</v>
      </c>
      <c r="AA39" s="135" t="s">
        <v>3924</v>
      </c>
      <c r="AB39" s="135">
        <v>64000</v>
      </c>
      <c r="AC39" s="135" t="s">
        <v>1145</v>
      </c>
      <c r="AD39" s="135">
        <v>678000</v>
      </c>
      <c r="AE39" s="135" t="s">
        <v>118</v>
      </c>
      <c r="AH39" s="189">
        <f t="shared" si="2"/>
        <v>848710</v>
      </c>
      <c r="AK39" s="190">
        <f t="shared" si="4"/>
        <v>0</v>
      </c>
      <c r="AL39" s="135">
        <v>18893377659</v>
      </c>
      <c r="AO39" s="135">
        <f t="shared" si="5"/>
        <v>848710</v>
      </c>
      <c r="AP39" s="162">
        <f>0.5%+0.02%+0.08%</f>
        <v>0.006</v>
      </c>
      <c r="AT39" s="135">
        <v>170710</v>
      </c>
      <c r="AV39" s="135">
        <v>678000</v>
      </c>
      <c r="BB39" s="135" t="s">
        <v>496</v>
      </c>
    </row>
    <row r="40" s="135" customFormat="1" customHeight="1" spans="1:54">
      <c r="A40" s="135">
        <v>17</v>
      </c>
      <c r="C40" s="155">
        <v>45540</v>
      </c>
      <c r="D40" s="135">
        <v>20240005098</v>
      </c>
      <c r="F40" s="834" t="s">
        <v>4872</v>
      </c>
      <c r="G40" s="135" t="s">
        <v>4873</v>
      </c>
      <c r="H40" s="834" t="s">
        <v>4874</v>
      </c>
      <c r="I40" s="177" t="s">
        <v>4875</v>
      </c>
      <c r="J40" s="175">
        <v>148.64</v>
      </c>
      <c r="K40" s="135">
        <v>148.64</v>
      </c>
      <c r="L40" s="135">
        <f>M40/K40</f>
        <v>5920.34445640474</v>
      </c>
      <c r="M40" s="135">
        <v>880000</v>
      </c>
      <c r="N40" s="135">
        <v>5920.345</v>
      </c>
      <c r="S40" s="155"/>
      <c r="U40" s="135" t="s">
        <v>2249</v>
      </c>
      <c r="V40" s="135">
        <v>20000</v>
      </c>
      <c r="W40" s="135" t="s">
        <v>849</v>
      </c>
      <c r="X40" s="135">
        <v>178000</v>
      </c>
      <c r="Y40" s="155">
        <v>45540</v>
      </c>
      <c r="Z40" s="135">
        <v>682000</v>
      </c>
      <c r="AA40" s="155" t="s">
        <v>118</v>
      </c>
      <c r="AH40" s="189">
        <f t="shared" si="2"/>
        <v>880000</v>
      </c>
      <c r="AK40" s="190">
        <f t="shared" si="4"/>
        <v>0</v>
      </c>
      <c r="AL40" s="135">
        <v>13119023002</v>
      </c>
      <c r="AM40" s="135" t="s">
        <v>4876</v>
      </c>
      <c r="AO40" s="135">
        <f t="shared" si="5"/>
        <v>880000</v>
      </c>
      <c r="AP40" s="135">
        <f>0.4%+0.02%+0.08%</f>
        <v>0.005</v>
      </c>
      <c r="AU40" s="135">
        <v>198000</v>
      </c>
      <c r="AV40" s="135">
        <v>682000</v>
      </c>
      <c r="BB40" s="135" t="s">
        <v>496</v>
      </c>
    </row>
    <row r="41" s="135" customFormat="1" customHeight="1" spans="1:55">
      <c r="A41" s="135">
        <v>18</v>
      </c>
      <c r="C41" s="155">
        <v>45428</v>
      </c>
      <c r="D41" s="135">
        <v>20240002913</v>
      </c>
      <c r="F41" s="834" t="s">
        <v>4877</v>
      </c>
      <c r="G41" s="135" t="s">
        <v>4878</v>
      </c>
      <c r="H41" s="834" t="s">
        <v>4879</v>
      </c>
      <c r="I41" s="174" t="s">
        <v>4880</v>
      </c>
      <c r="J41" s="175">
        <v>139.33</v>
      </c>
      <c r="K41" s="135">
        <v>139.33</v>
      </c>
      <c r="L41" s="135">
        <v>6120.28</v>
      </c>
      <c r="M41" s="135">
        <v>852739</v>
      </c>
      <c r="N41" s="135">
        <v>6120.28</v>
      </c>
      <c r="S41" s="155"/>
      <c r="T41" s="834" t="s">
        <v>4881</v>
      </c>
      <c r="U41" s="135" t="s">
        <v>515</v>
      </c>
      <c r="V41" s="135">
        <v>2000</v>
      </c>
      <c r="W41" s="135" t="s">
        <v>3745</v>
      </c>
      <c r="X41" s="135">
        <v>18000</v>
      </c>
      <c r="Y41" s="135" t="s">
        <v>3802</v>
      </c>
      <c r="Z41" s="135">
        <f>2739+120000</f>
        <v>122739</v>
      </c>
      <c r="AA41" s="155">
        <v>45428</v>
      </c>
      <c r="AB41" s="135">
        <v>510000</v>
      </c>
      <c r="AC41" s="155" t="s">
        <v>3500</v>
      </c>
      <c r="AD41" s="135">
        <v>200000</v>
      </c>
      <c r="AE41" s="155" t="s">
        <v>856</v>
      </c>
      <c r="AH41" s="189">
        <f t="shared" si="2"/>
        <v>852739</v>
      </c>
      <c r="AK41" s="190">
        <f t="shared" si="4"/>
        <v>0</v>
      </c>
      <c r="AL41" s="135">
        <v>17699690006</v>
      </c>
      <c r="AO41" s="135">
        <f t="shared" si="5"/>
        <v>852739</v>
      </c>
      <c r="AP41" s="162">
        <f>0.7%+0.03%+0.12%</f>
        <v>0.0085</v>
      </c>
      <c r="AR41" s="135">
        <v>652739</v>
      </c>
      <c r="AS41" s="135">
        <v>200000</v>
      </c>
      <c r="BB41" s="135" t="s">
        <v>496</v>
      </c>
      <c r="BC41" s="135" t="s">
        <v>506</v>
      </c>
    </row>
    <row r="42" s="135" customFormat="1" customHeight="1" spans="1:54">
      <c r="A42" s="135">
        <v>19</v>
      </c>
      <c r="B42" s="135"/>
      <c r="C42" s="135" t="s">
        <v>252</v>
      </c>
      <c r="D42" s="135">
        <v>20240005780</v>
      </c>
      <c r="F42" s="834" t="s">
        <v>330</v>
      </c>
      <c r="G42" s="135" t="s">
        <v>331</v>
      </c>
      <c r="H42" s="834" t="s">
        <v>4882</v>
      </c>
      <c r="I42" s="177" t="s">
        <v>4883</v>
      </c>
      <c r="J42" s="175">
        <v>148.64</v>
      </c>
      <c r="K42" s="135">
        <v>148.64</v>
      </c>
      <c r="L42" s="135">
        <v>5747.09</v>
      </c>
      <c r="M42" s="135">
        <v>854247</v>
      </c>
      <c r="N42" s="135">
        <v>6127.09</v>
      </c>
      <c r="O42" s="135"/>
      <c r="S42" s="155"/>
      <c r="U42" s="135" t="s">
        <v>825</v>
      </c>
      <c r="V42" s="135">
        <v>20000</v>
      </c>
      <c r="W42" s="155">
        <v>45543</v>
      </c>
      <c r="X42" s="135">
        <v>334247</v>
      </c>
      <c r="Y42" s="155" t="s">
        <v>252</v>
      </c>
      <c r="Z42" s="135">
        <v>500000</v>
      </c>
      <c r="AA42" s="155" t="s">
        <v>4884</v>
      </c>
      <c r="AH42" s="189">
        <f t="shared" ref="AH42:AH89" si="6">V42+X42+Z42+AB42+AD42+AF42</f>
        <v>854247</v>
      </c>
      <c r="AK42" s="190">
        <f t="shared" si="4"/>
        <v>0</v>
      </c>
      <c r="AL42" s="135">
        <v>18999002531</v>
      </c>
      <c r="AM42" s="135" t="s">
        <v>3318</v>
      </c>
      <c r="AO42" s="135">
        <f t="shared" si="5"/>
        <v>854247</v>
      </c>
      <c r="AP42" s="162">
        <f>0.5%+0.1%</f>
        <v>0.006</v>
      </c>
      <c r="AV42" s="135">
        <v>354247</v>
      </c>
      <c r="AW42" s="135">
        <v>500000</v>
      </c>
      <c r="BB42" s="135" t="s">
        <v>496</v>
      </c>
    </row>
    <row r="43" s="135" customFormat="1" customHeight="1" spans="1:55">
      <c r="A43" s="135">
        <v>20</v>
      </c>
      <c r="C43" s="155">
        <v>45477</v>
      </c>
      <c r="D43" s="135">
        <v>20240003839</v>
      </c>
      <c r="F43" s="834" t="s">
        <v>4885</v>
      </c>
      <c r="G43" s="164" t="s">
        <v>4886</v>
      </c>
      <c r="H43" s="834" t="s">
        <v>4887</v>
      </c>
      <c r="I43" s="174" t="s">
        <v>4888</v>
      </c>
      <c r="J43" s="175">
        <v>139.33</v>
      </c>
      <c r="K43" s="135">
        <v>139.33</v>
      </c>
      <c r="L43" s="135">
        <f>M43/K43</f>
        <v>6142.02253642432</v>
      </c>
      <c r="M43" s="135">
        <v>855768</v>
      </c>
      <c r="N43" s="135">
        <v>6142.02</v>
      </c>
      <c r="T43" s="834" t="s">
        <v>4889</v>
      </c>
      <c r="U43" s="164" t="s">
        <v>709</v>
      </c>
      <c r="V43" s="135"/>
      <c r="W43" s="135"/>
      <c r="X43" s="135">
        <v>20000</v>
      </c>
      <c r="Y43" s="135" t="s">
        <v>796</v>
      </c>
      <c r="Z43" s="135">
        <f>135768+50000</f>
        <v>185768</v>
      </c>
      <c r="AA43" s="135" t="s">
        <v>4854</v>
      </c>
      <c r="AB43" s="135">
        <v>650000</v>
      </c>
      <c r="AC43" s="135" t="s">
        <v>3529</v>
      </c>
      <c r="AH43" s="189">
        <f t="shared" si="6"/>
        <v>855768</v>
      </c>
      <c r="AK43" s="190">
        <f t="shared" si="4"/>
        <v>0</v>
      </c>
      <c r="AL43" s="135">
        <v>18799806032</v>
      </c>
      <c r="AO43" s="135">
        <f t="shared" si="5"/>
        <v>855768</v>
      </c>
      <c r="AP43" s="166">
        <f>0.7%+0.12%</f>
        <v>0.0082</v>
      </c>
      <c r="AS43" s="135">
        <v>855768</v>
      </c>
      <c r="BB43" s="135" t="s">
        <v>496</v>
      </c>
      <c r="BC43" s="135" t="s">
        <v>506</v>
      </c>
    </row>
    <row r="44" s="58" customFormat="1" customHeight="1" spans="1:41">
      <c r="A44" s="58">
        <v>21</v>
      </c>
      <c r="I44" s="179" t="s">
        <v>4890</v>
      </c>
      <c r="J44" s="180">
        <v>148.64</v>
      </c>
      <c r="N44" s="58">
        <v>7167.6</v>
      </c>
      <c r="AH44" s="168">
        <f t="shared" si="6"/>
        <v>0</v>
      </c>
      <c r="AK44" s="169"/>
      <c r="AO44" s="58">
        <f t="shared" ref="AO44:AO55" si="7">SUM(AQ44:AY44)</f>
        <v>0</v>
      </c>
    </row>
    <row r="45" s="58" customFormat="1" customHeight="1" spans="1:41">
      <c r="A45" s="58">
        <v>22</v>
      </c>
      <c r="I45" s="181" t="s">
        <v>4891</v>
      </c>
      <c r="J45" s="180">
        <v>139.33</v>
      </c>
      <c r="N45" s="58">
        <v>7151.6</v>
      </c>
      <c r="AH45" s="168">
        <f t="shared" si="6"/>
        <v>0</v>
      </c>
      <c r="AK45" s="169"/>
      <c r="AO45" s="58">
        <f t="shared" si="7"/>
        <v>0</v>
      </c>
    </row>
    <row r="46" s="58" customFormat="1" customHeight="1" spans="1:41">
      <c r="A46" s="58">
        <v>23</v>
      </c>
      <c r="I46" s="179" t="s">
        <v>4892</v>
      </c>
      <c r="J46" s="180">
        <v>101.56</v>
      </c>
      <c r="N46" s="58">
        <v>8254.6</v>
      </c>
      <c r="AH46" s="168">
        <f t="shared" si="6"/>
        <v>0</v>
      </c>
      <c r="AK46" s="169"/>
      <c r="AO46" s="58">
        <f t="shared" si="7"/>
        <v>0</v>
      </c>
    </row>
    <row r="47" s="135" customFormat="1" ht="39" customHeight="1" spans="1:54">
      <c r="A47" s="135">
        <v>24</v>
      </c>
      <c r="B47" s="135"/>
      <c r="C47" s="135" t="s">
        <v>332</v>
      </c>
      <c r="D47" s="135">
        <v>20240006475</v>
      </c>
      <c r="F47" s="164"/>
      <c r="G47" s="164" t="s">
        <v>4893</v>
      </c>
      <c r="H47" s="834" t="s">
        <v>4894</v>
      </c>
      <c r="I47" s="174" t="s">
        <v>4895</v>
      </c>
      <c r="J47" s="175">
        <v>119.74</v>
      </c>
      <c r="K47" s="135">
        <v>119.74</v>
      </c>
      <c r="L47" s="135">
        <v>8120</v>
      </c>
      <c r="M47" s="135">
        <v>972289</v>
      </c>
      <c r="N47" s="135">
        <v>8235.6</v>
      </c>
      <c r="R47" s="135">
        <v>289000</v>
      </c>
      <c r="S47" s="155" t="s">
        <v>404</v>
      </c>
      <c r="U47" s="164" t="s">
        <v>2249</v>
      </c>
      <c r="V47" s="135"/>
      <c r="W47" s="155"/>
      <c r="X47" s="135">
        <v>2289</v>
      </c>
      <c r="Y47" s="155" t="s">
        <v>332</v>
      </c>
      <c r="Z47" s="135">
        <v>289000</v>
      </c>
      <c r="AA47" s="155" t="s">
        <v>404</v>
      </c>
      <c r="AH47" s="189">
        <f t="shared" si="6"/>
        <v>291289</v>
      </c>
      <c r="AK47" s="190">
        <f>M47-AH47</f>
        <v>681000</v>
      </c>
      <c r="AL47" s="135">
        <v>13899071228</v>
      </c>
      <c r="AM47" s="135" t="s">
        <v>3254</v>
      </c>
      <c r="AO47" s="135">
        <f t="shared" si="7"/>
        <v>291289</v>
      </c>
      <c r="AP47" s="166">
        <f>0.6%+0.02%+0.08%+0.03%</f>
        <v>0.0073</v>
      </c>
      <c r="AX47" s="135">
        <v>291289</v>
      </c>
      <c r="AZ47" s="135">
        <f>AX47*AP47</f>
        <v>2126.4097</v>
      </c>
      <c r="BB47" s="135" t="s">
        <v>496</v>
      </c>
    </row>
    <row r="48" s="58" customFormat="1" customHeight="1" spans="1:41">
      <c r="A48" s="58">
        <v>25</v>
      </c>
      <c r="I48" s="179" t="s">
        <v>4896</v>
      </c>
      <c r="J48" s="180">
        <v>117.84</v>
      </c>
      <c r="N48" s="58">
        <v>5778.23</v>
      </c>
      <c r="AH48" s="168">
        <f t="shared" si="6"/>
        <v>0</v>
      </c>
      <c r="AK48" s="169"/>
      <c r="AO48" s="58">
        <f t="shared" si="7"/>
        <v>0</v>
      </c>
    </row>
    <row r="49" s="58" customFormat="1" customHeight="1" spans="1:41">
      <c r="A49" s="58">
        <v>26</v>
      </c>
      <c r="I49" s="181" t="s">
        <v>4897</v>
      </c>
      <c r="J49" s="180">
        <v>117.84</v>
      </c>
      <c r="N49" s="58">
        <v>5759.23</v>
      </c>
      <c r="AH49" s="168">
        <f t="shared" si="6"/>
        <v>0</v>
      </c>
      <c r="AK49" s="169"/>
      <c r="AO49" s="58">
        <f t="shared" si="7"/>
        <v>0</v>
      </c>
    </row>
    <row r="50" s="135" customFormat="1" customHeight="1" spans="1:50">
      <c r="A50" s="135">
        <v>27</v>
      </c>
      <c r="B50" s="135"/>
      <c r="F50" s="834" t="s">
        <v>4898</v>
      </c>
      <c r="G50" s="135" t="s">
        <v>4899</v>
      </c>
      <c r="H50" s="834" t="s">
        <v>4900</v>
      </c>
      <c r="I50" s="177" t="s">
        <v>4901</v>
      </c>
      <c r="J50" s="175">
        <v>117.84</v>
      </c>
      <c r="K50" s="135">
        <v>117.84</v>
      </c>
      <c r="L50" s="135">
        <v>5685.68</v>
      </c>
      <c r="M50" s="135">
        <v>670000</v>
      </c>
      <c r="N50" s="135">
        <v>5685.675</v>
      </c>
      <c r="O50" s="135"/>
      <c r="S50" s="155"/>
      <c r="U50" s="135" t="s">
        <v>515</v>
      </c>
      <c r="V50" s="135">
        <f>20000-20000</f>
        <v>0</v>
      </c>
      <c r="W50" s="155">
        <v>45543</v>
      </c>
      <c r="AH50" s="189">
        <f t="shared" si="6"/>
        <v>0</v>
      </c>
      <c r="AK50" s="190">
        <f t="shared" ref="AK50:AK53" si="8">M50-AH50</f>
        <v>670000</v>
      </c>
      <c r="AL50" s="135">
        <v>15352763799</v>
      </c>
      <c r="AO50" s="135">
        <f t="shared" si="7"/>
        <v>0</v>
      </c>
      <c r="AP50" s="162">
        <f>0.4%+0.02%+0.1%</f>
        <v>0.0052</v>
      </c>
      <c r="AT50" s="58"/>
      <c r="AU50" s="58"/>
      <c r="AV50" s="58"/>
      <c r="AW50" s="58"/>
      <c r="AX50" s="58"/>
    </row>
    <row r="51" s="135" customFormat="1" customHeight="1" spans="1:54">
      <c r="A51" s="135">
        <v>28</v>
      </c>
      <c r="B51" s="135"/>
      <c r="C51" s="135" t="s">
        <v>88</v>
      </c>
      <c r="D51" s="135">
        <v>20240005587</v>
      </c>
      <c r="F51" s="834" t="s">
        <v>335</v>
      </c>
      <c r="G51" s="135" t="s">
        <v>336</v>
      </c>
      <c r="I51" s="177" t="s">
        <v>4902</v>
      </c>
      <c r="J51" s="175">
        <v>117.84</v>
      </c>
      <c r="K51" s="135">
        <v>117.84</v>
      </c>
      <c r="L51" s="135">
        <v>5600.81</v>
      </c>
      <c r="M51" s="135">
        <v>660000</v>
      </c>
      <c r="N51" s="135">
        <v>5600.816</v>
      </c>
      <c r="O51" s="135"/>
      <c r="S51" s="155"/>
      <c r="U51" s="135" t="s">
        <v>2249</v>
      </c>
      <c r="V51" s="135">
        <v>10000</v>
      </c>
      <c r="W51" s="155">
        <v>45542</v>
      </c>
      <c r="X51" s="135">
        <v>130000</v>
      </c>
      <c r="Y51" s="155" t="s">
        <v>88</v>
      </c>
      <c r="AH51" s="189">
        <f t="shared" si="6"/>
        <v>140000</v>
      </c>
      <c r="AK51" s="190">
        <f t="shared" si="8"/>
        <v>520000</v>
      </c>
      <c r="AL51" s="135">
        <v>18997601601</v>
      </c>
      <c r="AM51" s="135" t="s">
        <v>4903</v>
      </c>
      <c r="AO51" s="135">
        <f t="shared" si="7"/>
        <v>0</v>
      </c>
      <c r="AP51" s="162">
        <f>0.4%+0.02%+0.1%</f>
        <v>0.0052</v>
      </c>
      <c r="AT51" s="58"/>
      <c r="AU51" s="58"/>
      <c r="AV51" s="58"/>
      <c r="AW51" s="58"/>
      <c r="AX51" s="58"/>
      <c r="BB51" s="135" t="s">
        <v>496</v>
      </c>
    </row>
    <row r="52" s="135" customFormat="1" customHeight="1" spans="1:54">
      <c r="A52" s="135">
        <v>29</v>
      </c>
      <c r="B52" s="135"/>
      <c r="C52" s="135" t="s">
        <v>401</v>
      </c>
      <c r="D52" s="135">
        <v>20240007256</v>
      </c>
      <c r="F52" s="834" t="s">
        <v>402</v>
      </c>
      <c r="G52" s="135" t="s">
        <v>403</v>
      </c>
      <c r="H52" s="834" t="s">
        <v>4904</v>
      </c>
      <c r="I52" s="177" t="s">
        <v>4905</v>
      </c>
      <c r="J52" s="175">
        <v>117.84</v>
      </c>
      <c r="K52" s="135">
        <v>117.84</v>
      </c>
      <c r="L52" s="135">
        <v>5515.95</v>
      </c>
      <c r="M52" s="135">
        <v>650000</v>
      </c>
      <c r="N52" s="135">
        <v>5865.49</v>
      </c>
      <c r="O52" s="135"/>
      <c r="R52" s="135">
        <f>350000+280000</f>
        <v>630000</v>
      </c>
      <c r="S52" s="135" t="s">
        <v>401</v>
      </c>
      <c r="U52" s="135" t="s">
        <v>594</v>
      </c>
      <c r="V52" s="135">
        <v>20000</v>
      </c>
      <c r="W52" s="135" t="s">
        <v>219</v>
      </c>
      <c r="X52" s="135">
        <v>280000</v>
      </c>
      <c r="Y52" s="135" t="s">
        <v>401</v>
      </c>
      <c r="Z52" s="135">
        <v>350000</v>
      </c>
      <c r="AA52" s="135" t="s">
        <v>903</v>
      </c>
      <c r="AH52" s="189">
        <f t="shared" si="6"/>
        <v>650000</v>
      </c>
      <c r="AK52" s="190">
        <f t="shared" si="8"/>
        <v>0</v>
      </c>
      <c r="AL52" s="135">
        <v>13667548933</v>
      </c>
      <c r="AM52" s="135" t="s">
        <v>3283</v>
      </c>
      <c r="AO52" s="135">
        <f t="shared" si="7"/>
        <v>650000</v>
      </c>
      <c r="AP52" s="199">
        <f>0.6%+0.03%+0.08%+0.03%</f>
        <v>0.0074</v>
      </c>
      <c r="AX52" s="135">
        <v>650000</v>
      </c>
      <c r="AZ52" s="135">
        <f t="shared" ref="AZ52:AZ56" si="9">AX52*AP52</f>
        <v>4810</v>
      </c>
      <c r="BB52" s="135" t="s">
        <v>496</v>
      </c>
    </row>
    <row r="53" s="135" customFormat="1" customHeight="1" spans="1:54">
      <c r="A53" s="135">
        <v>30</v>
      </c>
      <c r="B53" s="135"/>
      <c r="C53" s="135" t="s">
        <v>404</v>
      </c>
      <c r="D53" s="135">
        <v>20240007357</v>
      </c>
      <c r="G53" s="135" t="s">
        <v>405</v>
      </c>
      <c r="I53" s="174" t="s">
        <v>4906</v>
      </c>
      <c r="J53" s="175">
        <v>117.84</v>
      </c>
      <c r="K53" s="135">
        <v>117.84</v>
      </c>
      <c r="L53" s="135">
        <f>M53/K53</f>
        <v>5855.39714867617</v>
      </c>
      <c r="M53" s="135">
        <v>690000</v>
      </c>
      <c r="N53" s="135">
        <v>5846.49</v>
      </c>
      <c r="R53" s="135">
        <v>670000</v>
      </c>
      <c r="S53" s="135" t="s">
        <v>404</v>
      </c>
      <c r="U53" s="135" t="s">
        <v>1427</v>
      </c>
      <c r="V53" s="135">
        <v>20000</v>
      </c>
      <c r="W53" s="135" t="s">
        <v>4907</v>
      </c>
      <c r="X53" s="135">
        <v>670000</v>
      </c>
      <c r="Y53" s="135" t="s">
        <v>404</v>
      </c>
      <c r="AH53" s="189">
        <f t="shared" si="6"/>
        <v>690000</v>
      </c>
      <c r="AK53" s="190">
        <f t="shared" si="8"/>
        <v>0</v>
      </c>
      <c r="AO53" s="135">
        <f t="shared" si="7"/>
        <v>690000</v>
      </c>
      <c r="AP53" s="162">
        <f>0.6%+0.02%+0.08%+0.03%</f>
        <v>0.0073</v>
      </c>
      <c r="AX53" s="135">
        <v>690000</v>
      </c>
      <c r="AZ53" s="135">
        <f t="shared" si="9"/>
        <v>5037</v>
      </c>
      <c r="BB53" s="135" t="s">
        <v>496</v>
      </c>
    </row>
    <row r="54" s="135" customFormat="1" customHeight="1" spans="1:55">
      <c r="A54" s="135">
        <v>31</v>
      </c>
      <c r="C54" s="155">
        <v>45414</v>
      </c>
      <c r="D54" s="135">
        <v>20240002496</v>
      </c>
      <c r="F54" s="834" t="s">
        <v>4908</v>
      </c>
      <c r="G54" s="135" t="s">
        <v>4909</v>
      </c>
      <c r="H54" s="834" t="s">
        <v>4910</v>
      </c>
      <c r="I54" s="174" t="s">
        <v>4911</v>
      </c>
      <c r="J54" s="175">
        <v>117.84</v>
      </c>
      <c r="K54" s="135">
        <v>117.84</v>
      </c>
      <c r="L54" s="135">
        <v>5939.84</v>
      </c>
      <c r="M54" s="135">
        <v>699951</v>
      </c>
      <c r="N54" s="135">
        <v>5939.84</v>
      </c>
      <c r="U54" s="135" t="s">
        <v>515</v>
      </c>
      <c r="V54" s="184">
        <v>20000</v>
      </c>
      <c r="W54" s="185" t="s">
        <v>3602</v>
      </c>
      <c r="X54" s="135">
        <v>76951</v>
      </c>
      <c r="Y54" s="135" t="s">
        <v>3451</v>
      </c>
      <c r="Z54" s="135">
        <v>53000</v>
      </c>
      <c r="AA54" s="135" t="s">
        <v>823</v>
      </c>
      <c r="AB54" s="135">
        <v>550000</v>
      </c>
      <c r="AC54" s="135" t="s">
        <v>4284</v>
      </c>
      <c r="AH54" s="189">
        <f t="shared" si="6"/>
        <v>699951</v>
      </c>
      <c r="AK54" s="190">
        <f t="shared" ref="AK54:AK65" si="10">M54-AH54</f>
        <v>0</v>
      </c>
      <c r="AL54" s="135">
        <v>15276466926</v>
      </c>
      <c r="AO54" s="135">
        <f t="shared" si="7"/>
        <v>699951</v>
      </c>
      <c r="AP54" s="162">
        <f>0.7%+0.03%+0.12%</f>
        <v>0.0085</v>
      </c>
      <c r="AR54" s="135">
        <v>149951</v>
      </c>
      <c r="AS54" s="135">
        <v>550000</v>
      </c>
      <c r="BB54" s="135" t="s">
        <v>496</v>
      </c>
      <c r="BC54" s="135" t="s">
        <v>506</v>
      </c>
    </row>
    <row r="55" s="135" customFormat="1" customHeight="1" spans="1:55">
      <c r="A55" s="135">
        <v>32</v>
      </c>
      <c r="C55" s="155">
        <v>45415</v>
      </c>
      <c r="D55" s="135">
        <v>20240002507</v>
      </c>
      <c r="F55" s="834" t="s">
        <v>4912</v>
      </c>
      <c r="G55" s="135" t="s">
        <v>4913</v>
      </c>
      <c r="H55" s="834" t="s">
        <v>4914</v>
      </c>
      <c r="I55" s="177" t="s">
        <v>4915</v>
      </c>
      <c r="J55" s="175">
        <v>117.84</v>
      </c>
      <c r="K55" s="135">
        <v>117.84</v>
      </c>
      <c r="L55" s="135">
        <v>5920.84</v>
      </c>
      <c r="M55" s="135">
        <v>697712</v>
      </c>
      <c r="N55" s="135">
        <v>5920.84</v>
      </c>
      <c r="T55" s="834" t="s">
        <v>4380</v>
      </c>
      <c r="U55" s="135" t="s">
        <v>825</v>
      </c>
      <c r="V55" s="135">
        <v>2000</v>
      </c>
      <c r="W55" s="135" t="s">
        <v>504</v>
      </c>
      <c r="X55" s="135">
        <v>18000</v>
      </c>
      <c r="Y55" s="135" t="s">
        <v>3802</v>
      </c>
      <c r="Z55" s="135">
        <v>119712</v>
      </c>
      <c r="AA55" s="135" t="s">
        <v>1005</v>
      </c>
      <c r="AB55" s="135">
        <v>558000</v>
      </c>
      <c r="AC55" s="135" t="s">
        <v>4916</v>
      </c>
      <c r="AH55" s="189">
        <f t="shared" si="6"/>
        <v>697712</v>
      </c>
      <c r="AK55" s="190">
        <f t="shared" si="10"/>
        <v>0</v>
      </c>
      <c r="AL55" s="135">
        <v>18193556127</v>
      </c>
      <c r="AO55" s="135">
        <f t="shared" si="7"/>
        <v>697712</v>
      </c>
      <c r="AP55" s="162">
        <f>0.4%+0.12%</f>
        <v>0.0052</v>
      </c>
      <c r="AQ55" s="135">
        <v>139712</v>
      </c>
      <c r="AV55" s="135">
        <v>558000</v>
      </c>
      <c r="BB55" s="135" t="s">
        <v>496</v>
      </c>
      <c r="BC55" s="135" t="s">
        <v>506</v>
      </c>
    </row>
    <row r="56" s="135" customFormat="1" customHeight="1" spans="1:54">
      <c r="A56" s="135">
        <v>33</v>
      </c>
      <c r="C56" s="135" t="s">
        <v>406</v>
      </c>
      <c r="D56" s="135">
        <v>20240002528</v>
      </c>
      <c r="G56" s="135" t="s">
        <v>407</v>
      </c>
      <c r="I56" s="174" t="s">
        <v>4917</v>
      </c>
      <c r="J56" s="175">
        <v>117.84</v>
      </c>
      <c r="K56" s="135">
        <v>117.84</v>
      </c>
      <c r="L56" s="135">
        <f>M56/K56</f>
        <v>5982.6883910387</v>
      </c>
      <c r="M56" s="135">
        <v>705000</v>
      </c>
      <c r="N56" s="135">
        <v>5982.69</v>
      </c>
      <c r="R56" s="135">
        <f>100000+100000</f>
        <v>200000</v>
      </c>
      <c r="S56" s="155" t="s">
        <v>401</v>
      </c>
      <c r="U56" s="135" t="s">
        <v>524</v>
      </c>
      <c r="V56" s="135">
        <v>2000</v>
      </c>
      <c r="W56" s="135" t="s">
        <v>4072</v>
      </c>
      <c r="X56" s="135">
        <v>18000</v>
      </c>
      <c r="Y56" s="135" t="s">
        <v>3802</v>
      </c>
      <c r="Z56" s="135">
        <v>335000</v>
      </c>
      <c r="AA56" s="135" t="s">
        <v>406</v>
      </c>
      <c r="AB56" s="135">
        <v>50000</v>
      </c>
      <c r="AC56" s="135" t="s">
        <v>797</v>
      </c>
      <c r="AD56" s="135">
        <v>50000</v>
      </c>
      <c r="AE56" s="135" t="s">
        <v>4523</v>
      </c>
      <c r="AF56" s="135">
        <f>100000+50000+100000</f>
        <v>250000</v>
      </c>
      <c r="AG56" s="191" t="s">
        <v>4918</v>
      </c>
      <c r="AH56" s="189">
        <f t="shared" si="6"/>
        <v>705000</v>
      </c>
      <c r="AK56" s="190">
        <f t="shared" si="10"/>
        <v>0</v>
      </c>
      <c r="AL56" s="135">
        <v>15099978299</v>
      </c>
      <c r="AO56" s="135">
        <f>SUM(AQ56:BA56)</f>
        <v>710781</v>
      </c>
      <c r="AP56" s="162">
        <f>0.7%+0.12%</f>
        <v>0.0082</v>
      </c>
      <c r="AX56" s="135">
        <v>705000</v>
      </c>
      <c r="AZ56" s="135">
        <f t="shared" si="9"/>
        <v>5781</v>
      </c>
      <c r="BB56" s="135" t="s">
        <v>496</v>
      </c>
    </row>
    <row r="57" s="135" customFormat="1" customHeight="1" spans="1:54">
      <c r="A57" s="135">
        <v>34</v>
      </c>
      <c r="C57" s="155">
        <v>45539</v>
      </c>
      <c r="D57" s="135">
        <v>20240005079</v>
      </c>
      <c r="F57" s="834" t="s">
        <v>337</v>
      </c>
      <c r="G57" s="135" t="s">
        <v>338</v>
      </c>
      <c r="H57" s="834" t="s">
        <v>4874</v>
      </c>
      <c r="I57" s="177" t="s">
        <v>4919</v>
      </c>
      <c r="J57" s="182">
        <v>117.84</v>
      </c>
      <c r="K57" s="135">
        <v>117.84</v>
      </c>
      <c r="L57" s="135">
        <f>M57/K57</f>
        <v>5689.75729803123</v>
      </c>
      <c r="M57" s="135">
        <v>670481</v>
      </c>
      <c r="N57" s="135">
        <v>5689.76</v>
      </c>
      <c r="S57" s="155"/>
      <c r="U57" s="135" t="s">
        <v>495</v>
      </c>
      <c r="V57" s="135">
        <v>20000</v>
      </c>
      <c r="W57" s="135" t="s">
        <v>4920</v>
      </c>
      <c r="X57" s="135">
        <v>80000</v>
      </c>
      <c r="Y57" s="135" t="s">
        <v>1145</v>
      </c>
      <c r="Z57" s="135">
        <v>40481</v>
      </c>
      <c r="AA57" s="155">
        <v>45539</v>
      </c>
      <c r="AH57" s="189">
        <f t="shared" si="6"/>
        <v>140481</v>
      </c>
      <c r="AK57" s="190">
        <f t="shared" si="10"/>
        <v>530000</v>
      </c>
      <c r="AL57" s="135">
        <v>17393381950</v>
      </c>
      <c r="AM57" s="135" t="s">
        <v>4921</v>
      </c>
      <c r="AO57" s="135">
        <f>SUM(AQ57:BA57)</f>
        <v>140480</v>
      </c>
      <c r="AP57" s="200">
        <f>0.7%+0.04%+0.08%</f>
        <v>0.0082</v>
      </c>
      <c r="AU57" s="135">
        <v>140480</v>
      </c>
      <c r="BB57" s="135" t="s">
        <v>496</v>
      </c>
    </row>
    <row r="58" s="135" customFormat="1" customHeight="1" spans="1:54">
      <c r="A58" s="135">
        <v>35</v>
      </c>
      <c r="C58" s="135" t="s">
        <v>163</v>
      </c>
      <c r="D58" s="135">
        <v>20240005742</v>
      </c>
      <c r="F58" s="834" t="s">
        <v>339</v>
      </c>
      <c r="G58" s="135" t="s">
        <v>340</v>
      </c>
      <c r="I58" s="174" t="s">
        <v>4922</v>
      </c>
      <c r="J58" s="175">
        <v>117.84</v>
      </c>
      <c r="K58" s="135">
        <v>117.84</v>
      </c>
      <c r="L58" s="135">
        <v>5770.54</v>
      </c>
      <c r="M58" s="135">
        <v>680000</v>
      </c>
      <c r="N58" s="135">
        <v>6057.67</v>
      </c>
      <c r="O58" s="135"/>
      <c r="P58" s="135"/>
      <c r="U58" s="135" t="s">
        <v>524</v>
      </c>
      <c r="V58" s="135">
        <v>20000</v>
      </c>
      <c r="W58" s="135" t="s">
        <v>1081</v>
      </c>
      <c r="X58" s="135">
        <v>660000</v>
      </c>
      <c r="Y58" s="135" t="s">
        <v>163</v>
      </c>
      <c r="AH58" s="189">
        <f t="shared" si="6"/>
        <v>680000</v>
      </c>
      <c r="AK58" s="190">
        <f t="shared" si="10"/>
        <v>0</v>
      </c>
      <c r="AL58" s="135">
        <v>18999006655</v>
      </c>
      <c r="AM58" s="135" t="s">
        <v>3321</v>
      </c>
      <c r="AO58" s="135">
        <f>SUM(AQ58:AY58)</f>
        <v>680000</v>
      </c>
      <c r="AP58" s="198">
        <f>0.7%+0.08%</f>
        <v>0.0078</v>
      </c>
      <c r="AW58" s="135">
        <v>680000</v>
      </c>
      <c r="BB58" s="135" t="s">
        <v>496</v>
      </c>
    </row>
    <row r="59" s="135" customFormat="1" customHeight="1" spans="1:54">
      <c r="A59" s="135">
        <v>36</v>
      </c>
      <c r="C59" s="135" t="s">
        <v>341</v>
      </c>
      <c r="D59" s="135">
        <v>20240004830</v>
      </c>
      <c r="F59" s="834" t="s">
        <v>342</v>
      </c>
      <c r="G59" s="135" t="s">
        <v>343</v>
      </c>
      <c r="H59" s="834" t="s">
        <v>4923</v>
      </c>
      <c r="I59" s="177" t="s">
        <v>4924</v>
      </c>
      <c r="J59" s="175">
        <v>117.84</v>
      </c>
      <c r="K59" s="135">
        <v>117.84</v>
      </c>
      <c r="L59" s="183">
        <v>5855.4</v>
      </c>
      <c r="M59" s="135">
        <v>690000</v>
      </c>
      <c r="N59" s="135">
        <v>5855.4</v>
      </c>
      <c r="S59" s="155"/>
      <c r="U59" s="135" t="s">
        <v>2249</v>
      </c>
      <c r="V59" s="135">
        <v>24000</v>
      </c>
      <c r="W59" s="135" t="s">
        <v>3603</v>
      </c>
      <c r="X59" s="135">
        <v>36000</v>
      </c>
      <c r="Y59" s="135" t="s">
        <v>341</v>
      </c>
      <c r="Z59" s="135">
        <v>580000</v>
      </c>
      <c r="AA59" s="155">
        <v>45549</v>
      </c>
      <c r="AB59" s="135">
        <v>50000</v>
      </c>
      <c r="AC59" s="155" t="s">
        <v>275</v>
      </c>
      <c r="AH59" s="189">
        <f t="shared" si="6"/>
        <v>690000</v>
      </c>
      <c r="AK59" s="190">
        <f t="shared" si="10"/>
        <v>0</v>
      </c>
      <c r="AL59" s="135">
        <v>18160282158</v>
      </c>
      <c r="AM59" s="135" t="s">
        <v>4925</v>
      </c>
      <c r="AO59" s="135">
        <f>SUM(AQ59:BA59)</f>
        <v>690000</v>
      </c>
      <c r="AP59" s="162">
        <f>0.5%+0.02%+0.08%</f>
        <v>0.006</v>
      </c>
      <c r="AW59" s="135">
        <v>690000</v>
      </c>
      <c r="BB59" s="135" t="s">
        <v>496</v>
      </c>
    </row>
    <row r="60" s="135" customFormat="1" customHeight="1" spans="1:54">
      <c r="A60" s="135">
        <v>37</v>
      </c>
      <c r="C60" s="155">
        <v>45511</v>
      </c>
      <c r="D60" s="135">
        <v>20240004552</v>
      </c>
      <c r="F60" s="135" t="s">
        <v>4926</v>
      </c>
      <c r="G60" s="135" t="s">
        <v>4927</v>
      </c>
      <c r="H60" s="834" t="s">
        <v>4928</v>
      </c>
      <c r="I60" s="174" t="s">
        <v>4929</v>
      </c>
      <c r="J60" s="175">
        <v>117.84</v>
      </c>
      <c r="K60" s="135">
        <v>117.84</v>
      </c>
      <c r="L60" s="135">
        <f>M60/K60</f>
        <v>5984.83536999321</v>
      </c>
      <c r="M60" s="135">
        <v>705253</v>
      </c>
      <c r="N60" s="135">
        <v>5984.835</v>
      </c>
      <c r="S60" s="155"/>
      <c r="U60" s="135" t="s">
        <v>590</v>
      </c>
      <c r="V60" s="135">
        <v>20000</v>
      </c>
      <c r="W60" s="135" t="s">
        <v>3925</v>
      </c>
      <c r="X60" s="135">
        <v>285253</v>
      </c>
      <c r="Y60" s="135" t="s">
        <v>352</v>
      </c>
      <c r="Z60" s="135">
        <v>400000</v>
      </c>
      <c r="AA60" s="155">
        <v>45549</v>
      </c>
      <c r="AH60" s="189">
        <f t="shared" si="6"/>
        <v>705253</v>
      </c>
      <c r="AK60" s="190">
        <f t="shared" si="10"/>
        <v>0</v>
      </c>
      <c r="AL60" s="135">
        <v>17361568014</v>
      </c>
      <c r="AM60" s="135" t="s">
        <v>4054</v>
      </c>
      <c r="AO60" s="135">
        <f>SUM(AQ60:AY60)</f>
        <v>705253</v>
      </c>
      <c r="AP60" s="198">
        <f>0.7%+0.02%+0.08%</f>
        <v>0.008</v>
      </c>
      <c r="AT60" s="135">
        <v>305253</v>
      </c>
      <c r="AU60" s="135">
        <v>400000</v>
      </c>
      <c r="BB60" s="135" t="s">
        <v>496</v>
      </c>
    </row>
    <row r="61" s="135" customFormat="1" customHeight="1" spans="1:61">
      <c r="A61" s="135">
        <v>38</v>
      </c>
      <c r="C61" s="155">
        <v>45477</v>
      </c>
      <c r="D61" s="135">
        <v>20240003855</v>
      </c>
      <c r="F61" s="834" t="s">
        <v>4930</v>
      </c>
      <c r="G61" s="135" t="s">
        <v>4931</v>
      </c>
      <c r="H61" s="834" t="s">
        <v>4932</v>
      </c>
      <c r="I61" s="177" t="s">
        <v>4933</v>
      </c>
      <c r="J61" s="175">
        <v>117.84</v>
      </c>
      <c r="K61" s="135">
        <v>117.84</v>
      </c>
      <c r="L61" s="135">
        <v>5900</v>
      </c>
      <c r="M61" s="135">
        <f>L61*K61</f>
        <v>695256</v>
      </c>
      <c r="N61" s="135">
        <v>5900</v>
      </c>
      <c r="U61" s="135" t="s">
        <v>590</v>
      </c>
      <c r="V61" s="135">
        <v>5000</v>
      </c>
      <c r="W61" s="135" t="s">
        <v>3269</v>
      </c>
      <c r="X61" s="135">
        <v>140256</v>
      </c>
      <c r="Y61" s="135" t="s">
        <v>4854</v>
      </c>
      <c r="Z61" s="135">
        <v>550000</v>
      </c>
      <c r="AA61" s="135" t="s">
        <v>3529</v>
      </c>
      <c r="AH61" s="189">
        <f t="shared" si="6"/>
        <v>695256</v>
      </c>
      <c r="AK61" s="190">
        <f t="shared" si="10"/>
        <v>0</v>
      </c>
      <c r="AL61" s="135">
        <v>18709962570</v>
      </c>
      <c r="AM61" s="135" t="s">
        <v>4925</v>
      </c>
      <c r="AO61" s="135">
        <f>SUM(AQ61:AY61)</f>
        <v>695256</v>
      </c>
      <c r="AP61" s="166">
        <f>0.7%+0.02%+0.08%</f>
        <v>0.008</v>
      </c>
      <c r="AS61" s="135">
        <v>695256</v>
      </c>
      <c r="BB61" s="135" t="s">
        <v>496</v>
      </c>
      <c r="BC61" s="135" t="s">
        <v>506</v>
      </c>
      <c r="BG61" s="135">
        <f>AO61*0.007</f>
        <v>4866.792</v>
      </c>
      <c r="BH61" s="135">
        <f>AO61*0.005</f>
        <v>3476.28</v>
      </c>
      <c r="BI61" s="135">
        <f>BG61-BH61</f>
        <v>1390.512</v>
      </c>
    </row>
    <row r="62" s="135" customFormat="1" customHeight="1" spans="1:59">
      <c r="A62" s="135">
        <v>39</v>
      </c>
      <c r="B62" s="135"/>
      <c r="C62" s="135" t="s">
        <v>344</v>
      </c>
      <c r="D62" s="135">
        <v>20240006700</v>
      </c>
      <c r="F62" s="834" t="s">
        <v>345</v>
      </c>
      <c r="G62" s="135" t="s">
        <v>346</v>
      </c>
      <c r="I62" s="174" t="s">
        <v>4934</v>
      </c>
      <c r="J62" s="175">
        <v>117.84</v>
      </c>
      <c r="K62" s="135">
        <v>117.84</v>
      </c>
      <c r="L62" s="135">
        <v>5982.69</v>
      </c>
      <c r="M62" s="135">
        <v>705000</v>
      </c>
      <c r="N62" s="135">
        <v>5982.69</v>
      </c>
      <c r="O62" s="135"/>
      <c r="R62" s="135">
        <v>355000</v>
      </c>
      <c r="S62" s="155" t="s">
        <v>3735</v>
      </c>
      <c r="U62" s="135" t="s">
        <v>508</v>
      </c>
      <c r="V62" s="135">
        <v>150000</v>
      </c>
      <c r="W62" s="155">
        <v>45542</v>
      </c>
      <c r="X62" s="135">
        <v>200000</v>
      </c>
      <c r="Y62" s="155" t="s">
        <v>344</v>
      </c>
      <c r="Z62" s="135">
        <v>355000</v>
      </c>
      <c r="AA62" s="155" t="s">
        <v>3735</v>
      </c>
      <c r="AH62" s="189">
        <f t="shared" si="6"/>
        <v>705000</v>
      </c>
      <c r="AK62" s="190">
        <f t="shared" si="10"/>
        <v>0</v>
      </c>
      <c r="AL62" s="135">
        <v>18709963278</v>
      </c>
      <c r="AO62" s="135">
        <f t="shared" ref="AO62:AO76" si="11">SUM(AQ62:AY62)</f>
        <v>705000</v>
      </c>
      <c r="AP62" s="162">
        <f>0.4%+0.02%+0.1%</f>
        <v>0.0052</v>
      </c>
      <c r="AW62" s="135">
        <v>350000</v>
      </c>
      <c r="AX62" s="135">
        <v>355000</v>
      </c>
      <c r="AZ62" s="135">
        <f>AX62*AP62</f>
        <v>1846</v>
      </c>
      <c r="BB62" s="135" t="s">
        <v>496</v>
      </c>
      <c r="BG62" s="164"/>
    </row>
    <row r="63" s="135" customFormat="1" customHeight="1" spans="1:54">
      <c r="A63" s="135">
        <v>40</v>
      </c>
      <c r="B63" s="135"/>
      <c r="C63" s="135" t="s">
        <v>88</v>
      </c>
      <c r="D63" s="135">
        <v>20240005482</v>
      </c>
      <c r="F63" s="834" t="s">
        <v>347</v>
      </c>
      <c r="G63" s="135" t="s">
        <v>348</v>
      </c>
      <c r="H63" s="834" t="s">
        <v>4935</v>
      </c>
      <c r="I63" s="177" t="s">
        <v>4936</v>
      </c>
      <c r="J63" s="175">
        <v>117.84</v>
      </c>
      <c r="K63" s="135">
        <v>117.84</v>
      </c>
      <c r="L63" s="135">
        <v>5685.67</v>
      </c>
      <c r="M63" s="135">
        <v>670000</v>
      </c>
      <c r="N63" s="135">
        <v>5685.675</v>
      </c>
      <c r="O63" s="135"/>
      <c r="S63" s="155"/>
      <c r="U63" s="135" t="s">
        <v>524</v>
      </c>
      <c r="V63" s="135">
        <v>20000</v>
      </c>
      <c r="W63" s="155">
        <v>45543</v>
      </c>
      <c r="X63" s="135">
        <v>450000</v>
      </c>
      <c r="Y63" s="155">
        <v>45552</v>
      </c>
      <c r="Z63" s="135">
        <v>200000</v>
      </c>
      <c r="AA63" s="155" t="s">
        <v>600</v>
      </c>
      <c r="AH63" s="189">
        <f t="shared" si="6"/>
        <v>670000</v>
      </c>
      <c r="AK63" s="190">
        <f t="shared" si="10"/>
        <v>0</v>
      </c>
      <c r="AL63" s="135">
        <v>18299824155</v>
      </c>
      <c r="AO63" s="135">
        <f t="shared" si="11"/>
        <v>670000</v>
      </c>
      <c r="AP63" s="166">
        <f>0.7%+0.1%</f>
        <v>0.008</v>
      </c>
      <c r="AT63" s="58"/>
      <c r="AU63" s="58"/>
      <c r="AV63" s="58">
        <v>670000</v>
      </c>
      <c r="AW63" s="58"/>
      <c r="AX63" s="58"/>
      <c r="BB63" s="135" t="s">
        <v>496</v>
      </c>
    </row>
    <row r="64" s="135" customFormat="1" customHeight="1" spans="1:42">
      <c r="A64" s="135">
        <v>41</v>
      </c>
      <c r="B64" s="135">
        <v>1</v>
      </c>
      <c r="F64" s="834" t="s">
        <v>4937</v>
      </c>
      <c r="G64" s="135" t="s">
        <v>4938</v>
      </c>
      <c r="H64" s="834" t="s">
        <v>4939</v>
      </c>
      <c r="I64" s="174" t="s">
        <v>4940</v>
      </c>
      <c r="J64" s="175">
        <v>117.84</v>
      </c>
      <c r="K64" s="135">
        <v>117.84</v>
      </c>
      <c r="L64" s="135">
        <v>5750</v>
      </c>
      <c r="M64" s="135">
        <v>677580</v>
      </c>
      <c r="N64" s="135">
        <v>6135.49</v>
      </c>
      <c r="O64" s="135"/>
      <c r="R64" s="135">
        <v>20000</v>
      </c>
      <c r="S64" s="135" t="s">
        <v>386</v>
      </c>
      <c r="U64" s="135" t="s">
        <v>825</v>
      </c>
      <c r="V64" s="135">
        <v>20000</v>
      </c>
      <c r="W64" s="135" t="s">
        <v>386</v>
      </c>
      <c r="AH64" s="189">
        <f t="shared" si="6"/>
        <v>20000</v>
      </c>
      <c r="AK64" s="190">
        <f t="shared" si="10"/>
        <v>657580</v>
      </c>
      <c r="AL64" s="135">
        <v>13667503926</v>
      </c>
      <c r="AM64" s="135" t="s">
        <v>3325</v>
      </c>
      <c r="AO64" s="135">
        <f t="shared" si="11"/>
        <v>0</v>
      </c>
      <c r="AP64" s="162">
        <f>0.7%+0.12%+0.03%</f>
        <v>0.0085</v>
      </c>
    </row>
    <row r="65" s="135" customFormat="1" customHeight="1" spans="1:54">
      <c r="A65" s="135">
        <v>42</v>
      </c>
      <c r="B65" s="135"/>
      <c r="C65" s="135" t="s">
        <v>386</v>
      </c>
      <c r="D65" s="135">
        <v>20240007531</v>
      </c>
      <c r="F65" s="834" t="s">
        <v>408</v>
      </c>
      <c r="G65" s="135" t="s">
        <v>409</v>
      </c>
      <c r="H65" s="834" t="s">
        <v>4941</v>
      </c>
      <c r="I65" s="177" t="s">
        <v>4942</v>
      </c>
      <c r="J65" s="175">
        <v>117.84</v>
      </c>
      <c r="K65" s="135">
        <v>117.84</v>
      </c>
      <c r="L65" s="135">
        <v>5685.68</v>
      </c>
      <c r="M65" s="135">
        <v>670000</v>
      </c>
      <c r="N65" s="135">
        <v>6116.49</v>
      </c>
      <c r="O65" s="135"/>
      <c r="R65" s="135">
        <f>80000+20000+70000</f>
        <v>170000</v>
      </c>
      <c r="S65" s="135" t="s">
        <v>3253</v>
      </c>
      <c r="U65" s="135" t="s">
        <v>502</v>
      </c>
      <c r="V65" s="135">
        <v>20000</v>
      </c>
      <c r="W65" s="135" t="s">
        <v>3253</v>
      </c>
      <c r="X65" s="135">
        <v>80000</v>
      </c>
      <c r="Y65" s="135" t="s">
        <v>3324</v>
      </c>
      <c r="Z65" s="135">
        <v>70000</v>
      </c>
      <c r="AA65" s="135" t="s">
        <v>386</v>
      </c>
      <c r="AH65" s="189">
        <f t="shared" si="6"/>
        <v>170000</v>
      </c>
      <c r="AK65" s="190">
        <f t="shared" si="10"/>
        <v>500000</v>
      </c>
      <c r="AL65" s="135">
        <v>15276242663</v>
      </c>
      <c r="AM65" s="135" t="s">
        <v>3283</v>
      </c>
      <c r="AO65" s="135">
        <f t="shared" si="11"/>
        <v>170000</v>
      </c>
      <c r="AP65" s="162">
        <f>0.6%+0.08%+0.03%</f>
        <v>0.0071</v>
      </c>
      <c r="AX65" s="135">
        <v>170000</v>
      </c>
      <c r="AZ65" s="135">
        <f>AX65*AP65</f>
        <v>1207</v>
      </c>
      <c r="BB65" s="135" t="s">
        <v>496</v>
      </c>
    </row>
    <row r="66" s="58" customFormat="1" customHeight="1" spans="1:41">
      <c r="A66" s="58">
        <v>43</v>
      </c>
      <c r="I66" s="203" t="s">
        <v>4943</v>
      </c>
      <c r="J66" s="180">
        <v>117.84</v>
      </c>
      <c r="N66" s="58">
        <v>7141.6</v>
      </c>
      <c r="AH66" s="168">
        <f t="shared" si="6"/>
        <v>0</v>
      </c>
      <c r="AK66" s="169"/>
      <c r="AO66" s="58">
        <f t="shared" si="11"/>
        <v>0</v>
      </c>
    </row>
    <row r="67" s="58" customFormat="1" customHeight="1" spans="1:41">
      <c r="A67" s="58">
        <v>44</v>
      </c>
      <c r="I67" s="181" t="s">
        <v>4944</v>
      </c>
      <c r="J67" s="180">
        <v>117.84</v>
      </c>
      <c r="N67" s="58">
        <v>7124.6</v>
      </c>
      <c r="AH67" s="168">
        <f t="shared" si="6"/>
        <v>0</v>
      </c>
      <c r="AK67" s="169"/>
      <c r="AO67" s="58">
        <f t="shared" si="11"/>
        <v>0</v>
      </c>
    </row>
    <row r="68" s="58" customFormat="1" customHeight="1" spans="1:41">
      <c r="A68" s="58">
        <v>45</v>
      </c>
      <c r="I68" s="181" t="s">
        <v>4945</v>
      </c>
      <c r="J68" s="180">
        <v>119.74</v>
      </c>
      <c r="N68" s="58">
        <v>8239.6</v>
      </c>
      <c r="AH68" s="168">
        <f t="shared" si="6"/>
        <v>0</v>
      </c>
      <c r="AK68" s="169"/>
      <c r="AO68" s="58">
        <f t="shared" si="11"/>
        <v>0</v>
      </c>
    </row>
    <row r="69" s="58" customFormat="1" customHeight="1" spans="1:41">
      <c r="A69" s="58">
        <v>46</v>
      </c>
      <c r="I69" s="179" t="s">
        <v>4946</v>
      </c>
      <c r="J69" s="180">
        <v>101.56</v>
      </c>
      <c r="N69" s="58">
        <v>8220.6</v>
      </c>
      <c r="AH69" s="168">
        <f t="shared" si="6"/>
        <v>0</v>
      </c>
      <c r="AK69" s="169"/>
      <c r="AO69" s="58">
        <f t="shared" si="11"/>
        <v>0</v>
      </c>
    </row>
    <row r="70" s="58" customFormat="1" customHeight="1" spans="1:41">
      <c r="A70" s="58">
        <v>47</v>
      </c>
      <c r="I70" s="181" t="s">
        <v>4947</v>
      </c>
      <c r="J70" s="180">
        <v>117.84</v>
      </c>
      <c r="N70" s="58">
        <v>5763.23</v>
      </c>
      <c r="AH70" s="168">
        <f t="shared" si="6"/>
        <v>0</v>
      </c>
      <c r="AK70" s="169"/>
      <c r="AO70" s="58">
        <f t="shared" si="11"/>
        <v>0</v>
      </c>
    </row>
    <row r="71" s="58" customFormat="1" customHeight="1" spans="1:41">
      <c r="A71" s="58">
        <v>48</v>
      </c>
      <c r="I71" s="179" t="s">
        <v>4948</v>
      </c>
      <c r="J71" s="180">
        <v>117.84</v>
      </c>
      <c r="N71" s="58">
        <v>5744.23</v>
      </c>
      <c r="AH71" s="168">
        <f t="shared" si="6"/>
        <v>0</v>
      </c>
      <c r="AK71" s="169"/>
      <c r="AO71" s="58">
        <f t="shared" si="11"/>
        <v>0</v>
      </c>
    </row>
    <row r="72" s="135" customFormat="1" customHeight="1" spans="1:54">
      <c r="A72" s="135">
        <v>49</v>
      </c>
      <c r="B72" s="135"/>
      <c r="C72" s="135" t="s">
        <v>349</v>
      </c>
      <c r="D72" s="135">
        <v>20240005944</v>
      </c>
      <c r="F72" s="834" t="s">
        <v>350</v>
      </c>
      <c r="G72" s="135" t="s">
        <v>351</v>
      </c>
      <c r="H72" s="834" t="s">
        <v>4949</v>
      </c>
      <c r="I72" s="174" t="s">
        <v>4950</v>
      </c>
      <c r="J72" s="175">
        <v>117.84</v>
      </c>
      <c r="K72" s="135">
        <v>117.84</v>
      </c>
      <c r="L72" s="135">
        <v>5500</v>
      </c>
      <c r="M72" s="135">
        <v>648120</v>
      </c>
      <c r="N72" s="135">
        <v>5500</v>
      </c>
      <c r="O72" s="135"/>
      <c r="R72" s="135">
        <v>518000</v>
      </c>
      <c r="S72" s="135" t="s">
        <v>865</v>
      </c>
      <c r="U72" s="135" t="s">
        <v>842</v>
      </c>
      <c r="V72" s="135">
        <v>10000</v>
      </c>
      <c r="W72" s="135" t="s">
        <v>125</v>
      </c>
      <c r="X72" s="135">
        <v>120120</v>
      </c>
      <c r="Y72" s="135" t="s">
        <v>349</v>
      </c>
      <c r="Z72" s="135">
        <v>518000</v>
      </c>
      <c r="AA72" s="135" t="s">
        <v>865</v>
      </c>
      <c r="AH72" s="189">
        <f t="shared" si="6"/>
        <v>648120</v>
      </c>
      <c r="AK72" s="190">
        <f>M72-AH72</f>
        <v>0</v>
      </c>
      <c r="AL72" s="135">
        <v>13199710158</v>
      </c>
      <c r="AM72" s="135" t="s">
        <v>4951</v>
      </c>
      <c r="AO72" s="135">
        <f t="shared" si="11"/>
        <v>648120</v>
      </c>
      <c r="AP72" s="162">
        <f>0.4%+0.02%+0.08%+0.03%</f>
        <v>0.0053</v>
      </c>
      <c r="AV72" s="135">
        <v>130120</v>
      </c>
      <c r="AX72" s="135">
        <v>518000</v>
      </c>
      <c r="AZ72" s="135">
        <f>AX72*AP72</f>
        <v>2745.4</v>
      </c>
      <c r="BB72" s="135" t="s">
        <v>496</v>
      </c>
    </row>
    <row r="73" s="58" customFormat="1" customHeight="1" spans="1:41">
      <c r="A73" s="58">
        <v>50</v>
      </c>
      <c r="I73" s="179" t="s">
        <v>4952</v>
      </c>
      <c r="J73" s="180">
        <v>117.84</v>
      </c>
      <c r="N73" s="58">
        <v>5798.89</v>
      </c>
      <c r="AH73" s="168">
        <f t="shared" si="6"/>
        <v>0</v>
      </c>
      <c r="AK73" s="169"/>
      <c r="AO73" s="58">
        <f t="shared" si="11"/>
        <v>0</v>
      </c>
    </row>
    <row r="74" s="58" customFormat="1" customHeight="1" spans="1:41">
      <c r="A74" s="58">
        <v>51</v>
      </c>
      <c r="I74" s="181" t="s">
        <v>4953</v>
      </c>
      <c r="J74" s="180">
        <v>117.84</v>
      </c>
      <c r="N74" s="58">
        <v>5850.49</v>
      </c>
      <c r="AH74" s="168">
        <f t="shared" si="6"/>
        <v>0</v>
      </c>
      <c r="AK74" s="169"/>
      <c r="AO74" s="58">
        <f t="shared" si="11"/>
        <v>0</v>
      </c>
    </row>
    <row r="75" s="58" customFormat="1" customHeight="1" spans="1:41">
      <c r="A75" s="58">
        <v>52</v>
      </c>
      <c r="I75" s="179" t="s">
        <v>4954</v>
      </c>
      <c r="J75" s="180">
        <v>117.84</v>
      </c>
      <c r="N75" s="58">
        <v>5831.49</v>
      </c>
      <c r="AH75" s="168">
        <f t="shared" si="6"/>
        <v>0</v>
      </c>
      <c r="AK75" s="169"/>
      <c r="AO75" s="58">
        <f t="shared" si="11"/>
        <v>0</v>
      </c>
    </row>
    <row r="76" s="135" customFormat="1" customHeight="1" spans="1:54">
      <c r="A76" s="135">
        <v>53</v>
      </c>
      <c r="C76" s="135" t="s">
        <v>352</v>
      </c>
      <c r="D76" s="135">
        <v>20240004547</v>
      </c>
      <c r="F76" s="135" t="s">
        <v>353</v>
      </c>
      <c r="G76" s="135" t="s">
        <v>354</v>
      </c>
      <c r="H76" s="834" t="s">
        <v>4955</v>
      </c>
      <c r="I76" s="174" t="s">
        <v>4956</v>
      </c>
      <c r="J76" s="175">
        <v>117.84</v>
      </c>
      <c r="K76" s="135">
        <v>117.84</v>
      </c>
      <c r="L76" s="135">
        <f>M76/K76</f>
        <v>5770.53632043449</v>
      </c>
      <c r="M76" s="135">
        <v>680000</v>
      </c>
      <c r="N76" s="135">
        <v>5770.535</v>
      </c>
      <c r="U76" s="135" t="s">
        <v>721</v>
      </c>
      <c r="V76" s="135">
        <v>10000</v>
      </c>
      <c r="W76" s="135" t="s">
        <v>4051</v>
      </c>
      <c r="X76" s="135">
        <v>250000</v>
      </c>
      <c r="Y76" s="135" t="s">
        <v>834</v>
      </c>
      <c r="Z76" s="135">
        <v>420000</v>
      </c>
      <c r="AA76" s="135" t="s">
        <v>118</v>
      </c>
      <c r="AH76" s="189">
        <f t="shared" si="6"/>
        <v>680000</v>
      </c>
      <c r="AK76" s="190">
        <f t="shared" ref="AK76:AK82" si="12">M76-AH76</f>
        <v>0</v>
      </c>
      <c r="AL76" s="135">
        <v>13199729933</v>
      </c>
      <c r="AM76" s="135" t="s">
        <v>4957</v>
      </c>
      <c r="AO76" s="135">
        <f t="shared" si="11"/>
        <v>680000</v>
      </c>
      <c r="AP76" s="198">
        <f>0.5%+0.02%+0.08%</f>
        <v>0.006</v>
      </c>
      <c r="AT76" s="135">
        <v>260000</v>
      </c>
      <c r="AV76" s="135">
        <v>420000</v>
      </c>
      <c r="BB76" s="135" t="s">
        <v>496</v>
      </c>
    </row>
    <row r="77" s="132" customFormat="1" customHeight="1" spans="1:41">
      <c r="A77" s="132">
        <v>54</v>
      </c>
      <c r="B77" s="132"/>
      <c r="I77" s="204" t="s">
        <v>4958</v>
      </c>
      <c r="J77" s="205">
        <v>117.84</v>
      </c>
      <c r="K77" s="132"/>
      <c r="L77" s="132"/>
      <c r="M77" s="132"/>
      <c r="N77" s="132">
        <v>5905.84</v>
      </c>
      <c r="O77" s="132"/>
      <c r="AH77" s="207">
        <f t="shared" si="6"/>
        <v>0</v>
      </c>
      <c r="AK77" s="173">
        <f t="shared" si="12"/>
        <v>0</v>
      </c>
      <c r="AO77" s="132">
        <f t="shared" ref="AO77:AO90" si="13">SUM(AQ77:AY77)</f>
        <v>0</v>
      </c>
    </row>
    <row r="78" s="135" customFormat="1" customHeight="1" spans="1:54">
      <c r="A78" s="135">
        <v>55</v>
      </c>
      <c r="B78" s="135"/>
      <c r="C78" s="135" t="s">
        <v>269</v>
      </c>
      <c r="D78" s="135">
        <v>20240006533</v>
      </c>
      <c r="F78" s="834" t="s">
        <v>355</v>
      </c>
      <c r="G78" s="135" t="s">
        <v>356</v>
      </c>
      <c r="H78" s="834" t="s">
        <v>4959</v>
      </c>
      <c r="I78" s="174" t="s">
        <v>4960</v>
      </c>
      <c r="J78" s="175">
        <v>117.84</v>
      </c>
      <c r="K78" s="135">
        <v>117.84</v>
      </c>
      <c r="L78" s="135">
        <v>5855.4</v>
      </c>
      <c r="M78" s="135">
        <v>690000</v>
      </c>
      <c r="N78" s="135">
        <v>5993.76</v>
      </c>
      <c r="O78" s="135"/>
      <c r="U78" s="135" t="s">
        <v>524</v>
      </c>
      <c r="V78" s="135">
        <v>20000</v>
      </c>
      <c r="W78" s="135" t="s">
        <v>327</v>
      </c>
      <c r="X78" s="135">
        <v>670000</v>
      </c>
      <c r="Y78" s="135" t="s">
        <v>269</v>
      </c>
      <c r="AH78" s="189">
        <f t="shared" si="6"/>
        <v>690000</v>
      </c>
      <c r="AK78" s="190">
        <f t="shared" si="12"/>
        <v>0</v>
      </c>
      <c r="AL78" s="135">
        <v>13667539298</v>
      </c>
      <c r="AM78" s="135" t="s">
        <v>3254</v>
      </c>
      <c r="AO78" s="135">
        <f t="shared" si="13"/>
        <v>690000</v>
      </c>
      <c r="AP78" s="162">
        <f>0.7%+0.08%+0.03%</f>
        <v>0.0081</v>
      </c>
      <c r="AW78" s="135">
        <v>690000</v>
      </c>
      <c r="BB78" s="135" t="s">
        <v>496</v>
      </c>
    </row>
    <row r="79" s="135" customFormat="1" customHeight="1" spans="1:54">
      <c r="A79" s="135">
        <v>56</v>
      </c>
      <c r="B79" s="135"/>
      <c r="C79" s="135" t="s">
        <v>252</v>
      </c>
      <c r="D79" s="135">
        <v>20240005722</v>
      </c>
      <c r="F79" s="135" t="s">
        <v>357</v>
      </c>
      <c r="G79" s="135" t="s">
        <v>358</v>
      </c>
      <c r="H79" s="834" t="s">
        <v>4961</v>
      </c>
      <c r="I79" s="177" t="s">
        <v>4962</v>
      </c>
      <c r="J79" s="175">
        <v>117.84</v>
      </c>
      <c r="K79" s="135">
        <v>117.84</v>
      </c>
      <c r="L79" s="135">
        <v>5770.54</v>
      </c>
      <c r="M79" s="135">
        <v>680000</v>
      </c>
      <c r="N79" s="135">
        <v>5770.54</v>
      </c>
      <c r="O79" s="135"/>
      <c r="S79" s="155"/>
      <c r="U79" s="135" t="s">
        <v>825</v>
      </c>
      <c r="V79" s="135">
        <v>20000</v>
      </c>
      <c r="W79" s="155">
        <v>45564</v>
      </c>
      <c r="X79" s="135">
        <v>150000</v>
      </c>
      <c r="Y79" s="155" t="s">
        <v>252</v>
      </c>
      <c r="Z79" s="135">
        <v>510000</v>
      </c>
      <c r="AA79" s="135" t="s">
        <v>290</v>
      </c>
      <c r="AH79" s="189">
        <f t="shared" si="6"/>
        <v>680000</v>
      </c>
      <c r="AK79" s="190">
        <f t="shared" si="12"/>
        <v>0</v>
      </c>
      <c r="AL79" s="135">
        <v>13565064892</v>
      </c>
      <c r="AO79" s="135">
        <f t="shared" si="13"/>
        <v>680000</v>
      </c>
      <c r="AP79" s="162">
        <f>0.5%+0.1%</f>
        <v>0.006</v>
      </c>
      <c r="AV79" s="135">
        <v>680000</v>
      </c>
      <c r="BB79" s="135" t="s">
        <v>496</v>
      </c>
    </row>
    <row r="80" s="135" customFormat="1" customHeight="1" spans="1:54">
      <c r="A80" s="135">
        <v>57</v>
      </c>
      <c r="B80" s="135"/>
      <c r="C80" s="135" t="s">
        <v>125</v>
      </c>
      <c r="D80" s="135">
        <v>20240005923</v>
      </c>
      <c r="F80" s="834" t="s">
        <v>359</v>
      </c>
      <c r="G80" s="135" t="s">
        <v>360</v>
      </c>
      <c r="I80" s="178" t="s">
        <v>4963</v>
      </c>
      <c r="J80" s="175">
        <v>117.84</v>
      </c>
      <c r="K80" s="135">
        <v>117.84</v>
      </c>
      <c r="L80" s="135">
        <v>6000</v>
      </c>
      <c r="M80" s="135">
        <v>707040</v>
      </c>
      <c r="N80" s="135">
        <v>6000</v>
      </c>
      <c r="O80" s="135"/>
      <c r="V80" s="135">
        <v>87040</v>
      </c>
      <c r="W80" s="135" t="s">
        <v>125</v>
      </c>
      <c r="X80" s="135">
        <v>320000</v>
      </c>
      <c r="Y80" s="135" t="s">
        <v>3721</v>
      </c>
      <c r="Z80" s="135">
        <v>300000</v>
      </c>
      <c r="AA80" s="135" t="s">
        <v>206</v>
      </c>
      <c r="AH80" s="189">
        <f t="shared" si="6"/>
        <v>707040</v>
      </c>
      <c r="AK80" s="190">
        <f t="shared" si="12"/>
        <v>0</v>
      </c>
      <c r="AL80" s="135">
        <v>18196293503</v>
      </c>
      <c r="AM80" s="135" t="s">
        <v>4081</v>
      </c>
      <c r="AO80" s="135">
        <f t="shared" si="13"/>
        <v>707040</v>
      </c>
      <c r="AP80" s="162">
        <f>0.7%+0.08%+0.03%</f>
        <v>0.0081</v>
      </c>
      <c r="AV80" s="135">
        <v>407040</v>
      </c>
      <c r="AW80" s="135">
        <v>300000</v>
      </c>
      <c r="BB80" s="135" t="s">
        <v>496</v>
      </c>
    </row>
    <row r="81" s="135" customFormat="1" customHeight="1" spans="1:54">
      <c r="A81" s="135">
        <v>58</v>
      </c>
      <c r="B81" s="135"/>
      <c r="C81" s="135" t="s">
        <v>404</v>
      </c>
      <c r="D81" s="135">
        <v>20240007355</v>
      </c>
      <c r="F81" s="834" t="s">
        <v>410</v>
      </c>
      <c r="G81" s="135" t="s">
        <v>411</v>
      </c>
      <c r="H81" s="834" t="s">
        <v>4964</v>
      </c>
      <c r="I81" s="174" t="s">
        <v>4965</v>
      </c>
      <c r="J81" s="175">
        <v>117.84</v>
      </c>
      <c r="K81" s="135">
        <v>117.84</v>
      </c>
      <c r="L81" s="135">
        <v>5643.25</v>
      </c>
      <c r="M81" s="135">
        <v>665000</v>
      </c>
      <c r="N81" s="135">
        <v>6023.67</v>
      </c>
      <c r="O81" s="135"/>
      <c r="R81" s="135">
        <f>200000+20000+180000</f>
        <v>400000</v>
      </c>
      <c r="S81" s="135" t="s">
        <v>3253</v>
      </c>
      <c r="U81" s="135" t="s">
        <v>502</v>
      </c>
      <c r="V81" s="135">
        <v>20000</v>
      </c>
      <c r="W81" s="135" t="s">
        <v>3253</v>
      </c>
      <c r="X81" s="135">
        <v>200000</v>
      </c>
      <c r="Y81" s="135" t="s">
        <v>404</v>
      </c>
      <c r="Z81" s="135">
        <v>180000</v>
      </c>
      <c r="AA81" s="135" t="s">
        <v>404</v>
      </c>
      <c r="AH81" s="189">
        <f t="shared" si="6"/>
        <v>400000</v>
      </c>
      <c r="AK81" s="190">
        <f t="shared" si="12"/>
        <v>265000</v>
      </c>
      <c r="AL81" s="135">
        <v>13150459500</v>
      </c>
      <c r="AM81" s="135" t="s">
        <v>3283</v>
      </c>
      <c r="AO81" s="135">
        <f t="shared" si="13"/>
        <v>400000</v>
      </c>
      <c r="AP81" s="162">
        <f>0.6%+0.08%+0.03%</f>
        <v>0.0071</v>
      </c>
      <c r="AX81" s="135">
        <v>400000</v>
      </c>
      <c r="AZ81" s="135">
        <f>AX81*AP81</f>
        <v>2840</v>
      </c>
      <c r="BB81" s="135" t="s">
        <v>496</v>
      </c>
    </row>
    <row r="82" s="135" customFormat="1" customHeight="1" spans="1:54">
      <c r="A82" s="135">
        <v>59</v>
      </c>
      <c r="B82" s="135"/>
      <c r="C82" s="135" t="s">
        <v>327</v>
      </c>
      <c r="D82" s="135">
        <v>20240006294</v>
      </c>
      <c r="F82" s="834" t="s">
        <v>361</v>
      </c>
      <c r="G82" s="135" t="s">
        <v>362</v>
      </c>
      <c r="I82" s="174" t="s">
        <v>4966</v>
      </c>
      <c r="J82" s="175">
        <v>117.84</v>
      </c>
      <c r="K82" s="135">
        <v>117.84</v>
      </c>
      <c r="L82" s="135">
        <v>5914.8</v>
      </c>
      <c r="M82" s="135">
        <v>697000</v>
      </c>
      <c r="N82" s="135">
        <v>6069.84</v>
      </c>
      <c r="O82" s="135"/>
      <c r="S82" s="155"/>
      <c r="U82" s="135" t="s">
        <v>1427</v>
      </c>
      <c r="V82" s="135">
        <f>20000+97000</f>
        <v>117000</v>
      </c>
      <c r="W82" s="155" t="s">
        <v>327</v>
      </c>
      <c r="X82" s="135">
        <v>580000</v>
      </c>
      <c r="Y82" s="155" t="s">
        <v>1589</v>
      </c>
      <c r="AH82" s="189">
        <f t="shared" si="6"/>
        <v>697000</v>
      </c>
      <c r="AK82" s="190">
        <f t="shared" si="12"/>
        <v>0</v>
      </c>
      <c r="AL82" s="135">
        <v>18699501864</v>
      </c>
      <c r="AM82" s="135" t="s">
        <v>3254</v>
      </c>
      <c r="AO82" s="135">
        <f t="shared" si="13"/>
        <v>697000</v>
      </c>
      <c r="AP82" s="162">
        <f>0.6%+0.02%+0.08%+0.03%</f>
        <v>0.0073</v>
      </c>
      <c r="AW82" s="135">
        <v>697000</v>
      </c>
      <c r="BB82" s="135" t="s">
        <v>496</v>
      </c>
    </row>
    <row r="83" s="135" customFormat="1" customHeight="1" spans="1:42">
      <c r="A83" s="135">
        <v>60</v>
      </c>
      <c r="B83" s="135"/>
      <c r="F83" s="834" t="s">
        <v>4967</v>
      </c>
      <c r="G83" s="135" t="s">
        <v>4968</v>
      </c>
      <c r="H83" s="834" t="s">
        <v>4969</v>
      </c>
      <c r="I83" s="174" t="s">
        <v>4970</v>
      </c>
      <c r="J83" s="175">
        <v>117.84</v>
      </c>
      <c r="K83" s="135">
        <v>117.84</v>
      </c>
      <c r="L83" s="135">
        <v>5897.82</v>
      </c>
      <c r="M83" s="135">
        <v>695000</v>
      </c>
      <c r="N83" s="135">
        <v>6050.84</v>
      </c>
      <c r="O83" s="135"/>
      <c r="U83" s="135" t="s">
        <v>508</v>
      </c>
      <c r="V83" s="135">
        <v>10000</v>
      </c>
      <c r="W83" s="135" t="s">
        <v>303</v>
      </c>
      <c r="AH83" s="189">
        <f t="shared" si="6"/>
        <v>10000</v>
      </c>
      <c r="AK83" s="190">
        <f t="shared" ref="AK83:AK88" si="14">M83-AH83</f>
        <v>685000</v>
      </c>
      <c r="AL83" s="135">
        <v>16698739888</v>
      </c>
      <c r="AM83" s="135" t="s">
        <v>3254</v>
      </c>
      <c r="AO83" s="135">
        <f t="shared" si="13"/>
        <v>0</v>
      </c>
      <c r="AP83" s="162">
        <f>0.4%+0.03%+0.08%+0.03%</f>
        <v>0.0054</v>
      </c>
    </row>
    <row r="84" s="135" customFormat="1" customHeight="1" spans="1:54">
      <c r="A84" s="135">
        <v>61</v>
      </c>
      <c r="B84" s="135"/>
      <c r="C84" s="135" t="s">
        <v>88</v>
      </c>
      <c r="D84" s="135">
        <v>20240005540</v>
      </c>
      <c r="F84" s="834" t="s">
        <v>363</v>
      </c>
      <c r="G84" s="135" t="s">
        <v>364</v>
      </c>
      <c r="I84" s="177" t="s">
        <v>4971</v>
      </c>
      <c r="J84" s="175">
        <v>117.84</v>
      </c>
      <c r="K84" s="135">
        <v>117.84</v>
      </c>
      <c r="L84" s="135">
        <v>5855.4</v>
      </c>
      <c r="M84" s="135">
        <v>690000</v>
      </c>
      <c r="N84" s="135">
        <v>5855.4</v>
      </c>
      <c r="O84" s="135"/>
      <c r="R84" s="135">
        <f>480000+66000</f>
        <v>546000</v>
      </c>
      <c r="S84" s="155" t="s">
        <v>623</v>
      </c>
      <c r="U84" s="135" t="s">
        <v>590</v>
      </c>
      <c r="V84" s="135">
        <v>20000</v>
      </c>
      <c r="W84" s="155">
        <v>45551</v>
      </c>
      <c r="X84" s="135">
        <v>124000</v>
      </c>
      <c r="Y84" s="155" t="s">
        <v>88</v>
      </c>
      <c r="Z84" s="135">
        <v>66000</v>
      </c>
      <c r="AA84" s="155" t="s">
        <v>623</v>
      </c>
      <c r="AB84" s="135">
        <v>480000</v>
      </c>
      <c r="AC84" s="135" t="s">
        <v>404</v>
      </c>
      <c r="AH84" s="189">
        <f t="shared" si="6"/>
        <v>690000</v>
      </c>
      <c r="AK84" s="190">
        <f t="shared" si="14"/>
        <v>0</v>
      </c>
      <c r="AL84" s="135">
        <v>18196233306</v>
      </c>
      <c r="AO84" s="135">
        <f t="shared" si="13"/>
        <v>690000</v>
      </c>
      <c r="AP84" s="162">
        <f>0.6%+0.04%+0.1%</f>
        <v>0.0074</v>
      </c>
      <c r="AT84" s="58"/>
      <c r="AU84" s="58"/>
      <c r="AV84" s="58">
        <v>144000</v>
      </c>
      <c r="AW84" s="58"/>
      <c r="AX84" s="58">
        <v>546000</v>
      </c>
      <c r="AZ84" s="135">
        <f>AX84*AP84</f>
        <v>4040.4</v>
      </c>
      <c r="BB84" s="135" t="s">
        <v>496</v>
      </c>
    </row>
    <row r="85" s="135" customFormat="1" customHeight="1" spans="1:54">
      <c r="A85" s="135">
        <v>62</v>
      </c>
      <c r="B85" s="135"/>
      <c r="C85" s="135" t="s">
        <v>88</v>
      </c>
      <c r="D85" s="135">
        <v>20240005552</v>
      </c>
      <c r="F85" s="834" t="s">
        <v>365</v>
      </c>
      <c r="G85" s="135" t="s">
        <v>366</v>
      </c>
      <c r="I85" s="174" t="s">
        <v>4972</v>
      </c>
      <c r="J85" s="175">
        <v>117.84</v>
      </c>
      <c r="K85" s="135">
        <v>117.84</v>
      </c>
      <c r="L85" s="135">
        <v>6079.76</v>
      </c>
      <c r="M85" s="135">
        <v>716438</v>
      </c>
      <c r="N85" s="135">
        <v>6079.76</v>
      </c>
      <c r="T85" s="834" t="s">
        <v>535</v>
      </c>
      <c r="U85" s="135" t="s">
        <v>721</v>
      </c>
      <c r="V85" s="135">
        <v>2000</v>
      </c>
      <c r="W85" s="135" t="s">
        <v>3405</v>
      </c>
      <c r="X85" s="135">
        <v>20000</v>
      </c>
      <c r="Y85" s="135" t="s">
        <v>88</v>
      </c>
      <c r="Z85" s="135">
        <v>250000</v>
      </c>
      <c r="AA85" s="135" t="s">
        <v>1146</v>
      </c>
      <c r="AB85" s="135">
        <v>444438</v>
      </c>
      <c r="AC85" s="135" t="s">
        <v>213</v>
      </c>
      <c r="AH85" s="189">
        <f t="shared" si="6"/>
        <v>716438</v>
      </c>
      <c r="AK85" s="190">
        <f t="shared" si="14"/>
        <v>0</v>
      </c>
      <c r="AL85" s="135">
        <v>19990286738</v>
      </c>
      <c r="AM85" s="135" t="s">
        <v>4081</v>
      </c>
      <c r="AO85" s="135">
        <f t="shared" si="13"/>
        <v>716438</v>
      </c>
      <c r="AP85" s="199">
        <f>0.5%+0.02%+0.08%+0.03%</f>
        <v>0.0063</v>
      </c>
      <c r="AW85" s="135">
        <v>716438</v>
      </c>
      <c r="BB85" s="135" t="s">
        <v>496</v>
      </c>
    </row>
    <row r="86" s="58" customFormat="1" customHeight="1" spans="1:41">
      <c r="A86" s="58">
        <v>63</v>
      </c>
      <c r="I86" s="179" t="s">
        <v>4973</v>
      </c>
      <c r="J86" s="180">
        <v>117.84</v>
      </c>
      <c r="N86" s="58">
        <v>6120.49</v>
      </c>
      <c r="AH86" s="168">
        <f t="shared" si="6"/>
        <v>0</v>
      </c>
      <c r="AK86" s="169"/>
      <c r="AO86" s="58">
        <f t="shared" si="13"/>
        <v>0</v>
      </c>
    </row>
    <row r="87" s="58" customFormat="1" customHeight="1" spans="1:41">
      <c r="A87" s="58">
        <v>64</v>
      </c>
      <c r="I87" s="181" t="s">
        <v>4974</v>
      </c>
      <c r="J87" s="180">
        <v>117.84</v>
      </c>
      <c r="N87" s="58">
        <v>6101.49</v>
      </c>
      <c r="AH87" s="168">
        <f t="shared" si="6"/>
        <v>0</v>
      </c>
      <c r="AK87" s="169"/>
      <c r="AO87" s="58">
        <f t="shared" si="13"/>
        <v>0</v>
      </c>
    </row>
    <row r="88" s="135" customFormat="1" customHeight="1" spans="1:42">
      <c r="A88" s="135">
        <v>65</v>
      </c>
      <c r="B88" s="135"/>
      <c r="F88" s="834" t="s">
        <v>4975</v>
      </c>
      <c r="G88" s="135" t="s">
        <v>4976</v>
      </c>
      <c r="H88" s="834" t="s">
        <v>4977</v>
      </c>
      <c r="I88" s="177" t="s">
        <v>4978</v>
      </c>
      <c r="J88" s="175">
        <v>117.84</v>
      </c>
      <c r="K88" s="135">
        <v>117.84</v>
      </c>
      <c r="L88" s="135">
        <v>6850</v>
      </c>
      <c r="M88" s="135">
        <v>807204</v>
      </c>
      <c r="N88" s="135">
        <v>7126.6</v>
      </c>
      <c r="O88" s="135"/>
      <c r="U88" s="135" t="s">
        <v>721</v>
      </c>
      <c r="V88" s="135">
        <v>20000</v>
      </c>
      <c r="W88" s="135" t="s">
        <v>303</v>
      </c>
      <c r="AH88" s="189">
        <f t="shared" si="6"/>
        <v>20000</v>
      </c>
      <c r="AK88" s="190">
        <f t="shared" si="14"/>
        <v>787204</v>
      </c>
      <c r="AL88" s="135">
        <v>18196240028</v>
      </c>
      <c r="AM88" s="135" t="s">
        <v>4979</v>
      </c>
      <c r="AO88" s="135">
        <f t="shared" si="13"/>
        <v>0</v>
      </c>
      <c r="AP88" s="162">
        <f>0.7%+0.03%+0.08%+0.03%</f>
        <v>0.0084</v>
      </c>
    </row>
    <row r="89" s="58" customFormat="1" customHeight="1" spans="1:41">
      <c r="A89" s="58">
        <v>66</v>
      </c>
      <c r="I89" s="181" t="s">
        <v>4980</v>
      </c>
      <c r="J89" s="180">
        <v>117.84</v>
      </c>
      <c r="N89" s="58">
        <v>7109.6</v>
      </c>
      <c r="AH89" s="168">
        <f t="shared" si="6"/>
        <v>0</v>
      </c>
      <c r="AK89" s="169"/>
      <c r="AO89" s="58">
        <f t="shared" si="13"/>
        <v>0</v>
      </c>
    </row>
    <row r="90" customHeight="1" spans="41:42">
      <c r="AO90" s="58">
        <f t="shared" si="13"/>
        <v>0</v>
      </c>
      <c r="AP90" s="58"/>
    </row>
    <row r="91" s="138" customFormat="1" customHeight="1" spans="1:58">
      <c r="A91" s="202" t="s">
        <v>59</v>
      </c>
      <c r="B91" s="202">
        <f>SUM(B24:B89)</f>
        <v>1</v>
      </c>
      <c r="C91" s="202"/>
      <c r="J91" s="138">
        <f>SUM(J4:J90)</f>
        <v>9054.69</v>
      </c>
      <c r="K91" s="138">
        <f t="shared" ref="J91:M91" si="15">SUM(K24:K90)</f>
        <v>6166.21</v>
      </c>
      <c r="M91" s="165">
        <f t="shared" si="15"/>
        <v>37042983</v>
      </c>
      <c r="O91" s="138">
        <f>SUM(O24:O90)</f>
        <v>0</v>
      </c>
      <c r="R91" s="138">
        <f>SUM(R24:R90)</f>
        <v>5863000</v>
      </c>
      <c r="V91" s="138">
        <f t="shared" ref="V91:Z91" si="16">SUM(V24:V90)</f>
        <v>1149163</v>
      </c>
      <c r="X91" s="138">
        <f t="shared" si="16"/>
        <v>9254579</v>
      </c>
      <c r="Z91" s="138">
        <f t="shared" si="16"/>
        <v>12759019</v>
      </c>
      <c r="AB91" s="138">
        <f t="shared" ref="AB91:AF91" si="17">SUM(AB24:AB90)</f>
        <v>6574438</v>
      </c>
      <c r="AD91" s="138">
        <f t="shared" si="17"/>
        <v>1448000</v>
      </c>
      <c r="AF91" s="138">
        <f t="shared" si="17"/>
        <v>250000</v>
      </c>
      <c r="AH91" s="208">
        <f>SUM(AH24:AH90)</f>
        <v>31435199</v>
      </c>
      <c r="AI91" s="138">
        <f>SUM(AI24:AI90)</f>
        <v>0</v>
      </c>
      <c r="AJ91" s="138">
        <f>SUM(AJ24:AJ90)</f>
        <v>0</v>
      </c>
      <c r="AK91" s="165">
        <f>SUM(AK24:AK90)</f>
        <v>5607784</v>
      </c>
      <c r="AO91" s="138">
        <f>SUM(AO24:AO90)</f>
        <v>31254579</v>
      </c>
      <c r="AP91" s="209"/>
      <c r="AQ91" s="138">
        <f t="shared" ref="AQ91:AZ91" si="18">SUM(AQ24:AQ90)</f>
        <v>392712</v>
      </c>
      <c r="AR91" s="138">
        <f t="shared" si="18"/>
        <v>2614248</v>
      </c>
      <c r="AS91" s="138">
        <f t="shared" si="18"/>
        <v>3052429</v>
      </c>
      <c r="AT91" s="138">
        <f t="shared" si="18"/>
        <v>3787691</v>
      </c>
      <c r="AU91" s="138">
        <f t="shared" si="18"/>
        <v>2088480</v>
      </c>
      <c r="AV91" s="138">
        <f t="shared" si="18"/>
        <v>6670046</v>
      </c>
      <c r="AW91" s="138">
        <f t="shared" si="18"/>
        <v>5887164</v>
      </c>
      <c r="AX91" s="138">
        <f t="shared" si="18"/>
        <v>6750428</v>
      </c>
      <c r="AY91" s="138">
        <f t="shared" si="18"/>
        <v>0</v>
      </c>
      <c r="AZ91" s="138">
        <f t="shared" si="18"/>
        <v>49894.3773</v>
      </c>
      <c r="BD91" s="138">
        <f t="shared" ref="BD91:BF91" si="19">SUM(BD24:BD90)</f>
        <v>0</v>
      </c>
      <c r="BE91" s="138">
        <f t="shared" si="19"/>
        <v>0</v>
      </c>
      <c r="BF91" s="138">
        <f t="shared" si="19"/>
        <v>0</v>
      </c>
    </row>
    <row r="92" customHeight="1" spans="42:42">
      <c r="AP92" s="210"/>
    </row>
    <row r="93" customHeight="1" spans="17:42">
      <c r="Q93" s="58" t="s">
        <v>4981</v>
      </c>
      <c r="R93" s="58"/>
      <c r="AP93" s="210"/>
    </row>
    <row r="94" customHeight="1" spans="17:42">
      <c r="Q94" s="58" t="s">
        <v>3182</v>
      </c>
      <c r="R94" s="58">
        <v>4348000</v>
      </c>
      <c r="AP94" s="210"/>
    </row>
    <row r="95" customHeight="1" spans="17:42">
      <c r="Q95" s="58" t="s">
        <v>98</v>
      </c>
      <c r="R95" s="58">
        <v>1515000</v>
      </c>
      <c r="AP95" s="210"/>
    </row>
    <row r="96" customHeight="1" spans="17:42">
      <c r="Q96" s="58" t="s">
        <v>4982</v>
      </c>
      <c r="R96" s="58"/>
      <c r="S96" s="206"/>
      <c r="AP96" s="210"/>
    </row>
    <row r="97" customHeight="1" spans="42:42">
      <c r="AP97" s="210"/>
    </row>
    <row r="98" customHeight="1" spans="42:42">
      <c r="AP98" s="210"/>
    </row>
    <row r="99" customHeight="1" spans="42:42">
      <c r="AP99" s="210"/>
    </row>
    <row r="100" customHeight="1" spans="42:42">
      <c r="AP100" s="210"/>
    </row>
    <row r="101" customHeight="1" spans="42:42">
      <c r="AP101" s="210"/>
    </row>
    <row r="102" customHeight="1" spans="42:42">
      <c r="AP102" s="210"/>
    </row>
  </sheetData>
  <autoFilter xmlns:etc="http://www.wps.cn/officeDocument/2017/etCustomData" ref="A2:BH91" etc:filterBottomFollowUsedRange="0">
    <extLst/>
  </autoFilter>
  <mergeCells count="37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BD2:BF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72"/>
  <sheetViews>
    <sheetView workbookViewId="0">
      <pane ySplit="3" topLeftCell="A128" activePane="bottomLeft" state="frozen"/>
      <selection/>
      <selection pane="bottomLeft" activeCell="Q142" sqref="Q142"/>
    </sheetView>
  </sheetViews>
  <sheetFormatPr defaultColWidth="9" defaultRowHeight="26" customHeight="1"/>
  <cols>
    <col min="1" max="1" width="5.125" style="58" customWidth="1"/>
    <col min="2" max="2" width="5.5" style="58" customWidth="1"/>
    <col min="3" max="3" width="10.125" style="58" customWidth="1"/>
    <col min="4" max="4" width="14" style="58" customWidth="1"/>
    <col min="5" max="5" width="9" style="58"/>
    <col min="6" max="6" width="20.25" style="58" customWidth="1"/>
    <col min="7" max="7" width="10.75" style="58" customWidth="1"/>
    <col min="8" max="8" width="12.625" style="58" customWidth="1"/>
    <col min="9" max="9" width="9" style="58"/>
    <col min="10" max="10" width="10.375" style="58"/>
    <col min="11" max="11" width="9" style="58"/>
    <col min="12" max="12" width="12.625" style="58"/>
    <col min="13" max="13" width="14.125" style="58"/>
    <col min="14" max="14" width="9" style="58"/>
    <col min="15" max="15" width="11.375" style="58" customWidth="1"/>
    <col min="16" max="17" width="9" style="58"/>
    <col min="18" max="18" width="10.625" style="58" customWidth="1"/>
    <col min="19" max="19" width="10.375" style="58"/>
    <col min="20" max="21" width="9" style="58"/>
    <col min="22" max="22" width="10.875" style="58" customWidth="1"/>
    <col min="23" max="23" width="11.375" style="58" customWidth="1"/>
    <col min="24" max="24" width="12.25" style="58" customWidth="1"/>
    <col min="25" max="25" width="10.75" style="58" customWidth="1"/>
    <col min="26" max="26" width="11.125" style="58" customWidth="1"/>
    <col min="27" max="27" width="13.875" style="58" customWidth="1"/>
    <col min="28" max="28" width="9" style="58"/>
    <col min="29" max="29" width="11.25" style="58" customWidth="1"/>
    <col min="30" max="30" width="9" style="58"/>
    <col min="31" max="31" width="10.375" style="58" customWidth="1"/>
    <col min="32" max="36" width="9" style="58"/>
    <col min="37" max="37" width="13.625" style="58" customWidth="1"/>
    <col min="38" max="38" width="16.5" style="58" customWidth="1"/>
    <col min="39" max="39" width="24.75" style="58" customWidth="1"/>
    <col min="40" max="41" width="9" style="58"/>
    <col min="42" max="42" width="10.5" style="58" customWidth="1"/>
    <col min="43" max="44" width="9" style="58"/>
    <col min="45" max="45" width="9.375" style="58"/>
    <col min="46" max="47" width="9" style="58"/>
    <col min="48" max="48" width="11.625" style="58"/>
    <col min="49" max="16384" width="9" style="58"/>
  </cols>
  <sheetData>
    <row r="1" s="132" customFormat="1" customHeight="1" spans="1:42">
      <c r="A1" s="139" t="s">
        <v>4794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P1" s="157"/>
    </row>
    <row r="2" s="133" customFormat="1" customHeight="1" spans="1:51">
      <c r="A2" s="139" t="s">
        <v>21</v>
      </c>
      <c r="B2" s="133" t="s">
        <v>422</v>
      </c>
      <c r="C2" s="140" t="s">
        <v>423</v>
      </c>
      <c r="D2" s="133" t="s">
        <v>424</v>
      </c>
      <c r="F2" s="133" t="s">
        <v>426</v>
      </c>
      <c r="G2" s="133" t="s">
        <v>427</v>
      </c>
      <c r="H2" s="133" t="s">
        <v>425</v>
      </c>
      <c r="I2" s="133" t="s">
        <v>429</v>
      </c>
      <c r="J2" s="141" t="s">
        <v>1169</v>
      </c>
      <c r="K2" s="133" t="s">
        <v>431</v>
      </c>
      <c r="L2" s="133" t="s">
        <v>432</v>
      </c>
      <c r="M2" s="142" t="s">
        <v>433</v>
      </c>
      <c r="N2" s="143" t="s">
        <v>434</v>
      </c>
      <c r="O2" s="144" t="s">
        <v>436</v>
      </c>
      <c r="P2" s="145"/>
      <c r="Q2" s="145"/>
      <c r="R2" s="143" t="s">
        <v>437</v>
      </c>
      <c r="S2" s="154" t="s">
        <v>438</v>
      </c>
      <c r="T2" s="139" t="s">
        <v>439</v>
      </c>
      <c r="U2" s="154" t="s">
        <v>440</v>
      </c>
      <c r="V2" s="142" t="s">
        <v>441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 t="s">
        <v>442</v>
      </c>
      <c r="AI2" s="140" t="s">
        <v>39</v>
      </c>
      <c r="AJ2" s="133" t="s">
        <v>444</v>
      </c>
      <c r="AK2" s="145" t="s">
        <v>42</v>
      </c>
      <c r="AL2" s="133" t="s">
        <v>445</v>
      </c>
      <c r="AM2" s="133" t="s">
        <v>30</v>
      </c>
      <c r="AN2" s="133" t="s">
        <v>1171</v>
      </c>
      <c r="AO2" s="158" t="s">
        <v>455</v>
      </c>
      <c r="AP2" s="159" t="s">
        <v>456</v>
      </c>
      <c r="AQ2" s="160" t="s">
        <v>4796</v>
      </c>
      <c r="AR2" s="160" t="s">
        <v>4797</v>
      </c>
      <c r="AS2" s="160" t="s">
        <v>4798</v>
      </c>
      <c r="AT2" s="160"/>
      <c r="AU2" s="161"/>
      <c r="AV2" s="133" t="s">
        <v>475</v>
      </c>
      <c r="AX2" s="133" t="s">
        <v>149</v>
      </c>
      <c r="AY2" s="133" t="s">
        <v>476</v>
      </c>
    </row>
    <row r="3" s="133" customFormat="1" customHeight="1" spans="1:47">
      <c r="A3" s="139"/>
      <c r="C3" s="140"/>
      <c r="E3" s="133" t="s">
        <v>1197</v>
      </c>
      <c r="J3" s="144"/>
      <c r="M3" s="142"/>
      <c r="N3" s="143"/>
      <c r="O3" s="144" t="s">
        <v>478</v>
      </c>
      <c r="P3" s="145" t="s">
        <v>1198</v>
      </c>
      <c r="Q3" s="145" t="s">
        <v>1199</v>
      </c>
      <c r="R3" s="142"/>
      <c r="S3" s="154"/>
      <c r="T3" s="139"/>
      <c r="U3" s="154"/>
      <c r="V3" s="142" t="s">
        <v>480</v>
      </c>
      <c r="W3" s="133" t="s">
        <v>481</v>
      </c>
      <c r="X3" s="142" t="s">
        <v>482</v>
      </c>
      <c r="Y3" s="156" t="s">
        <v>481</v>
      </c>
      <c r="Z3" s="133" t="s">
        <v>483</v>
      </c>
      <c r="AA3" s="144" t="s">
        <v>481</v>
      </c>
      <c r="AB3" s="142" t="s">
        <v>484</v>
      </c>
      <c r="AC3" s="133" t="s">
        <v>481</v>
      </c>
      <c r="AD3" s="133" t="s">
        <v>485</v>
      </c>
      <c r="AE3" s="133" t="s">
        <v>481</v>
      </c>
      <c r="AF3" s="133" t="s">
        <v>486</v>
      </c>
      <c r="AG3" s="133" t="s">
        <v>481</v>
      </c>
      <c r="AH3" s="142"/>
      <c r="AK3" s="145"/>
      <c r="AO3" s="158"/>
      <c r="AP3" s="159"/>
      <c r="AQ3" s="160"/>
      <c r="AR3" s="160"/>
      <c r="AS3" s="160"/>
      <c r="AT3" s="160"/>
      <c r="AU3" s="161"/>
    </row>
    <row r="4" s="134" customFormat="1" customHeight="1" spans="1:41">
      <c r="A4" s="58"/>
      <c r="I4" s="146" t="s">
        <v>4983</v>
      </c>
      <c r="J4" s="147">
        <v>72.03</v>
      </c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AH4" s="134">
        <f>V4+X4+Z4+AB4+AD4+AF4</f>
        <v>0</v>
      </c>
      <c r="AO4" s="132">
        <f>SUM(AQ4:AU4)</f>
        <v>0</v>
      </c>
    </row>
    <row r="5" s="134" customFormat="1" customHeight="1" spans="1:41">
      <c r="A5" s="58"/>
      <c r="B5" s="134"/>
      <c r="C5" s="134"/>
      <c r="D5" s="134"/>
      <c r="E5" s="134"/>
      <c r="F5" s="134"/>
      <c r="G5" s="134"/>
      <c r="H5" s="134"/>
      <c r="I5" s="146" t="s">
        <v>4984</v>
      </c>
      <c r="J5" s="147">
        <v>71.26</v>
      </c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AH5" s="134">
        <f t="shared" ref="AH5:AH36" si="0">V5+X5+Z5+AB5+AD5+AF5</f>
        <v>0</v>
      </c>
      <c r="AO5" s="132">
        <f t="shared" ref="AO5:AO18" si="1">SUM(AQ5:AU5)</f>
        <v>0</v>
      </c>
    </row>
    <row r="6" s="134" customFormat="1" customHeight="1" spans="1:41">
      <c r="A6" s="58"/>
      <c r="I6" s="146" t="s">
        <v>4985</v>
      </c>
      <c r="J6" s="147">
        <v>50.87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AH6" s="134">
        <f t="shared" si="0"/>
        <v>0</v>
      </c>
      <c r="AO6" s="132">
        <f t="shared" si="1"/>
        <v>0</v>
      </c>
    </row>
    <row r="7" s="134" customFormat="1" customHeight="1" spans="1:41">
      <c r="A7" s="58"/>
      <c r="I7" s="146" t="s">
        <v>4986</v>
      </c>
      <c r="J7" s="147">
        <v>71.71</v>
      </c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AH7" s="134">
        <f t="shared" si="0"/>
        <v>0</v>
      </c>
      <c r="AO7" s="132">
        <f t="shared" si="1"/>
        <v>0</v>
      </c>
    </row>
    <row r="8" s="134" customFormat="1" customHeight="1" spans="1:41">
      <c r="A8" s="58"/>
      <c r="I8" s="146" t="s">
        <v>4987</v>
      </c>
      <c r="J8" s="147">
        <v>71.71</v>
      </c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AH8" s="134">
        <f t="shared" si="0"/>
        <v>0</v>
      </c>
      <c r="AO8" s="132">
        <f t="shared" si="1"/>
        <v>0</v>
      </c>
    </row>
    <row r="9" s="134" customFormat="1" customHeight="1" spans="1:41">
      <c r="A9" s="58"/>
      <c r="I9" s="146" t="s">
        <v>4988</v>
      </c>
      <c r="J9" s="147">
        <v>72.01</v>
      </c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AH9" s="134">
        <f t="shared" si="0"/>
        <v>0</v>
      </c>
      <c r="AO9" s="132">
        <f t="shared" si="1"/>
        <v>0</v>
      </c>
    </row>
    <row r="10" s="134" customFormat="1" customHeight="1" spans="1:41">
      <c r="A10" s="58"/>
      <c r="I10" s="146" t="s">
        <v>4989</v>
      </c>
      <c r="J10" s="147">
        <v>48.19</v>
      </c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AH10" s="134">
        <f t="shared" si="0"/>
        <v>0</v>
      </c>
      <c r="AO10" s="132">
        <f t="shared" si="1"/>
        <v>0</v>
      </c>
    </row>
    <row r="11" s="134" customFormat="1" customHeight="1" spans="1:41">
      <c r="A11" s="58"/>
      <c r="I11" s="146" t="s">
        <v>4990</v>
      </c>
      <c r="J11" s="147">
        <v>32.2</v>
      </c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AH11" s="134">
        <f t="shared" si="0"/>
        <v>0</v>
      </c>
      <c r="AO11" s="132">
        <f t="shared" si="1"/>
        <v>0</v>
      </c>
    </row>
    <row r="12" s="134" customFormat="1" customHeight="1" spans="1:41">
      <c r="A12" s="58"/>
      <c r="I12" s="146" t="s">
        <v>4991</v>
      </c>
      <c r="J12" s="147">
        <v>47.09</v>
      </c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AH12" s="134">
        <f t="shared" si="0"/>
        <v>0</v>
      </c>
      <c r="AO12" s="132">
        <f t="shared" si="1"/>
        <v>0</v>
      </c>
    </row>
    <row r="13" s="134" customFormat="1" customHeight="1" spans="1:41">
      <c r="A13" s="58"/>
      <c r="I13" s="146" t="s">
        <v>4992</v>
      </c>
      <c r="J13" s="147">
        <v>47.09</v>
      </c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AH13" s="134">
        <f t="shared" si="0"/>
        <v>0</v>
      </c>
      <c r="AO13" s="132">
        <f t="shared" si="1"/>
        <v>0</v>
      </c>
    </row>
    <row r="14" s="134" customFormat="1" customHeight="1" spans="1:41">
      <c r="A14" s="58"/>
      <c r="I14" s="146" t="s">
        <v>4993</v>
      </c>
      <c r="J14" s="147">
        <v>48.17</v>
      </c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AH14" s="134">
        <f t="shared" si="0"/>
        <v>0</v>
      </c>
      <c r="AO14" s="132">
        <f t="shared" si="1"/>
        <v>0</v>
      </c>
    </row>
    <row r="15" s="134" customFormat="1" customHeight="1" spans="1:41">
      <c r="A15" s="58"/>
      <c r="I15" s="146" t="s">
        <v>4994</v>
      </c>
      <c r="J15" s="147">
        <v>32.22</v>
      </c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AH15" s="134">
        <f t="shared" si="0"/>
        <v>0</v>
      </c>
      <c r="AO15" s="132">
        <f t="shared" si="1"/>
        <v>0</v>
      </c>
    </row>
    <row r="16" s="134" customFormat="1" customHeight="1" spans="1:41">
      <c r="A16" s="58"/>
      <c r="I16" s="146" t="s">
        <v>4995</v>
      </c>
      <c r="J16" s="147">
        <v>32.2</v>
      </c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AH16" s="134">
        <f t="shared" si="0"/>
        <v>0</v>
      </c>
      <c r="AO16" s="132">
        <f t="shared" si="1"/>
        <v>0</v>
      </c>
    </row>
    <row r="17" s="134" customFormat="1" customHeight="1" spans="1:41">
      <c r="A17" s="58"/>
      <c r="I17" s="146" t="s">
        <v>4996</v>
      </c>
      <c r="J17" s="147">
        <v>48.19</v>
      </c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AH17" s="134">
        <f t="shared" si="0"/>
        <v>0</v>
      </c>
      <c r="AO17" s="132">
        <f t="shared" si="1"/>
        <v>0</v>
      </c>
    </row>
    <row r="18" s="135" customFormat="1" customHeight="1" spans="1:42">
      <c r="A18" s="135">
        <v>1</v>
      </c>
      <c r="B18" s="135"/>
      <c r="F18" s="135" t="s">
        <v>4997</v>
      </c>
      <c r="G18" s="135" t="s">
        <v>4998</v>
      </c>
      <c r="I18" s="148" t="s">
        <v>4999</v>
      </c>
      <c r="J18" s="149">
        <v>129.06</v>
      </c>
      <c r="K18" s="135">
        <v>129.06</v>
      </c>
      <c r="L18" s="135">
        <v>8601</v>
      </c>
      <c r="M18" s="135">
        <v>1110045</v>
      </c>
      <c r="N18" s="135">
        <v>8300.31</v>
      </c>
      <c r="U18" s="135" t="s">
        <v>508</v>
      </c>
      <c r="V18" s="135">
        <v>2000</v>
      </c>
      <c r="W18" s="135" t="s">
        <v>716</v>
      </c>
      <c r="X18" s="135"/>
      <c r="Y18" s="135"/>
      <c r="AH18" s="135">
        <f t="shared" si="0"/>
        <v>2000</v>
      </c>
      <c r="AK18" s="135">
        <f>M18-AH18</f>
        <v>1108045</v>
      </c>
      <c r="AM18" s="135" t="s">
        <v>4081</v>
      </c>
      <c r="AO18" s="135">
        <f t="shared" si="1"/>
        <v>0</v>
      </c>
      <c r="AP18" s="162">
        <f>0.4%+0.02%+0.08%</f>
        <v>0.005</v>
      </c>
    </row>
    <row r="19" s="134" customFormat="1" customHeight="1" spans="1:41">
      <c r="A19" s="58">
        <v>2</v>
      </c>
      <c r="B19" s="134"/>
      <c r="C19" s="134"/>
      <c r="D19" s="134"/>
      <c r="E19" s="134"/>
      <c r="F19" s="134"/>
      <c r="G19" s="134"/>
      <c r="H19" s="134"/>
      <c r="I19" s="150" t="s">
        <v>5000</v>
      </c>
      <c r="J19" s="147">
        <v>109.7</v>
      </c>
      <c r="K19" s="134"/>
      <c r="L19" s="134"/>
      <c r="M19" s="134"/>
      <c r="N19" s="134">
        <v>8525.31</v>
      </c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AH19" s="134">
        <f t="shared" si="0"/>
        <v>0</v>
      </c>
      <c r="AO19" s="132">
        <f t="shared" ref="AO19:AO30" si="2">SUM(AQ19:AU19)</f>
        <v>0</v>
      </c>
    </row>
    <row r="20" s="134" customFormat="1" customHeight="1" spans="1:41">
      <c r="A20" s="58">
        <v>3</v>
      </c>
      <c r="B20" s="134"/>
      <c r="C20" s="134"/>
      <c r="D20" s="134"/>
      <c r="E20" s="134"/>
      <c r="F20" s="134"/>
      <c r="G20" s="134"/>
      <c r="H20" s="134"/>
      <c r="I20" s="146" t="s">
        <v>5001</v>
      </c>
      <c r="J20" s="147">
        <v>126.91</v>
      </c>
      <c r="K20" s="134"/>
      <c r="L20" s="134"/>
      <c r="M20" s="134"/>
      <c r="N20" s="134">
        <v>5783.41</v>
      </c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AH20" s="134">
        <f t="shared" si="0"/>
        <v>0</v>
      </c>
      <c r="AO20" s="132">
        <f t="shared" si="2"/>
        <v>0</v>
      </c>
    </row>
    <row r="21" s="134" customFormat="1" customHeight="1" spans="1:41">
      <c r="A21" s="58">
        <v>4</v>
      </c>
      <c r="B21" s="134"/>
      <c r="C21" s="134"/>
      <c r="D21" s="134"/>
      <c r="E21" s="134"/>
      <c r="F21" s="134"/>
      <c r="G21" s="134"/>
      <c r="H21" s="134"/>
      <c r="I21" s="150" t="s">
        <v>5002</v>
      </c>
      <c r="J21" s="147">
        <v>126.5</v>
      </c>
      <c r="K21" s="134"/>
      <c r="L21" s="134"/>
      <c r="M21" s="134"/>
      <c r="N21" s="134">
        <v>5774.41</v>
      </c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AH21" s="134">
        <f t="shared" si="0"/>
        <v>0</v>
      </c>
      <c r="AO21" s="132">
        <f t="shared" si="2"/>
        <v>0</v>
      </c>
    </row>
    <row r="22" s="134" customFormat="1" customHeight="1" spans="1:41">
      <c r="A22" s="58">
        <v>5</v>
      </c>
      <c r="B22" s="134"/>
      <c r="C22" s="134"/>
      <c r="D22" s="134"/>
      <c r="E22" s="134"/>
      <c r="F22" s="134"/>
      <c r="G22" s="134"/>
      <c r="H22" s="134"/>
      <c r="I22" s="146" t="s">
        <v>5003</v>
      </c>
      <c r="J22" s="147">
        <v>126.91</v>
      </c>
      <c r="K22" s="134"/>
      <c r="L22" s="134"/>
      <c r="M22" s="134"/>
      <c r="N22" s="134">
        <v>5833.69</v>
      </c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AH22" s="134">
        <f t="shared" si="0"/>
        <v>0</v>
      </c>
      <c r="AO22" s="132">
        <f t="shared" si="2"/>
        <v>0</v>
      </c>
    </row>
    <row r="23" s="134" customFormat="1" customHeight="1" spans="1:41">
      <c r="A23" s="58">
        <v>6</v>
      </c>
      <c r="B23" s="134"/>
      <c r="C23" s="134"/>
      <c r="D23" s="134"/>
      <c r="E23" s="134"/>
      <c r="F23" s="134"/>
      <c r="G23" s="134"/>
      <c r="H23" s="134"/>
      <c r="I23" s="150" t="s">
        <v>5004</v>
      </c>
      <c r="J23" s="147">
        <v>126.5</v>
      </c>
      <c r="K23" s="134"/>
      <c r="L23" s="134"/>
      <c r="M23" s="134"/>
      <c r="N23" s="134">
        <v>5824.69</v>
      </c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AH23" s="134">
        <f t="shared" si="0"/>
        <v>0</v>
      </c>
      <c r="AO23" s="132">
        <f t="shared" si="2"/>
        <v>0</v>
      </c>
    </row>
    <row r="24" s="134" customFormat="1" customHeight="1" spans="1:41">
      <c r="A24" s="58">
        <v>7</v>
      </c>
      <c r="B24" s="134"/>
      <c r="C24" s="134"/>
      <c r="D24" s="134"/>
      <c r="E24" s="134"/>
      <c r="F24" s="134"/>
      <c r="G24" s="134"/>
      <c r="H24" s="134"/>
      <c r="I24" s="146" t="s">
        <v>5005</v>
      </c>
      <c r="J24" s="147">
        <v>126.91</v>
      </c>
      <c r="K24" s="134"/>
      <c r="L24" s="134"/>
      <c r="M24" s="134"/>
      <c r="N24" s="134">
        <v>5863.69</v>
      </c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AH24" s="134">
        <f t="shared" si="0"/>
        <v>0</v>
      </c>
      <c r="AO24" s="132">
        <f t="shared" si="2"/>
        <v>0</v>
      </c>
    </row>
    <row r="25" s="134" customFormat="1" customHeight="1" spans="1:41">
      <c r="A25" s="58">
        <v>8</v>
      </c>
      <c r="B25" s="134"/>
      <c r="C25" s="134"/>
      <c r="D25" s="134"/>
      <c r="E25" s="134"/>
      <c r="F25" s="134"/>
      <c r="G25" s="134"/>
      <c r="H25" s="134"/>
      <c r="I25" s="150" t="s">
        <v>5006</v>
      </c>
      <c r="J25" s="147">
        <v>126.5</v>
      </c>
      <c r="K25" s="134"/>
      <c r="L25" s="134"/>
      <c r="M25" s="134"/>
      <c r="N25" s="134">
        <v>5854.69</v>
      </c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AH25" s="134">
        <f t="shared" si="0"/>
        <v>0</v>
      </c>
      <c r="AO25" s="132">
        <f t="shared" si="2"/>
        <v>0</v>
      </c>
    </row>
    <row r="26" s="134" customFormat="1" customHeight="1" spans="1:41">
      <c r="A26" s="58">
        <v>9</v>
      </c>
      <c r="B26" s="134"/>
      <c r="C26" s="134"/>
      <c r="D26" s="134"/>
      <c r="E26" s="134"/>
      <c r="F26" s="134"/>
      <c r="G26" s="134"/>
      <c r="H26" s="134"/>
      <c r="I26" s="146" t="s">
        <v>5007</v>
      </c>
      <c r="J26" s="147">
        <v>126.91</v>
      </c>
      <c r="K26" s="134"/>
      <c r="L26" s="134"/>
      <c r="M26" s="134"/>
      <c r="N26" s="134">
        <v>5933.69</v>
      </c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AH26" s="134">
        <f t="shared" si="0"/>
        <v>0</v>
      </c>
      <c r="AO26" s="132">
        <f t="shared" si="2"/>
        <v>0</v>
      </c>
    </row>
    <row r="27" s="134" customFormat="1" customHeight="1" spans="1:41">
      <c r="A27" s="58">
        <v>10</v>
      </c>
      <c r="B27" s="134"/>
      <c r="C27" s="134"/>
      <c r="D27" s="134"/>
      <c r="E27" s="134"/>
      <c r="F27" s="134"/>
      <c r="G27" s="134"/>
      <c r="H27" s="134"/>
      <c r="I27" s="150" t="s">
        <v>5008</v>
      </c>
      <c r="J27" s="147">
        <v>126.5</v>
      </c>
      <c r="K27" s="134"/>
      <c r="L27" s="134"/>
      <c r="M27" s="134"/>
      <c r="N27" s="134">
        <v>5924.69</v>
      </c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AH27" s="134">
        <f t="shared" si="0"/>
        <v>0</v>
      </c>
      <c r="AO27" s="132">
        <f t="shared" si="2"/>
        <v>0</v>
      </c>
    </row>
    <row r="28" s="135" customFormat="1" customHeight="1" spans="1:50">
      <c r="A28" s="135">
        <v>11</v>
      </c>
      <c r="B28" s="135"/>
      <c r="C28" s="135" t="s">
        <v>151</v>
      </c>
      <c r="D28" s="135">
        <v>20240005637</v>
      </c>
      <c r="F28" s="834" t="s">
        <v>367</v>
      </c>
      <c r="G28" s="135" t="s">
        <v>368</v>
      </c>
      <c r="H28" s="834" t="s">
        <v>5009</v>
      </c>
      <c r="I28" s="148" t="s">
        <v>5010</v>
      </c>
      <c r="J28" s="149">
        <v>126.91</v>
      </c>
      <c r="K28" s="135">
        <v>126.91</v>
      </c>
      <c r="L28" s="151">
        <v>5862.3</v>
      </c>
      <c r="M28" s="135">
        <v>743985</v>
      </c>
      <c r="N28" s="135">
        <v>5998.69</v>
      </c>
      <c r="O28" s="135"/>
      <c r="R28" s="135">
        <f>575000+39000</f>
        <v>614000</v>
      </c>
      <c r="S28" s="155" t="s">
        <v>3242</v>
      </c>
      <c r="U28" s="135" t="s">
        <v>2249</v>
      </c>
      <c r="V28" s="135">
        <v>10000</v>
      </c>
      <c r="W28" s="155">
        <v>45560</v>
      </c>
      <c r="X28" s="135">
        <v>119985</v>
      </c>
      <c r="Y28" s="155" t="s">
        <v>151</v>
      </c>
      <c r="Z28" s="135">
        <v>39000</v>
      </c>
      <c r="AA28" s="155" t="s">
        <v>3242</v>
      </c>
      <c r="AB28" s="135">
        <v>575000</v>
      </c>
      <c r="AC28" s="135" t="s">
        <v>865</v>
      </c>
      <c r="AH28" s="135">
        <f t="shared" si="0"/>
        <v>743985</v>
      </c>
      <c r="AK28" s="135">
        <f>M28-AH28</f>
        <v>0</v>
      </c>
      <c r="AL28" s="135">
        <v>15899017992</v>
      </c>
      <c r="AM28" s="135" t="s">
        <v>5011</v>
      </c>
      <c r="AO28" s="135">
        <f t="shared" si="2"/>
        <v>743985</v>
      </c>
      <c r="AP28" s="162">
        <f>0.4%+0.02%+0.1%</f>
        <v>0.0052</v>
      </c>
      <c r="AS28" s="135">
        <v>743985</v>
      </c>
      <c r="AV28" s="135">
        <f>AS28*AP28</f>
        <v>3868.722</v>
      </c>
      <c r="AX28" s="135" t="s">
        <v>496</v>
      </c>
    </row>
    <row r="29" s="134" customFormat="1" customHeight="1" spans="1:41">
      <c r="A29" s="58">
        <v>12</v>
      </c>
      <c r="B29" s="134"/>
      <c r="C29" s="134"/>
      <c r="D29" s="134"/>
      <c r="E29" s="134"/>
      <c r="F29" s="134"/>
      <c r="G29" s="134"/>
      <c r="H29" s="134"/>
      <c r="I29" s="146" t="s">
        <v>5012</v>
      </c>
      <c r="J29" s="147">
        <v>126.5</v>
      </c>
      <c r="K29" s="134"/>
      <c r="L29" s="134"/>
      <c r="M29" s="134"/>
      <c r="N29" s="134">
        <v>5989.69</v>
      </c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AH29" s="134">
        <f t="shared" si="0"/>
        <v>0</v>
      </c>
      <c r="AO29" s="132">
        <f t="shared" si="2"/>
        <v>0</v>
      </c>
    </row>
    <row r="30" s="135" customFormat="1" customHeight="1" spans="1:50">
      <c r="A30" s="135">
        <v>13</v>
      </c>
      <c r="B30" s="135"/>
      <c r="C30" s="135" t="s">
        <v>327</v>
      </c>
      <c r="D30" s="135">
        <v>20240006297</v>
      </c>
      <c r="E30" s="135"/>
      <c r="F30" s="834" t="s">
        <v>369</v>
      </c>
      <c r="G30" s="135" t="s">
        <v>370</v>
      </c>
      <c r="I30" s="152" t="s">
        <v>5013</v>
      </c>
      <c r="J30" s="149">
        <v>126.91</v>
      </c>
      <c r="K30" s="135">
        <v>126.91</v>
      </c>
      <c r="L30" s="135">
        <v>5900</v>
      </c>
      <c r="M30" s="135">
        <v>748769</v>
      </c>
      <c r="N30" s="135">
        <v>6043.69</v>
      </c>
      <c r="O30" s="135"/>
      <c r="U30" s="135" t="s">
        <v>594</v>
      </c>
      <c r="V30" s="135">
        <v>20000</v>
      </c>
      <c r="W30" s="135" t="s">
        <v>5014</v>
      </c>
      <c r="X30" s="135">
        <f>88769+10000</f>
        <v>98769</v>
      </c>
      <c r="Y30" s="135" t="s">
        <v>327</v>
      </c>
      <c r="AH30" s="135">
        <f t="shared" si="0"/>
        <v>118769</v>
      </c>
      <c r="AK30" s="135">
        <f>M30-AH30</f>
        <v>630000</v>
      </c>
      <c r="AL30" s="135">
        <v>15299355759</v>
      </c>
      <c r="AM30" s="135" t="s">
        <v>3254</v>
      </c>
      <c r="AO30" s="135">
        <f t="shared" si="2"/>
        <v>118769</v>
      </c>
      <c r="AP30" s="162">
        <f>0.4%+0.02%+0.08%+0.03%</f>
        <v>0.0053</v>
      </c>
      <c r="AR30" s="135">
        <v>118769</v>
      </c>
      <c r="AX30" s="135" t="s">
        <v>496</v>
      </c>
    </row>
    <row r="31" s="134" customFormat="1" customHeight="1" spans="1:41">
      <c r="A31" s="58">
        <v>14</v>
      </c>
      <c r="B31" s="134"/>
      <c r="C31" s="134"/>
      <c r="D31" s="134"/>
      <c r="E31" s="134"/>
      <c r="F31" s="134"/>
      <c r="G31" s="134"/>
      <c r="H31" s="134"/>
      <c r="I31" s="150" t="s">
        <v>5015</v>
      </c>
      <c r="J31" s="147">
        <v>126.5</v>
      </c>
      <c r="K31" s="134"/>
      <c r="L31" s="134"/>
      <c r="M31" s="134"/>
      <c r="N31" s="134">
        <v>6034.69</v>
      </c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AH31" s="134">
        <f t="shared" si="0"/>
        <v>0</v>
      </c>
      <c r="AO31" s="132">
        <f t="shared" ref="AO31:AO62" si="3">SUM(AQ31:AU31)</f>
        <v>0</v>
      </c>
    </row>
    <row r="32" s="134" customFormat="1" customHeight="1" spans="1:41">
      <c r="A32" s="58">
        <v>15</v>
      </c>
      <c r="B32" s="134"/>
      <c r="C32" s="134"/>
      <c r="D32" s="134"/>
      <c r="E32" s="134"/>
      <c r="F32" s="134"/>
      <c r="G32" s="134"/>
      <c r="H32" s="134"/>
      <c r="I32" s="150" t="s">
        <v>5016</v>
      </c>
      <c r="J32" s="147">
        <v>126.91</v>
      </c>
      <c r="K32" s="134"/>
      <c r="L32" s="134"/>
      <c r="M32" s="134"/>
      <c r="N32" s="134">
        <v>6068.69</v>
      </c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AH32" s="134">
        <f t="shared" si="0"/>
        <v>0</v>
      </c>
      <c r="AO32" s="132">
        <f t="shared" si="3"/>
        <v>0</v>
      </c>
    </row>
    <row r="33" s="134" customFormat="1" customHeight="1" spans="1:41">
      <c r="A33" s="58">
        <v>16</v>
      </c>
      <c r="B33" s="134"/>
      <c r="C33" s="134"/>
      <c r="D33" s="134"/>
      <c r="E33" s="134"/>
      <c r="F33" s="134"/>
      <c r="G33" s="134"/>
      <c r="H33" s="134"/>
      <c r="I33" s="150" t="s">
        <v>5017</v>
      </c>
      <c r="J33" s="147">
        <v>126.5</v>
      </c>
      <c r="K33" s="134"/>
      <c r="L33" s="134"/>
      <c r="M33" s="134"/>
      <c r="N33" s="134">
        <v>6059.69</v>
      </c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AH33" s="134">
        <f t="shared" si="0"/>
        <v>0</v>
      </c>
      <c r="AO33" s="132">
        <f t="shared" si="3"/>
        <v>0</v>
      </c>
    </row>
    <row r="34" s="134" customFormat="1" customHeight="1" spans="1:41">
      <c r="A34" s="58">
        <v>17</v>
      </c>
      <c r="B34" s="134"/>
      <c r="C34" s="134"/>
      <c r="D34" s="134"/>
      <c r="E34" s="134"/>
      <c r="F34" s="134"/>
      <c r="G34" s="134"/>
      <c r="H34" s="134"/>
      <c r="I34" s="146" t="s">
        <v>5018</v>
      </c>
      <c r="J34" s="147">
        <v>126.91</v>
      </c>
      <c r="K34" s="134"/>
      <c r="L34" s="134"/>
      <c r="M34" s="134"/>
      <c r="N34" s="134">
        <v>6093.69</v>
      </c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AH34" s="134">
        <f t="shared" si="0"/>
        <v>0</v>
      </c>
      <c r="AO34" s="132">
        <f t="shared" si="3"/>
        <v>0</v>
      </c>
    </row>
    <row r="35" s="134" customFormat="1" customHeight="1" spans="1:41">
      <c r="A35" s="58">
        <v>18</v>
      </c>
      <c r="B35" s="134"/>
      <c r="C35" s="134"/>
      <c r="D35" s="134"/>
      <c r="E35" s="134"/>
      <c r="F35" s="134"/>
      <c r="G35" s="134"/>
      <c r="H35" s="134"/>
      <c r="I35" s="150" t="s">
        <v>5019</v>
      </c>
      <c r="J35" s="147">
        <v>126.5</v>
      </c>
      <c r="K35" s="134"/>
      <c r="L35" s="134"/>
      <c r="M35" s="134"/>
      <c r="N35" s="134">
        <v>6084.69</v>
      </c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AH35" s="134">
        <f t="shared" si="0"/>
        <v>0</v>
      </c>
      <c r="AO35" s="132">
        <f t="shared" si="3"/>
        <v>0</v>
      </c>
    </row>
    <row r="36" s="134" customFormat="1" customHeight="1" spans="1:41">
      <c r="A36" s="58">
        <v>19</v>
      </c>
      <c r="B36" s="134"/>
      <c r="C36" s="134"/>
      <c r="D36" s="134"/>
      <c r="E36" s="134"/>
      <c r="F36" s="134"/>
      <c r="G36" s="134"/>
      <c r="H36" s="134"/>
      <c r="I36" s="146" t="s">
        <v>5020</v>
      </c>
      <c r="J36" s="147">
        <v>126.91</v>
      </c>
      <c r="K36" s="134"/>
      <c r="L36" s="134"/>
      <c r="M36" s="134"/>
      <c r="N36" s="134">
        <v>6113.69</v>
      </c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AH36" s="134">
        <f t="shared" si="0"/>
        <v>0</v>
      </c>
      <c r="AO36" s="132">
        <f t="shared" si="3"/>
        <v>0</v>
      </c>
    </row>
    <row r="37" s="134" customFormat="1" customHeight="1" spans="1:41">
      <c r="A37" s="58">
        <v>20</v>
      </c>
      <c r="B37" s="134"/>
      <c r="C37" s="134"/>
      <c r="D37" s="134"/>
      <c r="E37" s="134"/>
      <c r="F37" s="134"/>
      <c r="G37" s="134"/>
      <c r="H37" s="134"/>
      <c r="I37" s="150" t="s">
        <v>5021</v>
      </c>
      <c r="J37" s="147">
        <v>126.5</v>
      </c>
      <c r="K37" s="134"/>
      <c r="L37" s="134"/>
      <c r="M37" s="134"/>
      <c r="N37" s="134">
        <v>6104.69</v>
      </c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AH37" s="134">
        <f t="shared" ref="AH37:AH68" si="4">V37+X37+Z37+AB37+AD37+AF37</f>
        <v>0</v>
      </c>
      <c r="AO37" s="132">
        <f t="shared" si="3"/>
        <v>0</v>
      </c>
    </row>
    <row r="38" s="134" customFormat="1" customHeight="1" spans="1:41">
      <c r="A38" s="58">
        <v>21</v>
      </c>
      <c r="B38" s="134"/>
      <c r="C38" s="134"/>
      <c r="D38" s="134"/>
      <c r="E38" s="134"/>
      <c r="F38" s="134"/>
      <c r="G38" s="134"/>
      <c r="H38" s="134"/>
      <c r="I38" s="146" t="s">
        <v>5022</v>
      </c>
      <c r="J38" s="147">
        <v>126.91</v>
      </c>
      <c r="K38" s="134"/>
      <c r="L38" s="134"/>
      <c r="M38" s="134"/>
      <c r="N38" s="134">
        <v>7139.31</v>
      </c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AH38" s="134">
        <f t="shared" si="4"/>
        <v>0</v>
      </c>
      <c r="AO38" s="132">
        <f t="shared" si="3"/>
        <v>0</v>
      </c>
    </row>
    <row r="39" s="134" customFormat="1" customHeight="1" spans="1:41">
      <c r="A39" s="58">
        <v>22</v>
      </c>
      <c r="B39" s="134"/>
      <c r="C39" s="134"/>
      <c r="D39" s="134"/>
      <c r="E39" s="134"/>
      <c r="F39" s="134"/>
      <c r="G39" s="134"/>
      <c r="H39" s="134"/>
      <c r="I39" s="150" t="s">
        <v>5023</v>
      </c>
      <c r="J39" s="147">
        <v>126.5</v>
      </c>
      <c r="K39" s="134"/>
      <c r="L39" s="134"/>
      <c r="M39" s="134"/>
      <c r="N39" s="134">
        <v>7129.31</v>
      </c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AH39" s="134">
        <f t="shared" si="4"/>
        <v>0</v>
      </c>
      <c r="AO39" s="132">
        <f t="shared" si="3"/>
        <v>0</v>
      </c>
    </row>
    <row r="40" s="134" customFormat="1" customHeight="1" spans="1:41">
      <c r="A40" s="58">
        <v>23</v>
      </c>
      <c r="B40" s="134"/>
      <c r="C40" s="134"/>
      <c r="D40" s="134"/>
      <c r="E40" s="134"/>
      <c r="F40" s="134"/>
      <c r="G40" s="134"/>
      <c r="H40" s="134"/>
      <c r="I40" s="146" t="s">
        <v>5024</v>
      </c>
      <c r="J40" s="147">
        <v>128.65</v>
      </c>
      <c r="K40" s="134"/>
      <c r="L40" s="134"/>
      <c r="M40" s="134"/>
      <c r="N40" s="134">
        <v>7705.31</v>
      </c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AH40" s="134">
        <f t="shared" si="4"/>
        <v>0</v>
      </c>
      <c r="AO40" s="132">
        <f t="shared" si="3"/>
        <v>0</v>
      </c>
    </row>
    <row r="41" s="134" customFormat="1" customHeight="1" spans="1:41">
      <c r="A41" s="58">
        <v>24</v>
      </c>
      <c r="B41" s="134"/>
      <c r="C41" s="134"/>
      <c r="D41" s="134"/>
      <c r="E41" s="134"/>
      <c r="F41" s="134"/>
      <c r="G41" s="134"/>
      <c r="H41" s="134"/>
      <c r="I41" s="150" t="s">
        <v>5025</v>
      </c>
      <c r="J41" s="147">
        <v>109.7</v>
      </c>
      <c r="K41" s="134"/>
      <c r="L41" s="134"/>
      <c r="M41" s="134"/>
      <c r="N41" s="134">
        <v>8525.31</v>
      </c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AH41" s="134">
        <f t="shared" si="4"/>
        <v>0</v>
      </c>
      <c r="AO41" s="132">
        <f t="shared" si="3"/>
        <v>0</v>
      </c>
    </row>
    <row r="42" s="134" customFormat="1" customHeight="1" spans="1:41">
      <c r="A42" s="58">
        <v>25</v>
      </c>
      <c r="B42" s="134"/>
      <c r="C42" s="134"/>
      <c r="D42" s="134"/>
      <c r="E42" s="134"/>
      <c r="F42" s="134"/>
      <c r="G42" s="134"/>
      <c r="H42" s="134"/>
      <c r="I42" s="146" t="s">
        <v>5026</v>
      </c>
      <c r="J42" s="147">
        <v>126.5</v>
      </c>
      <c r="K42" s="134"/>
      <c r="L42" s="134"/>
      <c r="M42" s="134"/>
      <c r="N42" s="134">
        <v>5765.41</v>
      </c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AH42" s="134">
        <f t="shared" si="4"/>
        <v>0</v>
      </c>
      <c r="AO42" s="132">
        <f t="shared" si="3"/>
        <v>0</v>
      </c>
    </row>
    <row r="43" s="134" customFormat="1" customHeight="1" spans="1:41">
      <c r="A43" s="58">
        <v>26</v>
      </c>
      <c r="B43" s="134"/>
      <c r="C43" s="134"/>
      <c r="D43" s="134"/>
      <c r="E43" s="134"/>
      <c r="F43" s="134"/>
      <c r="G43" s="134"/>
      <c r="H43" s="134"/>
      <c r="I43" s="150" t="s">
        <v>5027</v>
      </c>
      <c r="J43" s="147">
        <v>126.5</v>
      </c>
      <c r="K43" s="134"/>
      <c r="L43" s="134"/>
      <c r="M43" s="134"/>
      <c r="N43" s="134">
        <v>5757.41</v>
      </c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AH43" s="134">
        <f t="shared" si="4"/>
        <v>0</v>
      </c>
      <c r="AO43" s="132">
        <f t="shared" si="3"/>
        <v>0</v>
      </c>
    </row>
    <row r="44" s="134" customFormat="1" customHeight="1" spans="1:41">
      <c r="A44" s="58">
        <v>27</v>
      </c>
      <c r="B44" s="134"/>
      <c r="C44" s="134"/>
      <c r="D44" s="134"/>
      <c r="E44" s="134"/>
      <c r="F44" s="134"/>
      <c r="G44" s="134"/>
      <c r="H44" s="134"/>
      <c r="I44" s="146" t="s">
        <v>5028</v>
      </c>
      <c r="J44" s="147">
        <v>126.5</v>
      </c>
      <c r="K44" s="134"/>
      <c r="L44" s="134"/>
      <c r="M44" s="134"/>
      <c r="N44" s="134">
        <v>5815.69</v>
      </c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AH44" s="134">
        <f t="shared" si="4"/>
        <v>0</v>
      </c>
      <c r="AO44" s="132">
        <f t="shared" si="3"/>
        <v>0</v>
      </c>
    </row>
    <row r="45" s="134" customFormat="1" customHeight="1" spans="1:41">
      <c r="A45" s="58">
        <v>28</v>
      </c>
      <c r="B45" s="134"/>
      <c r="C45" s="134"/>
      <c r="D45" s="134"/>
      <c r="E45" s="134"/>
      <c r="F45" s="134"/>
      <c r="G45" s="134"/>
      <c r="H45" s="134"/>
      <c r="I45" s="146" t="s">
        <v>5029</v>
      </c>
      <c r="J45" s="147">
        <v>126.5</v>
      </c>
      <c r="K45" s="134"/>
      <c r="L45" s="134"/>
      <c r="M45" s="134"/>
      <c r="N45" s="134">
        <v>5807.69</v>
      </c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AH45" s="134">
        <f t="shared" si="4"/>
        <v>0</v>
      </c>
      <c r="AO45" s="132">
        <f t="shared" si="3"/>
        <v>0</v>
      </c>
    </row>
    <row r="46" s="134" customFormat="1" customHeight="1" spans="1:41">
      <c r="A46" s="58">
        <v>29</v>
      </c>
      <c r="B46" s="134"/>
      <c r="C46" s="134"/>
      <c r="D46" s="134"/>
      <c r="E46" s="134"/>
      <c r="F46" s="134"/>
      <c r="G46" s="134"/>
      <c r="H46" s="134"/>
      <c r="I46" s="150" t="s">
        <v>5030</v>
      </c>
      <c r="J46" s="147">
        <v>126.5</v>
      </c>
      <c r="K46" s="134"/>
      <c r="L46" s="134"/>
      <c r="M46" s="134"/>
      <c r="N46" s="134">
        <v>5845.69</v>
      </c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AH46" s="134">
        <f t="shared" si="4"/>
        <v>0</v>
      </c>
      <c r="AO46" s="132">
        <f t="shared" si="3"/>
        <v>0</v>
      </c>
    </row>
    <row r="47" s="134" customFormat="1" customHeight="1" spans="1:41">
      <c r="A47" s="58">
        <v>30</v>
      </c>
      <c r="B47" s="134"/>
      <c r="C47" s="134"/>
      <c r="D47" s="134"/>
      <c r="E47" s="134"/>
      <c r="F47" s="134"/>
      <c r="G47" s="134"/>
      <c r="H47" s="134"/>
      <c r="I47" s="150" t="s">
        <v>5031</v>
      </c>
      <c r="J47" s="147">
        <v>126.5</v>
      </c>
      <c r="K47" s="134"/>
      <c r="L47" s="134"/>
      <c r="M47" s="134"/>
      <c r="N47" s="134">
        <v>5837.69</v>
      </c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AH47" s="134">
        <f t="shared" si="4"/>
        <v>0</v>
      </c>
      <c r="AO47" s="132">
        <f t="shared" si="3"/>
        <v>0</v>
      </c>
    </row>
    <row r="48" s="134" customFormat="1" customHeight="1" spans="1:41">
      <c r="A48" s="58">
        <v>31</v>
      </c>
      <c r="B48" s="134"/>
      <c r="C48" s="134"/>
      <c r="D48" s="134"/>
      <c r="E48" s="134"/>
      <c r="F48" s="134"/>
      <c r="G48" s="134"/>
      <c r="H48" s="134"/>
      <c r="I48" s="150" t="s">
        <v>5032</v>
      </c>
      <c r="J48" s="147">
        <v>126.5</v>
      </c>
      <c r="K48" s="134"/>
      <c r="L48" s="134"/>
      <c r="M48" s="134"/>
      <c r="N48" s="134">
        <v>5915.69</v>
      </c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AH48" s="134">
        <f t="shared" si="4"/>
        <v>0</v>
      </c>
      <c r="AO48" s="132">
        <f t="shared" si="3"/>
        <v>0</v>
      </c>
    </row>
    <row r="49" s="134" customFormat="1" customHeight="1" spans="1:41">
      <c r="A49" s="58">
        <v>32</v>
      </c>
      <c r="B49" s="134"/>
      <c r="C49" s="134"/>
      <c r="D49" s="134"/>
      <c r="E49" s="134"/>
      <c r="F49" s="134"/>
      <c r="G49" s="134"/>
      <c r="H49" s="134"/>
      <c r="I49" s="150" t="s">
        <v>5033</v>
      </c>
      <c r="J49" s="147">
        <v>126.5</v>
      </c>
      <c r="K49" s="134"/>
      <c r="L49" s="134"/>
      <c r="M49" s="134"/>
      <c r="N49" s="134">
        <v>5907.69</v>
      </c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AH49" s="134">
        <f t="shared" si="4"/>
        <v>0</v>
      </c>
      <c r="AO49" s="132">
        <f t="shared" si="3"/>
        <v>0</v>
      </c>
    </row>
    <row r="50" s="134" customFormat="1" customHeight="1" spans="1:41">
      <c r="A50" s="58">
        <v>33</v>
      </c>
      <c r="B50" s="134"/>
      <c r="C50" s="134"/>
      <c r="D50" s="134"/>
      <c r="E50" s="134"/>
      <c r="F50" s="134"/>
      <c r="G50" s="134"/>
      <c r="H50" s="134"/>
      <c r="I50" s="150" t="s">
        <v>5034</v>
      </c>
      <c r="J50" s="147">
        <v>126.5</v>
      </c>
      <c r="K50" s="134"/>
      <c r="L50" s="134"/>
      <c r="M50" s="134"/>
      <c r="N50" s="134">
        <v>5980.69</v>
      </c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AH50" s="134">
        <f t="shared" si="4"/>
        <v>0</v>
      </c>
      <c r="AO50" s="132">
        <f t="shared" si="3"/>
        <v>0</v>
      </c>
    </row>
    <row r="51" s="134" customFormat="1" customHeight="1" spans="1:41">
      <c r="A51" s="58">
        <v>34</v>
      </c>
      <c r="B51" s="134"/>
      <c r="C51" s="134"/>
      <c r="D51" s="134"/>
      <c r="E51" s="134"/>
      <c r="F51" s="134"/>
      <c r="G51" s="134"/>
      <c r="H51" s="134"/>
      <c r="I51" s="150" t="s">
        <v>5035</v>
      </c>
      <c r="J51" s="147">
        <v>126.5</v>
      </c>
      <c r="K51" s="134"/>
      <c r="L51" s="134"/>
      <c r="M51" s="134"/>
      <c r="N51" s="134">
        <v>5972.69</v>
      </c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AH51" s="134">
        <f t="shared" si="4"/>
        <v>0</v>
      </c>
      <c r="AO51" s="132">
        <f t="shared" si="3"/>
        <v>0</v>
      </c>
    </row>
    <row r="52" s="136" customFormat="1" customHeight="1" spans="1:42">
      <c r="A52" s="135">
        <v>35</v>
      </c>
      <c r="B52" s="136">
        <v>1</v>
      </c>
      <c r="C52" s="136"/>
      <c r="D52" s="136"/>
      <c r="E52" s="136"/>
      <c r="F52" s="835" t="s">
        <v>5036</v>
      </c>
      <c r="G52" s="136" t="s">
        <v>5037</v>
      </c>
      <c r="H52" s="835" t="s">
        <v>5038</v>
      </c>
      <c r="I52" s="152" t="s">
        <v>5039</v>
      </c>
      <c r="J52" s="149">
        <v>126.5</v>
      </c>
      <c r="K52" s="136">
        <v>126.5</v>
      </c>
      <c r="L52" s="136">
        <v>5900</v>
      </c>
      <c r="M52" s="153">
        <v>746350</v>
      </c>
      <c r="N52" s="136">
        <v>6025.69</v>
      </c>
      <c r="O52" s="136"/>
      <c r="P52" s="136"/>
      <c r="Q52" s="136"/>
      <c r="R52" s="136">
        <v>20000</v>
      </c>
      <c r="S52" s="136" t="s">
        <v>1149</v>
      </c>
      <c r="T52" s="136"/>
      <c r="U52" s="136" t="s">
        <v>721</v>
      </c>
      <c r="V52" s="136">
        <v>20000</v>
      </c>
      <c r="W52" s="136" t="s">
        <v>1149</v>
      </c>
      <c r="X52" s="136"/>
      <c r="Y52" s="136"/>
      <c r="AH52" s="136">
        <f t="shared" si="4"/>
        <v>20000</v>
      </c>
      <c r="AK52" s="136">
        <f>M52-AH52</f>
        <v>726350</v>
      </c>
      <c r="AL52" s="136">
        <v>13199960206</v>
      </c>
      <c r="AM52" s="136" t="s">
        <v>3254</v>
      </c>
      <c r="AO52" s="135">
        <f t="shared" si="3"/>
        <v>0</v>
      </c>
      <c r="AP52" s="163">
        <f>0.7%+0.04%+0.12%+0.03%</f>
        <v>0.0089</v>
      </c>
    </row>
    <row r="53" s="134" customFormat="1" customHeight="1" spans="1:41">
      <c r="A53" s="58">
        <v>36</v>
      </c>
      <c r="B53" s="134"/>
      <c r="C53" s="134"/>
      <c r="D53" s="134"/>
      <c r="E53" s="134"/>
      <c r="F53" s="134"/>
      <c r="G53" s="134"/>
      <c r="H53" s="134"/>
      <c r="I53" s="150" t="s">
        <v>5040</v>
      </c>
      <c r="J53" s="147">
        <v>126.5</v>
      </c>
      <c r="K53" s="134"/>
      <c r="L53" s="134"/>
      <c r="M53" s="134"/>
      <c r="N53" s="134">
        <v>6017.69</v>
      </c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AH53" s="134">
        <f t="shared" si="4"/>
        <v>0</v>
      </c>
      <c r="AO53" s="132">
        <f t="shared" si="3"/>
        <v>0</v>
      </c>
    </row>
    <row r="54" s="134" customFormat="1" customHeight="1" spans="1:41">
      <c r="A54" s="58">
        <v>37</v>
      </c>
      <c r="B54" s="134"/>
      <c r="C54" s="134"/>
      <c r="D54" s="134"/>
      <c r="E54" s="134"/>
      <c r="F54" s="134"/>
      <c r="G54" s="134"/>
      <c r="H54" s="134"/>
      <c r="I54" s="150" t="s">
        <v>5041</v>
      </c>
      <c r="J54" s="147">
        <v>126.5</v>
      </c>
      <c r="K54" s="134"/>
      <c r="L54" s="134"/>
      <c r="M54" s="134"/>
      <c r="N54" s="134">
        <v>6050.69</v>
      </c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AH54" s="134">
        <f t="shared" si="4"/>
        <v>0</v>
      </c>
      <c r="AO54" s="132">
        <f t="shared" si="3"/>
        <v>0</v>
      </c>
    </row>
    <row r="55" s="134" customFormat="1" customHeight="1" spans="1:41">
      <c r="A55" s="58">
        <v>38</v>
      </c>
      <c r="B55" s="134"/>
      <c r="C55" s="134"/>
      <c r="D55" s="134"/>
      <c r="E55" s="134"/>
      <c r="F55" s="134"/>
      <c r="G55" s="134"/>
      <c r="H55" s="134"/>
      <c r="I55" s="150" t="s">
        <v>5042</v>
      </c>
      <c r="J55" s="147">
        <v>126.5</v>
      </c>
      <c r="K55" s="134"/>
      <c r="L55" s="134"/>
      <c r="M55" s="134"/>
      <c r="N55" s="134">
        <v>6042.69</v>
      </c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AH55" s="134">
        <f t="shared" si="4"/>
        <v>0</v>
      </c>
      <c r="AO55" s="132">
        <f t="shared" si="3"/>
        <v>0</v>
      </c>
    </row>
    <row r="56" s="134" customFormat="1" customHeight="1" spans="1:41">
      <c r="A56" s="58">
        <v>39</v>
      </c>
      <c r="B56" s="134"/>
      <c r="C56" s="134"/>
      <c r="D56" s="134"/>
      <c r="E56" s="134"/>
      <c r="F56" s="134"/>
      <c r="G56" s="134"/>
      <c r="H56" s="134"/>
      <c r="I56" s="150" t="s">
        <v>5043</v>
      </c>
      <c r="J56" s="147">
        <v>126.5</v>
      </c>
      <c r="K56" s="134"/>
      <c r="L56" s="134"/>
      <c r="M56" s="134"/>
      <c r="N56" s="134">
        <v>6075.69</v>
      </c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AH56" s="134">
        <f t="shared" si="4"/>
        <v>0</v>
      </c>
      <c r="AO56" s="132">
        <f t="shared" si="3"/>
        <v>0</v>
      </c>
    </row>
    <row r="57" s="134" customFormat="1" customHeight="1" spans="1:41">
      <c r="A57" s="58">
        <v>40</v>
      </c>
      <c r="B57" s="134"/>
      <c r="C57" s="134"/>
      <c r="D57" s="134"/>
      <c r="E57" s="134"/>
      <c r="F57" s="134"/>
      <c r="G57" s="134"/>
      <c r="H57" s="134"/>
      <c r="I57" s="150" t="s">
        <v>5044</v>
      </c>
      <c r="J57" s="147">
        <v>126.5</v>
      </c>
      <c r="K57" s="134"/>
      <c r="L57" s="134"/>
      <c r="M57" s="134"/>
      <c r="N57" s="134">
        <v>6067.69</v>
      </c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AH57" s="134">
        <f t="shared" si="4"/>
        <v>0</v>
      </c>
      <c r="AO57" s="132">
        <f t="shared" si="3"/>
        <v>0</v>
      </c>
    </row>
    <row r="58" s="134" customFormat="1" customHeight="1" spans="1:41">
      <c r="A58" s="58">
        <v>41</v>
      </c>
      <c r="B58" s="134"/>
      <c r="C58" s="134"/>
      <c r="D58" s="134"/>
      <c r="E58" s="134"/>
      <c r="F58" s="134"/>
      <c r="G58" s="134"/>
      <c r="H58" s="134"/>
      <c r="I58" s="150" t="s">
        <v>5045</v>
      </c>
      <c r="J58" s="147">
        <v>126.5</v>
      </c>
      <c r="K58" s="134"/>
      <c r="L58" s="134"/>
      <c r="M58" s="134"/>
      <c r="N58" s="134">
        <v>6095.69</v>
      </c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AH58" s="134">
        <f t="shared" si="4"/>
        <v>0</v>
      </c>
      <c r="AO58" s="132">
        <f t="shared" si="3"/>
        <v>0</v>
      </c>
    </row>
    <row r="59" s="134" customFormat="1" customHeight="1" spans="1:41">
      <c r="A59" s="58">
        <v>42</v>
      </c>
      <c r="B59" s="134"/>
      <c r="C59" s="134"/>
      <c r="D59" s="134"/>
      <c r="E59" s="134"/>
      <c r="F59" s="134"/>
      <c r="G59" s="134"/>
      <c r="H59" s="134"/>
      <c r="I59" s="150" t="s">
        <v>5046</v>
      </c>
      <c r="J59" s="147">
        <v>126.5</v>
      </c>
      <c r="K59" s="134"/>
      <c r="L59" s="134"/>
      <c r="M59" s="134"/>
      <c r="N59" s="134">
        <v>6087.69</v>
      </c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AH59" s="134">
        <f t="shared" si="4"/>
        <v>0</v>
      </c>
      <c r="AO59" s="132">
        <f t="shared" si="3"/>
        <v>0</v>
      </c>
    </row>
    <row r="60" s="134" customFormat="1" customHeight="1" spans="1:41">
      <c r="A60" s="58">
        <v>43</v>
      </c>
      <c r="B60" s="134"/>
      <c r="C60" s="134"/>
      <c r="D60" s="134"/>
      <c r="E60" s="134"/>
      <c r="F60" s="134"/>
      <c r="G60" s="134"/>
      <c r="H60" s="134"/>
      <c r="I60" s="150" t="s">
        <v>5047</v>
      </c>
      <c r="J60" s="147">
        <v>126.5</v>
      </c>
      <c r="K60" s="134"/>
      <c r="L60" s="134"/>
      <c r="M60" s="134"/>
      <c r="N60" s="134">
        <v>7119.31</v>
      </c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AH60" s="134">
        <f t="shared" si="4"/>
        <v>0</v>
      </c>
      <c r="AO60" s="132">
        <f t="shared" si="3"/>
        <v>0</v>
      </c>
    </row>
    <row r="61" s="134" customFormat="1" customHeight="1" spans="1:41">
      <c r="A61" s="58">
        <v>44</v>
      </c>
      <c r="B61" s="134"/>
      <c r="C61" s="134"/>
      <c r="D61" s="134"/>
      <c r="E61" s="134"/>
      <c r="F61" s="134"/>
      <c r="G61" s="134"/>
      <c r="H61" s="134"/>
      <c r="I61" s="150" t="s">
        <v>5048</v>
      </c>
      <c r="J61" s="147">
        <v>126.5</v>
      </c>
      <c r="K61" s="134"/>
      <c r="L61" s="134"/>
      <c r="M61" s="134"/>
      <c r="N61" s="134">
        <v>7109.31</v>
      </c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AH61" s="134">
        <f t="shared" si="4"/>
        <v>0</v>
      </c>
      <c r="AO61" s="132">
        <f t="shared" si="3"/>
        <v>0</v>
      </c>
    </row>
    <row r="62" s="134" customFormat="1" customHeight="1" spans="1:41">
      <c r="A62" s="58">
        <v>45</v>
      </c>
      <c r="B62" s="134"/>
      <c r="C62" s="134"/>
      <c r="D62" s="134"/>
      <c r="E62" s="134"/>
      <c r="F62" s="134"/>
      <c r="G62" s="134"/>
      <c r="H62" s="134"/>
      <c r="I62" s="150" t="s">
        <v>5049</v>
      </c>
      <c r="J62" s="147">
        <v>109.7</v>
      </c>
      <c r="K62" s="134"/>
      <c r="L62" s="134"/>
      <c r="M62" s="134"/>
      <c r="N62" s="134">
        <v>8275.31</v>
      </c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AH62" s="134">
        <f t="shared" si="4"/>
        <v>0</v>
      </c>
      <c r="AO62" s="132">
        <f t="shared" si="3"/>
        <v>0</v>
      </c>
    </row>
    <row r="63" s="134" customFormat="1" customHeight="1" spans="1:41">
      <c r="A63" s="58">
        <v>46</v>
      </c>
      <c r="B63" s="134"/>
      <c r="C63" s="134"/>
      <c r="D63" s="134"/>
      <c r="E63" s="134"/>
      <c r="F63" s="134"/>
      <c r="G63" s="134"/>
      <c r="H63" s="134"/>
      <c r="I63" s="150" t="s">
        <v>5050</v>
      </c>
      <c r="J63" s="147">
        <v>129.06</v>
      </c>
      <c r="K63" s="134"/>
      <c r="L63" s="134"/>
      <c r="M63" s="134"/>
      <c r="N63" s="134">
        <v>8245.31</v>
      </c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AH63" s="134">
        <f t="shared" si="4"/>
        <v>0</v>
      </c>
      <c r="AO63" s="132">
        <f t="shared" ref="AO63:AO94" si="5">SUM(AQ63:AU63)</f>
        <v>0</v>
      </c>
    </row>
    <row r="64" s="134" customFormat="1" customHeight="1" spans="1:41">
      <c r="A64" s="58">
        <v>47</v>
      </c>
      <c r="B64" s="134"/>
      <c r="C64" s="134"/>
      <c r="D64" s="134"/>
      <c r="E64" s="134"/>
      <c r="F64" s="134"/>
      <c r="G64" s="134"/>
      <c r="H64" s="134"/>
      <c r="I64" s="150" t="s">
        <v>5051</v>
      </c>
      <c r="J64" s="147">
        <v>126.5</v>
      </c>
      <c r="K64" s="134"/>
      <c r="L64" s="134"/>
      <c r="M64" s="134"/>
      <c r="N64" s="134">
        <v>5749.41</v>
      </c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AH64" s="134">
        <f t="shared" si="4"/>
        <v>0</v>
      </c>
      <c r="AO64" s="132">
        <f t="shared" si="5"/>
        <v>0</v>
      </c>
    </row>
    <row r="65" s="134" customFormat="1" customHeight="1" spans="1:41">
      <c r="A65" s="58">
        <v>48</v>
      </c>
      <c r="B65" s="134"/>
      <c r="C65" s="134"/>
      <c r="D65" s="134"/>
      <c r="E65" s="134"/>
      <c r="F65" s="134"/>
      <c r="G65" s="134"/>
      <c r="H65" s="134"/>
      <c r="I65" s="150" t="s">
        <v>5052</v>
      </c>
      <c r="J65" s="147">
        <v>126.91</v>
      </c>
      <c r="K65" s="134"/>
      <c r="L65" s="134"/>
      <c r="M65" s="134"/>
      <c r="N65" s="134">
        <v>5730.41</v>
      </c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AH65" s="134">
        <f t="shared" si="4"/>
        <v>0</v>
      </c>
      <c r="AO65" s="132">
        <f t="shared" si="5"/>
        <v>0</v>
      </c>
    </row>
    <row r="66" s="134" customFormat="1" customHeight="1" spans="1:41">
      <c r="A66" s="58">
        <v>49</v>
      </c>
      <c r="B66" s="134"/>
      <c r="C66" s="134"/>
      <c r="D66" s="134"/>
      <c r="E66" s="134"/>
      <c r="F66" s="134"/>
      <c r="G66" s="134"/>
      <c r="H66" s="134"/>
      <c r="I66" s="150" t="s">
        <v>5053</v>
      </c>
      <c r="J66" s="147">
        <v>126.5</v>
      </c>
      <c r="K66" s="134"/>
      <c r="L66" s="134"/>
      <c r="M66" s="134"/>
      <c r="N66" s="134">
        <v>5799.69</v>
      </c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AH66" s="134">
        <f t="shared" si="4"/>
        <v>0</v>
      </c>
      <c r="AO66" s="132">
        <f t="shared" si="5"/>
        <v>0</v>
      </c>
    </row>
    <row r="67" s="134" customFormat="1" customHeight="1" spans="1:41">
      <c r="A67" s="58">
        <v>50</v>
      </c>
      <c r="B67" s="134"/>
      <c r="C67" s="134"/>
      <c r="D67" s="134"/>
      <c r="E67" s="134"/>
      <c r="F67" s="134"/>
      <c r="G67" s="134"/>
      <c r="H67" s="134"/>
      <c r="I67" s="150" t="s">
        <v>5054</v>
      </c>
      <c r="J67" s="147">
        <v>126.91</v>
      </c>
      <c r="K67" s="134"/>
      <c r="L67" s="134"/>
      <c r="M67" s="134"/>
      <c r="N67" s="134">
        <v>5780.69</v>
      </c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AH67" s="134">
        <f t="shared" si="4"/>
        <v>0</v>
      </c>
      <c r="AO67" s="132">
        <f t="shared" si="5"/>
        <v>0</v>
      </c>
    </row>
    <row r="68" s="134" customFormat="1" customHeight="1" spans="1:41">
      <c r="A68" s="58">
        <v>51</v>
      </c>
      <c r="B68" s="134"/>
      <c r="C68" s="134"/>
      <c r="D68" s="134"/>
      <c r="E68" s="134"/>
      <c r="F68" s="134"/>
      <c r="G68" s="134"/>
      <c r="H68" s="134"/>
      <c r="I68" s="150" t="s">
        <v>5055</v>
      </c>
      <c r="J68" s="147">
        <v>126.5</v>
      </c>
      <c r="K68" s="134"/>
      <c r="L68" s="134"/>
      <c r="M68" s="134"/>
      <c r="N68" s="134">
        <v>5829.69</v>
      </c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AH68" s="134">
        <f t="shared" si="4"/>
        <v>0</v>
      </c>
      <c r="AO68" s="132">
        <f t="shared" si="5"/>
        <v>0</v>
      </c>
    </row>
    <row r="69" s="134" customFormat="1" customHeight="1" spans="1:41">
      <c r="A69" s="58">
        <v>52</v>
      </c>
      <c r="B69" s="134"/>
      <c r="C69" s="134"/>
      <c r="D69" s="134"/>
      <c r="E69" s="134"/>
      <c r="F69" s="134"/>
      <c r="G69" s="134"/>
      <c r="H69" s="134"/>
      <c r="I69" s="150" t="s">
        <v>5056</v>
      </c>
      <c r="J69" s="147">
        <v>126.91</v>
      </c>
      <c r="K69" s="134"/>
      <c r="L69" s="134"/>
      <c r="M69" s="134"/>
      <c r="N69" s="134">
        <v>5810.69</v>
      </c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AH69" s="134">
        <f t="shared" ref="AH69:AH100" si="6">V69+X69+Z69+AB69+AD69+AF69</f>
        <v>0</v>
      </c>
      <c r="AO69" s="132">
        <f t="shared" si="5"/>
        <v>0</v>
      </c>
    </row>
    <row r="70" s="134" customFormat="1" customHeight="1" spans="1:41">
      <c r="A70" s="58">
        <v>53</v>
      </c>
      <c r="B70" s="134"/>
      <c r="C70" s="134"/>
      <c r="D70" s="134"/>
      <c r="E70" s="134"/>
      <c r="F70" s="134"/>
      <c r="G70" s="134"/>
      <c r="H70" s="134"/>
      <c r="I70" s="150" t="s">
        <v>5057</v>
      </c>
      <c r="J70" s="147">
        <v>126.5</v>
      </c>
      <c r="K70" s="134"/>
      <c r="L70" s="134"/>
      <c r="M70" s="134"/>
      <c r="N70" s="134">
        <v>5899.69</v>
      </c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AH70" s="134">
        <f t="shared" si="6"/>
        <v>0</v>
      </c>
      <c r="AO70" s="132">
        <f t="shared" si="5"/>
        <v>0</v>
      </c>
    </row>
    <row r="71" s="134" customFormat="1" customHeight="1" spans="1:41">
      <c r="A71" s="58">
        <v>54</v>
      </c>
      <c r="B71" s="134"/>
      <c r="C71" s="134"/>
      <c r="D71" s="134"/>
      <c r="E71" s="134"/>
      <c r="F71" s="134"/>
      <c r="G71" s="134"/>
      <c r="H71" s="134"/>
      <c r="I71" s="146" t="s">
        <v>5058</v>
      </c>
      <c r="J71" s="147">
        <v>126.91</v>
      </c>
      <c r="K71" s="134"/>
      <c r="L71" s="134"/>
      <c r="M71" s="134"/>
      <c r="N71" s="134">
        <v>5880.69</v>
      </c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AH71" s="134">
        <f t="shared" si="6"/>
        <v>0</v>
      </c>
      <c r="AO71" s="132">
        <f t="shared" si="5"/>
        <v>0</v>
      </c>
    </row>
    <row r="72" s="134" customFormat="1" customHeight="1" spans="1:41">
      <c r="A72" s="58">
        <v>55</v>
      </c>
      <c r="B72" s="134"/>
      <c r="C72" s="134"/>
      <c r="D72" s="134"/>
      <c r="E72" s="134"/>
      <c r="F72" s="134"/>
      <c r="G72" s="134"/>
      <c r="H72" s="134"/>
      <c r="I72" s="150" t="s">
        <v>5059</v>
      </c>
      <c r="J72" s="147">
        <v>126.5</v>
      </c>
      <c r="K72" s="134"/>
      <c r="L72" s="134"/>
      <c r="M72" s="134"/>
      <c r="N72" s="134">
        <v>5964.69</v>
      </c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AH72" s="134">
        <f t="shared" si="6"/>
        <v>0</v>
      </c>
      <c r="AO72" s="132">
        <f t="shared" si="5"/>
        <v>0</v>
      </c>
    </row>
    <row r="73" s="134" customFormat="1" customHeight="1" spans="1:41">
      <c r="A73" s="58">
        <v>56</v>
      </c>
      <c r="B73" s="134"/>
      <c r="C73" s="134"/>
      <c r="D73" s="134"/>
      <c r="E73" s="134"/>
      <c r="F73" s="134"/>
      <c r="G73" s="134"/>
      <c r="H73" s="134"/>
      <c r="I73" s="146" t="s">
        <v>5060</v>
      </c>
      <c r="J73" s="147">
        <v>126.91</v>
      </c>
      <c r="K73" s="134"/>
      <c r="L73" s="134"/>
      <c r="M73" s="134"/>
      <c r="N73" s="134">
        <v>5945.69</v>
      </c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AH73" s="134">
        <f t="shared" si="6"/>
        <v>0</v>
      </c>
      <c r="AO73" s="132">
        <f t="shared" si="5"/>
        <v>0</v>
      </c>
    </row>
    <row r="74" s="134" customFormat="1" customHeight="1" spans="1:41">
      <c r="A74" s="58">
        <v>57</v>
      </c>
      <c r="B74" s="134"/>
      <c r="C74" s="134"/>
      <c r="D74" s="134"/>
      <c r="E74" s="134"/>
      <c r="F74" s="134"/>
      <c r="G74" s="134"/>
      <c r="H74" s="134"/>
      <c r="I74" s="150" t="s">
        <v>5061</v>
      </c>
      <c r="J74" s="147">
        <v>126.5</v>
      </c>
      <c r="K74" s="134"/>
      <c r="L74" s="134"/>
      <c r="M74" s="134"/>
      <c r="N74" s="134">
        <v>6009.69</v>
      </c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AH74" s="134">
        <f t="shared" si="6"/>
        <v>0</v>
      </c>
      <c r="AO74" s="132">
        <f t="shared" si="5"/>
        <v>0</v>
      </c>
    </row>
    <row r="75" s="134" customFormat="1" customHeight="1" spans="1:41">
      <c r="A75" s="58">
        <v>58</v>
      </c>
      <c r="B75" s="134"/>
      <c r="C75" s="134"/>
      <c r="D75" s="134"/>
      <c r="E75" s="134"/>
      <c r="F75" s="134"/>
      <c r="G75" s="134"/>
      <c r="H75" s="134"/>
      <c r="I75" s="146" t="s">
        <v>5062</v>
      </c>
      <c r="J75" s="147">
        <v>126.91</v>
      </c>
      <c r="K75" s="134"/>
      <c r="L75" s="134"/>
      <c r="M75" s="134"/>
      <c r="N75" s="134">
        <v>5990.69</v>
      </c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AH75" s="134">
        <f t="shared" si="6"/>
        <v>0</v>
      </c>
      <c r="AO75" s="132">
        <f t="shared" si="5"/>
        <v>0</v>
      </c>
    </row>
    <row r="76" s="134" customFormat="1" customHeight="1" spans="1:41">
      <c r="A76" s="58">
        <v>59</v>
      </c>
      <c r="B76" s="134"/>
      <c r="C76" s="134"/>
      <c r="D76" s="134"/>
      <c r="E76" s="134"/>
      <c r="F76" s="134"/>
      <c r="G76" s="134"/>
      <c r="H76" s="134"/>
      <c r="I76" s="150" t="s">
        <v>5063</v>
      </c>
      <c r="J76" s="147">
        <v>126.5</v>
      </c>
      <c r="K76" s="134"/>
      <c r="L76" s="134"/>
      <c r="M76" s="134"/>
      <c r="N76" s="134">
        <v>6034.69</v>
      </c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AH76" s="134">
        <f t="shared" si="6"/>
        <v>0</v>
      </c>
      <c r="AO76" s="132">
        <f t="shared" si="5"/>
        <v>0</v>
      </c>
    </row>
    <row r="77" s="134" customFormat="1" customHeight="1" spans="1:41">
      <c r="A77" s="58">
        <v>60</v>
      </c>
      <c r="B77" s="134"/>
      <c r="C77" s="134"/>
      <c r="D77" s="134"/>
      <c r="E77" s="134"/>
      <c r="F77" s="134"/>
      <c r="G77" s="134"/>
      <c r="H77" s="134"/>
      <c r="I77" s="146" t="s">
        <v>5064</v>
      </c>
      <c r="J77" s="147">
        <v>126.91</v>
      </c>
      <c r="K77" s="134"/>
      <c r="L77" s="134"/>
      <c r="M77" s="134"/>
      <c r="N77" s="134">
        <v>6015.69</v>
      </c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AH77" s="134">
        <f t="shared" si="6"/>
        <v>0</v>
      </c>
      <c r="AO77" s="132">
        <f t="shared" si="5"/>
        <v>0</v>
      </c>
    </row>
    <row r="78" s="134" customFormat="1" customHeight="1" spans="1:41">
      <c r="A78" s="58">
        <v>61</v>
      </c>
      <c r="B78" s="134"/>
      <c r="C78" s="134"/>
      <c r="D78" s="134"/>
      <c r="E78" s="134"/>
      <c r="F78" s="134"/>
      <c r="G78" s="134"/>
      <c r="H78" s="134"/>
      <c r="I78" s="150" t="s">
        <v>5065</v>
      </c>
      <c r="J78" s="147">
        <v>126.5</v>
      </c>
      <c r="K78" s="134"/>
      <c r="L78" s="134"/>
      <c r="M78" s="134"/>
      <c r="N78" s="134">
        <v>6059.69</v>
      </c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AH78" s="134">
        <f t="shared" si="6"/>
        <v>0</v>
      </c>
      <c r="AO78" s="132">
        <f t="shared" si="5"/>
        <v>0</v>
      </c>
    </row>
    <row r="79" s="134" customFormat="1" customHeight="1" spans="1:41">
      <c r="A79" s="58">
        <v>62</v>
      </c>
      <c r="B79" s="134"/>
      <c r="C79" s="134"/>
      <c r="D79" s="134"/>
      <c r="E79" s="134"/>
      <c r="F79" s="134"/>
      <c r="G79" s="134"/>
      <c r="H79" s="134"/>
      <c r="I79" s="146" t="s">
        <v>5066</v>
      </c>
      <c r="J79" s="147">
        <v>126.91</v>
      </c>
      <c r="K79" s="134"/>
      <c r="L79" s="134"/>
      <c r="M79" s="134"/>
      <c r="N79" s="134">
        <v>6040.69</v>
      </c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AH79" s="134">
        <f t="shared" si="6"/>
        <v>0</v>
      </c>
      <c r="AO79" s="132">
        <f t="shared" si="5"/>
        <v>0</v>
      </c>
    </row>
    <row r="80" s="134" customFormat="1" customHeight="1" spans="1:41">
      <c r="A80" s="58">
        <v>63</v>
      </c>
      <c r="B80" s="134"/>
      <c r="C80" s="134"/>
      <c r="D80" s="134"/>
      <c r="E80" s="134"/>
      <c r="F80" s="134"/>
      <c r="G80" s="134"/>
      <c r="H80" s="134"/>
      <c r="I80" s="150" t="s">
        <v>5067</v>
      </c>
      <c r="J80" s="147">
        <v>126.5</v>
      </c>
      <c r="K80" s="134"/>
      <c r="L80" s="134"/>
      <c r="M80" s="134"/>
      <c r="N80" s="134">
        <v>6079.69</v>
      </c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AH80" s="134">
        <f t="shared" si="6"/>
        <v>0</v>
      </c>
      <c r="AO80" s="132">
        <f t="shared" si="5"/>
        <v>0</v>
      </c>
    </row>
    <row r="81" s="134" customFormat="1" customHeight="1" spans="1:41">
      <c r="A81" s="58">
        <v>64</v>
      </c>
      <c r="B81" s="134"/>
      <c r="C81" s="134"/>
      <c r="D81" s="134"/>
      <c r="E81" s="134"/>
      <c r="F81" s="134"/>
      <c r="G81" s="134"/>
      <c r="H81" s="134"/>
      <c r="I81" s="146" t="s">
        <v>5068</v>
      </c>
      <c r="J81" s="147">
        <v>126.91</v>
      </c>
      <c r="K81" s="134"/>
      <c r="L81" s="134"/>
      <c r="M81" s="134"/>
      <c r="N81" s="134">
        <v>6060.69</v>
      </c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AH81" s="134">
        <f t="shared" si="6"/>
        <v>0</v>
      </c>
      <c r="AO81" s="132">
        <f t="shared" si="5"/>
        <v>0</v>
      </c>
    </row>
    <row r="82" s="134" customFormat="1" customHeight="1" spans="1:41">
      <c r="A82" s="58">
        <v>65</v>
      </c>
      <c r="B82" s="134"/>
      <c r="C82" s="134"/>
      <c r="D82" s="134"/>
      <c r="E82" s="134"/>
      <c r="F82" s="134"/>
      <c r="G82" s="134"/>
      <c r="H82" s="134"/>
      <c r="I82" s="150" t="s">
        <v>5069</v>
      </c>
      <c r="J82" s="147">
        <v>126.5</v>
      </c>
      <c r="K82" s="134"/>
      <c r="L82" s="134"/>
      <c r="M82" s="134"/>
      <c r="N82" s="134">
        <v>7089.31</v>
      </c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AH82" s="134">
        <f t="shared" si="6"/>
        <v>0</v>
      </c>
      <c r="AO82" s="132">
        <f t="shared" si="5"/>
        <v>0</v>
      </c>
    </row>
    <row r="83" s="134" customFormat="1" customHeight="1" spans="1:41">
      <c r="A83" s="58">
        <v>66</v>
      </c>
      <c r="B83" s="134"/>
      <c r="C83" s="134"/>
      <c r="D83" s="134"/>
      <c r="E83" s="134"/>
      <c r="F83" s="134"/>
      <c r="G83" s="134"/>
      <c r="H83" s="134"/>
      <c r="I83" s="146" t="s">
        <v>5070</v>
      </c>
      <c r="J83" s="147">
        <v>126.91</v>
      </c>
      <c r="K83" s="134"/>
      <c r="L83" s="134"/>
      <c r="M83" s="134"/>
      <c r="N83" s="134">
        <v>7069.31</v>
      </c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AH83" s="134">
        <f t="shared" si="6"/>
        <v>0</v>
      </c>
      <c r="AO83" s="132">
        <f t="shared" si="5"/>
        <v>0</v>
      </c>
    </row>
    <row r="84" s="134" customFormat="1" customHeight="1" spans="1:41">
      <c r="A84" s="58"/>
      <c r="I84" s="146" t="s">
        <v>5071</v>
      </c>
      <c r="J84" s="147">
        <v>78.68</v>
      </c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AH84" s="134">
        <f t="shared" si="6"/>
        <v>0</v>
      </c>
      <c r="AO84" s="132">
        <f t="shared" si="5"/>
        <v>0</v>
      </c>
    </row>
    <row r="85" s="134" customFormat="1" customHeight="1" spans="1:41">
      <c r="A85" s="58"/>
      <c r="I85" s="146" t="s">
        <v>5072</v>
      </c>
      <c r="J85" s="147">
        <v>78.15</v>
      </c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AH85" s="134">
        <f t="shared" si="6"/>
        <v>0</v>
      </c>
      <c r="AO85" s="132">
        <f t="shared" si="5"/>
        <v>0</v>
      </c>
    </row>
    <row r="86" s="134" customFormat="1" customHeight="1" spans="1:41">
      <c r="A86" s="58"/>
      <c r="I86" s="146" t="s">
        <v>5073</v>
      </c>
      <c r="J86" s="147">
        <v>78.15</v>
      </c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AH86" s="134">
        <f t="shared" si="6"/>
        <v>0</v>
      </c>
      <c r="AO86" s="132">
        <f t="shared" si="5"/>
        <v>0</v>
      </c>
    </row>
    <row r="87" s="134" customFormat="1" customHeight="1" spans="1:41">
      <c r="A87" s="58"/>
      <c r="I87" s="146" t="s">
        <v>5074</v>
      </c>
      <c r="J87" s="147">
        <v>78.52</v>
      </c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AH87" s="134">
        <f t="shared" si="6"/>
        <v>0</v>
      </c>
      <c r="AO87" s="132">
        <f t="shared" si="5"/>
        <v>0</v>
      </c>
    </row>
    <row r="88" s="134" customFormat="1" customHeight="1" spans="1:41">
      <c r="A88" s="58"/>
      <c r="I88" s="146" t="s">
        <v>5075</v>
      </c>
      <c r="J88" s="147">
        <v>104.31</v>
      </c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AH88" s="134">
        <f t="shared" si="6"/>
        <v>0</v>
      </c>
      <c r="AO88" s="132">
        <f t="shared" si="5"/>
        <v>0</v>
      </c>
    </row>
    <row r="89" s="134" customFormat="1" customHeight="1" spans="1:41">
      <c r="A89" s="58"/>
      <c r="I89" s="146" t="s">
        <v>5076</v>
      </c>
      <c r="J89" s="147">
        <v>85.91</v>
      </c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AH89" s="134">
        <f t="shared" si="6"/>
        <v>0</v>
      </c>
      <c r="AO89" s="132">
        <f t="shared" si="5"/>
        <v>0</v>
      </c>
    </row>
    <row r="90" s="134" customFormat="1" customHeight="1" spans="1:41">
      <c r="A90" s="58"/>
      <c r="I90" s="146" t="s">
        <v>5077</v>
      </c>
      <c r="J90" s="147">
        <v>21.19</v>
      </c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AH90" s="134">
        <f t="shared" si="6"/>
        <v>0</v>
      </c>
      <c r="AO90" s="132">
        <f t="shared" si="5"/>
        <v>0</v>
      </c>
    </row>
    <row r="91" s="134" customFormat="1" customHeight="1" spans="1:41">
      <c r="A91" s="58"/>
      <c r="I91" s="146" t="s">
        <v>5078</v>
      </c>
      <c r="J91" s="147">
        <v>15.97</v>
      </c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AH91" s="134">
        <f t="shared" si="6"/>
        <v>0</v>
      </c>
      <c r="AO91" s="132">
        <f t="shared" si="5"/>
        <v>0</v>
      </c>
    </row>
    <row r="92" s="134" customFormat="1" customHeight="1" spans="1:41">
      <c r="A92" s="58"/>
      <c r="I92" s="146" t="s">
        <v>5079</v>
      </c>
      <c r="J92" s="147">
        <v>29.72</v>
      </c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AH92" s="134">
        <f t="shared" si="6"/>
        <v>0</v>
      </c>
      <c r="AO92" s="132">
        <f t="shared" si="5"/>
        <v>0</v>
      </c>
    </row>
    <row r="93" s="134" customFormat="1" customHeight="1" spans="1:41">
      <c r="A93" s="58"/>
      <c r="I93" s="146" t="s">
        <v>5080</v>
      </c>
      <c r="J93" s="147">
        <v>29.65</v>
      </c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AH93" s="134">
        <f t="shared" si="6"/>
        <v>0</v>
      </c>
      <c r="AO93" s="132">
        <f t="shared" si="5"/>
        <v>0</v>
      </c>
    </row>
    <row r="94" s="134" customFormat="1" customHeight="1" spans="1:41">
      <c r="A94" s="58"/>
      <c r="I94" s="146" t="s">
        <v>5081</v>
      </c>
      <c r="J94" s="147">
        <v>15.52</v>
      </c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AH94" s="134">
        <f t="shared" si="6"/>
        <v>0</v>
      </c>
      <c r="AO94" s="132">
        <f t="shared" si="5"/>
        <v>0</v>
      </c>
    </row>
    <row r="95" s="134" customFormat="1" customHeight="1" spans="1:41">
      <c r="A95" s="58"/>
      <c r="I95" s="146" t="s">
        <v>5082</v>
      </c>
      <c r="J95" s="147">
        <v>19.57</v>
      </c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AH95" s="134">
        <f t="shared" si="6"/>
        <v>0</v>
      </c>
      <c r="AO95" s="132">
        <f t="shared" ref="AO95:AO132" si="7">SUM(AQ95:AU95)</f>
        <v>0</v>
      </c>
    </row>
    <row r="96" s="134" customFormat="1" customHeight="1" spans="1:41">
      <c r="A96" s="58"/>
      <c r="I96" s="146" t="s">
        <v>5083</v>
      </c>
      <c r="J96" s="147">
        <v>38.77</v>
      </c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AH96" s="134">
        <f t="shared" si="6"/>
        <v>0</v>
      </c>
      <c r="AO96" s="132">
        <f t="shared" si="7"/>
        <v>0</v>
      </c>
    </row>
    <row r="97" s="134" customFormat="1" customHeight="1" spans="1:41">
      <c r="A97" s="58"/>
      <c r="I97" s="146" t="s">
        <v>5084</v>
      </c>
      <c r="J97" s="147">
        <v>37.95</v>
      </c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AH97" s="134">
        <f t="shared" si="6"/>
        <v>0</v>
      </c>
      <c r="AO97" s="132">
        <f t="shared" si="7"/>
        <v>0</v>
      </c>
    </row>
    <row r="98" s="134" customFormat="1" customHeight="1" spans="1:41">
      <c r="A98" s="58"/>
      <c r="I98" s="146" t="s">
        <v>5085</v>
      </c>
      <c r="J98" s="147">
        <v>37.95</v>
      </c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AH98" s="134">
        <f t="shared" si="6"/>
        <v>0</v>
      </c>
      <c r="AO98" s="132">
        <f t="shared" si="7"/>
        <v>0</v>
      </c>
    </row>
    <row r="99" s="134" customFormat="1" customHeight="1" spans="1:41">
      <c r="A99" s="58"/>
      <c r="I99" s="146" t="s">
        <v>5086</v>
      </c>
      <c r="J99" s="147">
        <v>38.77</v>
      </c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AH99" s="134">
        <f t="shared" si="6"/>
        <v>0</v>
      </c>
      <c r="AO99" s="132">
        <f t="shared" si="7"/>
        <v>0</v>
      </c>
    </row>
    <row r="100" s="134" customFormat="1" customHeight="1" spans="1:41">
      <c r="A100" s="58"/>
      <c r="I100" s="146" t="s">
        <v>5087</v>
      </c>
      <c r="J100" s="147">
        <v>22.49</v>
      </c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AH100" s="134">
        <f t="shared" si="6"/>
        <v>0</v>
      </c>
      <c r="AO100" s="132">
        <f t="shared" si="7"/>
        <v>0</v>
      </c>
    </row>
    <row r="101" s="134" customFormat="1" customHeight="1" spans="1:41">
      <c r="A101" s="58"/>
      <c r="I101" s="146" t="s">
        <v>5088</v>
      </c>
      <c r="J101" s="147">
        <v>19.2</v>
      </c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AH101" s="134">
        <f t="shared" ref="AH101:AH132" si="8">V101+X101+Z101+AB101+AD101+AF101</f>
        <v>0</v>
      </c>
      <c r="AO101" s="132">
        <f t="shared" si="7"/>
        <v>0</v>
      </c>
    </row>
    <row r="102" s="134" customFormat="1" customHeight="1" spans="1:41">
      <c r="A102" s="58">
        <v>1</v>
      </c>
      <c r="B102" s="134"/>
      <c r="C102" s="134"/>
      <c r="D102" s="134"/>
      <c r="E102" s="134"/>
      <c r="F102" s="134"/>
      <c r="G102" s="134"/>
      <c r="H102" s="134"/>
      <c r="I102" s="146" t="s">
        <v>5089</v>
      </c>
      <c r="J102" s="147">
        <v>123.68</v>
      </c>
      <c r="K102" s="134"/>
      <c r="L102" s="134"/>
      <c r="M102" s="134"/>
      <c r="N102" s="134">
        <v>8231.43</v>
      </c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AH102" s="134">
        <f t="shared" si="8"/>
        <v>0</v>
      </c>
      <c r="AO102" s="132">
        <f t="shared" si="7"/>
        <v>0</v>
      </c>
    </row>
    <row r="103" s="134" customFormat="1" customHeight="1" spans="1:41">
      <c r="A103" s="58">
        <v>2</v>
      </c>
      <c r="B103" s="134"/>
      <c r="C103" s="134"/>
      <c r="D103" s="134"/>
      <c r="E103" s="134"/>
      <c r="F103" s="134"/>
      <c r="G103" s="134"/>
      <c r="H103" s="134"/>
      <c r="I103" s="150" t="s">
        <v>5090</v>
      </c>
      <c r="J103" s="147">
        <v>123.1</v>
      </c>
      <c r="K103" s="134"/>
      <c r="L103" s="134"/>
      <c r="M103" s="134"/>
      <c r="N103" s="134">
        <v>8250.43</v>
      </c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AH103" s="134">
        <f t="shared" si="8"/>
        <v>0</v>
      </c>
      <c r="AO103" s="132">
        <f t="shared" si="7"/>
        <v>0</v>
      </c>
    </row>
    <row r="104" s="134" customFormat="1" customHeight="1" spans="1:41">
      <c r="A104" s="58">
        <v>3</v>
      </c>
      <c r="B104" s="134"/>
      <c r="C104" s="134"/>
      <c r="D104" s="134"/>
      <c r="E104" s="134"/>
      <c r="F104" s="134"/>
      <c r="G104" s="134"/>
      <c r="H104" s="134"/>
      <c r="I104" s="146" t="s">
        <v>5091</v>
      </c>
      <c r="J104" s="147">
        <v>134.8</v>
      </c>
      <c r="K104" s="134"/>
      <c r="L104" s="134"/>
      <c r="M104" s="134"/>
      <c r="N104" s="134">
        <v>5755.06</v>
      </c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AH104" s="134">
        <f t="shared" si="8"/>
        <v>0</v>
      </c>
      <c r="AO104" s="132">
        <f t="shared" si="7"/>
        <v>0</v>
      </c>
    </row>
    <row r="105" s="134" customFormat="1" customHeight="1" spans="1:41">
      <c r="A105" s="58">
        <v>4</v>
      </c>
      <c r="B105" s="134"/>
      <c r="C105" s="134"/>
      <c r="D105" s="134"/>
      <c r="E105" s="134"/>
      <c r="F105" s="134"/>
      <c r="G105" s="134"/>
      <c r="H105" s="134"/>
      <c r="I105" s="150" t="s">
        <v>5092</v>
      </c>
      <c r="J105" s="147">
        <v>133.94</v>
      </c>
      <c r="K105" s="134"/>
      <c r="L105" s="134"/>
      <c r="M105" s="134"/>
      <c r="N105" s="134">
        <v>5774.06</v>
      </c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AH105" s="134">
        <f t="shared" si="8"/>
        <v>0</v>
      </c>
      <c r="AO105" s="132">
        <f t="shared" si="7"/>
        <v>0</v>
      </c>
    </row>
    <row r="106" s="134" customFormat="1" customHeight="1" spans="1:41">
      <c r="A106" s="58">
        <v>5</v>
      </c>
      <c r="B106" s="134"/>
      <c r="C106" s="134"/>
      <c r="D106" s="134"/>
      <c r="E106" s="134"/>
      <c r="F106" s="134"/>
      <c r="G106" s="134"/>
      <c r="H106" s="134"/>
      <c r="I106" s="146" t="s">
        <v>5093</v>
      </c>
      <c r="J106" s="147">
        <v>134.8</v>
      </c>
      <c r="K106" s="134"/>
      <c r="L106" s="134"/>
      <c r="M106" s="134"/>
      <c r="N106" s="134">
        <v>5809.72</v>
      </c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AH106" s="134">
        <f t="shared" si="8"/>
        <v>0</v>
      </c>
      <c r="AO106" s="132">
        <f t="shared" si="7"/>
        <v>0</v>
      </c>
    </row>
    <row r="107" s="134" customFormat="1" customHeight="1" spans="1:41">
      <c r="A107" s="58">
        <v>6</v>
      </c>
      <c r="B107" s="134"/>
      <c r="C107" s="134"/>
      <c r="D107" s="134"/>
      <c r="E107" s="134"/>
      <c r="F107" s="134"/>
      <c r="G107" s="134"/>
      <c r="H107" s="134"/>
      <c r="I107" s="150" t="s">
        <v>5094</v>
      </c>
      <c r="J107" s="147">
        <v>133.94</v>
      </c>
      <c r="K107" s="134"/>
      <c r="L107" s="134"/>
      <c r="M107" s="134"/>
      <c r="N107" s="134">
        <v>5828.72</v>
      </c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AH107" s="134">
        <f t="shared" si="8"/>
        <v>0</v>
      </c>
      <c r="AO107" s="132">
        <f t="shared" si="7"/>
        <v>0</v>
      </c>
    </row>
    <row r="108" s="134" customFormat="1" customHeight="1" spans="1:41">
      <c r="A108" s="58">
        <v>7</v>
      </c>
      <c r="B108" s="134"/>
      <c r="C108" s="134"/>
      <c r="D108" s="134"/>
      <c r="E108" s="134"/>
      <c r="F108" s="134"/>
      <c r="G108" s="134"/>
      <c r="H108" s="134"/>
      <c r="I108" s="146" t="s">
        <v>5095</v>
      </c>
      <c r="J108" s="147">
        <v>134.8</v>
      </c>
      <c r="K108" s="134"/>
      <c r="L108" s="134"/>
      <c r="M108" s="134"/>
      <c r="N108" s="134">
        <v>5842.32</v>
      </c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AH108" s="134">
        <f t="shared" si="8"/>
        <v>0</v>
      </c>
      <c r="AO108" s="132">
        <f t="shared" si="7"/>
        <v>0</v>
      </c>
    </row>
    <row r="109" s="134" customFormat="1" customHeight="1" spans="1:41">
      <c r="A109" s="58">
        <v>8</v>
      </c>
      <c r="B109" s="134"/>
      <c r="C109" s="134"/>
      <c r="D109" s="134"/>
      <c r="E109" s="134"/>
      <c r="F109" s="134"/>
      <c r="G109" s="134"/>
      <c r="H109" s="134"/>
      <c r="I109" s="150" t="s">
        <v>5096</v>
      </c>
      <c r="J109" s="147">
        <v>133.94</v>
      </c>
      <c r="K109" s="134"/>
      <c r="L109" s="134"/>
      <c r="M109" s="134"/>
      <c r="N109" s="134">
        <v>5861.32</v>
      </c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AH109" s="134">
        <f t="shared" si="8"/>
        <v>0</v>
      </c>
      <c r="AO109" s="132">
        <f t="shared" si="7"/>
        <v>0</v>
      </c>
    </row>
    <row r="110" s="134" customFormat="1" customHeight="1" spans="1:41">
      <c r="A110" s="58">
        <v>9</v>
      </c>
      <c r="B110" s="134"/>
      <c r="C110" s="134"/>
      <c r="D110" s="134"/>
      <c r="E110" s="134"/>
      <c r="F110" s="134"/>
      <c r="G110" s="134"/>
      <c r="H110" s="134"/>
      <c r="I110" s="146" t="s">
        <v>5097</v>
      </c>
      <c r="J110" s="147">
        <v>134.8</v>
      </c>
      <c r="K110" s="134"/>
      <c r="L110" s="134"/>
      <c r="M110" s="134"/>
      <c r="N110" s="134">
        <v>5916.67</v>
      </c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AH110" s="134">
        <f t="shared" si="8"/>
        <v>0</v>
      </c>
      <c r="AO110" s="132">
        <f t="shared" si="7"/>
        <v>0</v>
      </c>
    </row>
    <row r="111" s="134" customFormat="1" customHeight="1" spans="1:41">
      <c r="A111" s="58">
        <v>10</v>
      </c>
      <c r="B111" s="134"/>
      <c r="C111" s="134"/>
      <c r="D111" s="134"/>
      <c r="E111" s="134"/>
      <c r="F111" s="134"/>
      <c r="G111" s="134"/>
      <c r="H111" s="134"/>
      <c r="I111" s="150" t="s">
        <v>5098</v>
      </c>
      <c r="J111" s="147">
        <v>133.94</v>
      </c>
      <c r="K111" s="134"/>
      <c r="L111" s="134"/>
      <c r="M111" s="134"/>
      <c r="N111" s="134">
        <v>5935.67</v>
      </c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AH111" s="134">
        <f t="shared" si="8"/>
        <v>0</v>
      </c>
      <c r="AO111" s="132">
        <f t="shared" si="7"/>
        <v>0</v>
      </c>
    </row>
    <row r="112" s="134" customFormat="1" customHeight="1" spans="1:41">
      <c r="A112" s="58">
        <v>11</v>
      </c>
      <c r="B112" s="134"/>
      <c r="C112" s="134"/>
      <c r="D112" s="134"/>
      <c r="E112" s="134"/>
      <c r="F112" s="134"/>
      <c r="G112" s="134"/>
      <c r="H112" s="134"/>
      <c r="I112" s="146" t="s">
        <v>5099</v>
      </c>
      <c r="J112" s="147">
        <v>134.8</v>
      </c>
      <c r="K112" s="134"/>
      <c r="L112" s="134"/>
      <c r="M112" s="134"/>
      <c r="N112" s="134">
        <v>5985.59</v>
      </c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AH112" s="134">
        <f t="shared" si="8"/>
        <v>0</v>
      </c>
      <c r="AO112" s="132">
        <f t="shared" si="7"/>
        <v>0</v>
      </c>
    </row>
    <row r="113" s="134" customFormat="1" customHeight="1" spans="1:41">
      <c r="A113" s="58">
        <v>12</v>
      </c>
      <c r="B113" s="134"/>
      <c r="C113" s="134"/>
      <c r="D113" s="134"/>
      <c r="E113" s="134"/>
      <c r="F113" s="134"/>
      <c r="G113" s="134"/>
      <c r="H113" s="134"/>
      <c r="I113" s="146" t="s">
        <v>5100</v>
      </c>
      <c r="J113" s="147">
        <v>133.94</v>
      </c>
      <c r="K113" s="134"/>
      <c r="L113" s="134"/>
      <c r="M113" s="134"/>
      <c r="N113" s="134">
        <v>6004.59</v>
      </c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AH113" s="134">
        <f t="shared" si="8"/>
        <v>0</v>
      </c>
      <c r="AO113" s="132">
        <f t="shared" si="7"/>
        <v>0</v>
      </c>
    </row>
    <row r="114" s="134" customFormat="1" customHeight="1" spans="1:41">
      <c r="A114" s="58">
        <v>13</v>
      </c>
      <c r="B114" s="134"/>
      <c r="C114" s="134"/>
      <c r="D114" s="134"/>
      <c r="E114" s="134"/>
      <c r="F114" s="134"/>
      <c r="G114" s="134"/>
      <c r="H114" s="134"/>
      <c r="I114" s="150" t="s">
        <v>5101</v>
      </c>
      <c r="J114" s="147">
        <v>134.8</v>
      </c>
      <c r="K114" s="134"/>
      <c r="L114" s="134"/>
      <c r="M114" s="134"/>
      <c r="N114" s="134">
        <v>6034.5</v>
      </c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AH114" s="134">
        <f t="shared" si="8"/>
        <v>0</v>
      </c>
      <c r="AO114" s="132">
        <f t="shared" si="7"/>
        <v>0</v>
      </c>
    </row>
    <row r="115" s="134" customFormat="1" customHeight="1" spans="1:41">
      <c r="A115" s="58">
        <v>14</v>
      </c>
      <c r="B115" s="134"/>
      <c r="C115" s="134"/>
      <c r="D115" s="134"/>
      <c r="E115" s="134"/>
      <c r="F115" s="134"/>
      <c r="G115" s="134"/>
      <c r="H115" s="134"/>
      <c r="I115" s="150" t="s">
        <v>5102</v>
      </c>
      <c r="J115" s="147">
        <v>133.94</v>
      </c>
      <c r="K115" s="134"/>
      <c r="L115" s="134"/>
      <c r="M115" s="134"/>
      <c r="N115" s="134">
        <v>6053.5</v>
      </c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AH115" s="134">
        <f t="shared" si="8"/>
        <v>0</v>
      </c>
      <c r="AO115" s="132">
        <f t="shared" si="7"/>
        <v>0</v>
      </c>
    </row>
    <row r="116" s="134" customFormat="1" customHeight="1" spans="1:41">
      <c r="A116" s="58">
        <v>15</v>
      </c>
      <c r="B116" s="134"/>
      <c r="C116" s="134"/>
      <c r="D116" s="134"/>
      <c r="E116" s="134"/>
      <c r="F116" s="134"/>
      <c r="G116" s="134"/>
      <c r="H116" s="134"/>
      <c r="I116" s="150" t="s">
        <v>5103</v>
      </c>
      <c r="J116" s="147">
        <v>134.8</v>
      </c>
      <c r="K116" s="134"/>
      <c r="L116" s="134"/>
      <c r="M116" s="134"/>
      <c r="N116" s="134">
        <v>6061.67</v>
      </c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AH116" s="134">
        <f t="shared" si="8"/>
        <v>0</v>
      </c>
      <c r="AO116" s="132">
        <f t="shared" si="7"/>
        <v>0</v>
      </c>
    </row>
    <row r="117" s="134" customFormat="1" customHeight="1" spans="1:41">
      <c r="A117" s="58">
        <v>16</v>
      </c>
      <c r="B117" s="134"/>
      <c r="C117" s="134"/>
      <c r="D117" s="134"/>
      <c r="E117" s="134"/>
      <c r="F117" s="134"/>
      <c r="G117" s="134"/>
      <c r="H117" s="134"/>
      <c r="I117" s="150" t="s">
        <v>5104</v>
      </c>
      <c r="J117" s="147">
        <v>133.94</v>
      </c>
      <c r="K117" s="134"/>
      <c r="L117" s="134"/>
      <c r="M117" s="134"/>
      <c r="N117" s="134">
        <v>6080.67</v>
      </c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AH117" s="134">
        <f t="shared" si="8"/>
        <v>0</v>
      </c>
      <c r="AO117" s="132">
        <f t="shared" si="7"/>
        <v>0</v>
      </c>
    </row>
    <row r="118" s="134" customFormat="1" customHeight="1" spans="1:41">
      <c r="A118" s="58">
        <v>17</v>
      </c>
      <c r="B118" s="134"/>
      <c r="C118" s="134"/>
      <c r="D118" s="134"/>
      <c r="E118" s="134"/>
      <c r="F118" s="134"/>
      <c r="G118" s="134"/>
      <c r="H118" s="134"/>
      <c r="I118" s="146" t="s">
        <v>5105</v>
      </c>
      <c r="J118" s="147">
        <v>134.8</v>
      </c>
      <c r="K118" s="134"/>
      <c r="L118" s="134"/>
      <c r="M118" s="134"/>
      <c r="N118" s="134">
        <v>6090.59</v>
      </c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AH118" s="134">
        <f t="shared" si="8"/>
        <v>0</v>
      </c>
      <c r="AO118" s="132">
        <f t="shared" si="7"/>
        <v>0</v>
      </c>
    </row>
    <row r="119" s="134" customFormat="1" customHeight="1" spans="1:41">
      <c r="A119" s="58">
        <v>18</v>
      </c>
      <c r="B119" s="134"/>
      <c r="C119" s="134"/>
      <c r="D119" s="134"/>
      <c r="E119" s="134"/>
      <c r="F119" s="134"/>
      <c r="G119" s="134"/>
      <c r="H119" s="134"/>
      <c r="I119" s="150" t="s">
        <v>5106</v>
      </c>
      <c r="J119" s="147">
        <v>133.94</v>
      </c>
      <c r="K119" s="134"/>
      <c r="L119" s="134"/>
      <c r="M119" s="134"/>
      <c r="N119" s="134">
        <v>6109.59</v>
      </c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AH119" s="134">
        <f t="shared" si="8"/>
        <v>0</v>
      </c>
      <c r="AO119" s="132">
        <f t="shared" si="7"/>
        <v>0</v>
      </c>
    </row>
    <row r="120" s="134" customFormat="1" customHeight="1" spans="1:41">
      <c r="A120" s="58">
        <v>19</v>
      </c>
      <c r="B120" s="134"/>
      <c r="C120" s="134"/>
      <c r="D120" s="134"/>
      <c r="E120" s="134"/>
      <c r="F120" s="134"/>
      <c r="G120" s="134"/>
      <c r="H120" s="134"/>
      <c r="I120" s="146" t="s">
        <v>5107</v>
      </c>
      <c r="J120" s="147">
        <v>134.8</v>
      </c>
      <c r="K120" s="134"/>
      <c r="L120" s="134"/>
      <c r="M120" s="134"/>
      <c r="N120" s="134">
        <v>6112.32</v>
      </c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AH120" s="134">
        <f t="shared" si="8"/>
        <v>0</v>
      </c>
      <c r="AO120" s="132">
        <f t="shared" si="7"/>
        <v>0</v>
      </c>
    </row>
    <row r="121" s="134" customFormat="1" customHeight="1" spans="1:41">
      <c r="A121" s="58">
        <v>20</v>
      </c>
      <c r="B121" s="134"/>
      <c r="C121" s="134"/>
      <c r="D121" s="134"/>
      <c r="E121" s="134"/>
      <c r="F121" s="134"/>
      <c r="G121" s="134"/>
      <c r="H121" s="134"/>
      <c r="I121" s="150" t="s">
        <v>5108</v>
      </c>
      <c r="J121" s="147">
        <v>133.94</v>
      </c>
      <c r="K121" s="134"/>
      <c r="L121" s="134"/>
      <c r="M121" s="134"/>
      <c r="N121" s="134">
        <v>6131.32</v>
      </c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AH121" s="134">
        <f t="shared" si="8"/>
        <v>0</v>
      </c>
      <c r="AO121" s="132">
        <f t="shared" si="7"/>
        <v>0</v>
      </c>
    </row>
    <row r="122" s="134" customFormat="1" customHeight="1" spans="1:41">
      <c r="A122" s="58">
        <v>21</v>
      </c>
      <c r="B122" s="134"/>
      <c r="C122" s="134"/>
      <c r="D122" s="134"/>
      <c r="E122" s="134"/>
      <c r="F122" s="134"/>
      <c r="G122" s="134"/>
      <c r="H122" s="134"/>
      <c r="I122" s="146" t="s">
        <v>5109</v>
      </c>
      <c r="J122" s="147">
        <v>134.8</v>
      </c>
      <c r="K122" s="134"/>
      <c r="L122" s="134"/>
      <c r="M122" s="134"/>
      <c r="N122" s="134">
        <v>7120.43</v>
      </c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AH122" s="134">
        <f t="shared" si="8"/>
        <v>0</v>
      </c>
      <c r="AO122" s="132">
        <f t="shared" si="7"/>
        <v>0</v>
      </c>
    </row>
    <row r="123" s="134" customFormat="1" customHeight="1" spans="1:41">
      <c r="A123" s="58">
        <v>22</v>
      </c>
      <c r="B123" s="134"/>
      <c r="C123" s="134"/>
      <c r="D123" s="134"/>
      <c r="E123" s="134"/>
      <c r="F123" s="134"/>
      <c r="G123" s="134"/>
      <c r="H123" s="134"/>
      <c r="I123" s="150" t="s">
        <v>5110</v>
      </c>
      <c r="J123" s="147">
        <v>133.94</v>
      </c>
      <c r="K123" s="134"/>
      <c r="L123" s="134"/>
      <c r="M123" s="134"/>
      <c r="N123" s="134">
        <v>7137.43</v>
      </c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AH123" s="134">
        <f t="shared" si="8"/>
        <v>0</v>
      </c>
      <c r="AO123" s="132">
        <f t="shared" si="7"/>
        <v>0</v>
      </c>
    </row>
    <row r="124" s="134" customFormat="1" customHeight="1" spans="1:41">
      <c r="A124" s="58">
        <v>23</v>
      </c>
      <c r="B124" s="134"/>
      <c r="C124" s="134"/>
      <c r="D124" s="134"/>
      <c r="E124" s="134"/>
      <c r="F124" s="134"/>
      <c r="G124" s="134"/>
      <c r="H124" s="134"/>
      <c r="I124" s="146" t="s">
        <v>5111</v>
      </c>
      <c r="J124" s="147">
        <v>122.81</v>
      </c>
      <c r="K124" s="134"/>
      <c r="L124" s="134"/>
      <c r="M124" s="134"/>
      <c r="N124" s="134">
        <v>8260.43</v>
      </c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AH124" s="134">
        <f t="shared" si="8"/>
        <v>0</v>
      </c>
      <c r="AO124" s="132">
        <f t="shared" si="7"/>
        <v>0</v>
      </c>
    </row>
    <row r="125" s="134" customFormat="1" customHeight="1" spans="1:41">
      <c r="A125" s="58">
        <v>24</v>
      </c>
      <c r="B125" s="134"/>
      <c r="C125" s="134"/>
      <c r="D125" s="134"/>
      <c r="E125" s="134"/>
      <c r="F125" s="134"/>
      <c r="G125" s="134"/>
      <c r="H125" s="134"/>
      <c r="I125" s="150" t="s">
        <v>5112</v>
      </c>
      <c r="J125" s="147">
        <v>123.98</v>
      </c>
      <c r="K125" s="134"/>
      <c r="L125" s="134"/>
      <c r="M125" s="134"/>
      <c r="N125" s="134">
        <v>8265.43</v>
      </c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AH125" s="134">
        <f t="shared" si="8"/>
        <v>0</v>
      </c>
      <c r="AO125" s="132">
        <f t="shared" si="7"/>
        <v>0</v>
      </c>
    </row>
    <row r="126" s="134" customFormat="1" customHeight="1" spans="1:41">
      <c r="A126" s="58">
        <v>25</v>
      </c>
      <c r="B126" s="134"/>
      <c r="C126" s="134"/>
      <c r="D126" s="134"/>
      <c r="E126" s="134"/>
      <c r="F126" s="134"/>
      <c r="G126" s="134"/>
      <c r="H126" s="134"/>
      <c r="I126" s="146" t="s">
        <v>5113</v>
      </c>
      <c r="J126" s="147">
        <v>133.94</v>
      </c>
      <c r="K126" s="134"/>
      <c r="L126" s="134"/>
      <c r="M126" s="134"/>
      <c r="N126" s="134">
        <v>5784.06</v>
      </c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AH126" s="134">
        <f t="shared" si="8"/>
        <v>0</v>
      </c>
      <c r="AO126" s="132">
        <f t="shared" si="7"/>
        <v>0</v>
      </c>
    </row>
    <row r="127" s="134" customFormat="1" customHeight="1" spans="1:41">
      <c r="A127" s="58">
        <v>26</v>
      </c>
      <c r="B127" s="134"/>
      <c r="C127" s="134"/>
      <c r="D127" s="134"/>
      <c r="E127" s="134"/>
      <c r="F127" s="134"/>
      <c r="G127" s="134"/>
      <c r="H127" s="134"/>
      <c r="I127" s="150" t="s">
        <v>5114</v>
      </c>
      <c r="J127" s="147">
        <v>134.8</v>
      </c>
      <c r="K127" s="134"/>
      <c r="L127" s="134"/>
      <c r="M127" s="134"/>
      <c r="N127" s="134">
        <v>5789.06</v>
      </c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AH127" s="134">
        <f t="shared" si="8"/>
        <v>0</v>
      </c>
      <c r="AO127" s="132">
        <f t="shared" si="7"/>
        <v>0</v>
      </c>
    </row>
    <row r="128" s="134" customFormat="1" customHeight="1" spans="1:41">
      <c r="A128" s="58">
        <v>27</v>
      </c>
      <c r="B128" s="134"/>
      <c r="C128" s="134"/>
      <c r="D128" s="134"/>
      <c r="E128" s="134"/>
      <c r="F128" s="134"/>
      <c r="G128" s="134"/>
      <c r="H128" s="134"/>
      <c r="I128" s="146" t="s">
        <v>5115</v>
      </c>
      <c r="J128" s="147">
        <v>133.94</v>
      </c>
      <c r="K128" s="134"/>
      <c r="L128" s="134"/>
      <c r="M128" s="134"/>
      <c r="N128" s="134">
        <v>5838.72</v>
      </c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AH128" s="134">
        <f t="shared" si="8"/>
        <v>0</v>
      </c>
      <c r="AO128" s="132">
        <f t="shared" si="7"/>
        <v>0</v>
      </c>
    </row>
    <row r="129" s="136" customFormat="1" customHeight="1" spans="1:42">
      <c r="A129" s="135">
        <v>28</v>
      </c>
      <c r="B129" s="136">
        <v>1</v>
      </c>
      <c r="C129" s="136"/>
      <c r="D129" s="136"/>
      <c r="E129" s="136"/>
      <c r="F129" s="835" t="s">
        <v>5116</v>
      </c>
      <c r="G129" s="136" t="s">
        <v>5117</v>
      </c>
      <c r="H129" s="136"/>
      <c r="I129" s="148" t="s">
        <v>5118</v>
      </c>
      <c r="J129" s="149">
        <v>134.8</v>
      </c>
      <c r="K129" s="136">
        <v>134.8</v>
      </c>
      <c r="L129" s="136">
        <v>5500</v>
      </c>
      <c r="M129" s="136">
        <v>741400</v>
      </c>
      <c r="N129" s="136">
        <v>5843.72</v>
      </c>
      <c r="O129" s="136"/>
      <c r="P129" s="136"/>
      <c r="Q129" s="136"/>
      <c r="R129" s="136">
        <v>20000</v>
      </c>
      <c r="S129" s="136" t="s">
        <v>794</v>
      </c>
      <c r="T129" s="136"/>
      <c r="U129" s="136" t="s">
        <v>594</v>
      </c>
      <c r="V129" s="136">
        <v>20000</v>
      </c>
      <c r="W129" s="136" t="s">
        <v>794</v>
      </c>
      <c r="X129" s="136"/>
      <c r="Y129" s="136"/>
      <c r="AH129" s="136">
        <f t="shared" si="8"/>
        <v>20000</v>
      </c>
      <c r="AK129" s="136">
        <f t="shared" ref="AK129:AK134" si="9">M129-AH129</f>
        <v>721400</v>
      </c>
      <c r="AL129" s="136">
        <v>17393148471</v>
      </c>
      <c r="AM129" s="136" t="s">
        <v>3325</v>
      </c>
      <c r="AO129" s="135">
        <f t="shared" si="7"/>
        <v>0</v>
      </c>
      <c r="AP129" s="163">
        <f>0.4%+0.04%+0.12%+0.03%</f>
        <v>0.0059</v>
      </c>
    </row>
    <row r="130" s="134" customFormat="1" customHeight="1" spans="1:41">
      <c r="A130" s="58">
        <v>29</v>
      </c>
      <c r="B130" s="134"/>
      <c r="C130" s="134"/>
      <c r="D130" s="134"/>
      <c r="E130" s="134"/>
      <c r="F130" s="134"/>
      <c r="G130" s="134"/>
      <c r="H130" s="134"/>
      <c r="I130" s="150" t="s">
        <v>5119</v>
      </c>
      <c r="J130" s="147">
        <v>133.94</v>
      </c>
      <c r="K130" s="134"/>
      <c r="L130" s="134"/>
      <c r="M130" s="134"/>
      <c r="N130" s="134">
        <v>5871.32</v>
      </c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AH130" s="134">
        <f t="shared" si="8"/>
        <v>0</v>
      </c>
      <c r="AO130" s="132">
        <f t="shared" si="7"/>
        <v>0</v>
      </c>
    </row>
    <row r="131" s="134" customFormat="1" customHeight="1" spans="1:41">
      <c r="A131" s="58">
        <v>30</v>
      </c>
      <c r="B131" s="134"/>
      <c r="C131" s="134"/>
      <c r="D131" s="134"/>
      <c r="E131" s="134"/>
      <c r="F131" s="134"/>
      <c r="G131" s="134"/>
      <c r="H131" s="134"/>
      <c r="I131" s="150" t="s">
        <v>5120</v>
      </c>
      <c r="J131" s="147">
        <v>134.8</v>
      </c>
      <c r="K131" s="134"/>
      <c r="L131" s="134"/>
      <c r="M131" s="134"/>
      <c r="N131" s="134">
        <v>5876.32</v>
      </c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AH131" s="134">
        <f t="shared" si="8"/>
        <v>0</v>
      </c>
      <c r="AO131" s="132">
        <f t="shared" si="7"/>
        <v>0</v>
      </c>
    </row>
    <row r="132" s="137" customFormat="1" customHeight="1" spans="1:41">
      <c r="A132" s="132">
        <v>31</v>
      </c>
      <c r="B132" s="137"/>
      <c r="C132" s="137"/>
      <c r="D132" s="137"/>
      <c r="E132" s="137"/>
      <c r="F132" s="137"/>
      <c r="G132" s="137" t="s">
        <v>5121</v>
      </c>
      <c r="H132" s="137"/>
      <c r="I132" s="150" t="s">
        <v>5122</v>
      </c>
      <c r="J132" s="147">
        <v>133.94</v>
      </c>
      <c r="K132" s="137"/>
      <c r="L132" s="137"/>
      <c r="M132" s="137"/>
      <c r="N132" s="137">
        <v>5945.67</v>
      </c>
      <c r="O132" s="137"/>
      <c r="P132" s="137"/>
      <c r="Q132" s="137"/>
      <c r="R132" s="137"/>
      <c r="S132" s="137"/>
      <c r="T132" s="137"/>
      <c r="U132" s="137"/>
      <c r="V132" s="137">
        <f>20000-20000</f>
        <v>0</v>
      </c>
      <c r="W132" s="137" t="s">
        <v>240</v>
      </c>
      <c r="X132" s="137"/>
      <c r="Y132" s="137"/>
      <c r="AH132" s="137">
        <f t="shared" si="8"/>
        <v>0</v>
      </c>
      <c r="AK132" s="137">
        <f t="shared" si="9"/>
        <v>0</v>
      </c>
      <c r="AO132" s="132">
        <f t="shared" si="7"/>
        <v>0</v>
      </c>
    </row>
    <row r="133" s="136" customFormat="1" customHeight="1" spans="1:42">
      <c r="A133" s="135">
        <v>32</v>
      </c>
      <c r="B133" s="136">
        <v>1</v>
      </c>
      <c r="C133" s="136"/>
      <c r="D133" s="136"/>
      <c r="E133" s="136"/>
      <c r="F133" s="835" t="s">
        <v>5123</v>
      </c>
      <c r="G133" s="136" t="s">
        <v>5124</v>
      </c>
      <c r="H133" s="835" t="s">
        <v>5125</v>
      </c>
      <c r="I133" s="152" t="s">
        <v>5126</v>
      </c>
      <c r="J133" s="149">
        <v>134.8</v>
      </c>
      <c r="K133" s="136">
        <v>134.8</v>
      </c>
      <c r="L133" s="136">
        <v>5850</v>
      </c>
      <c r="M133" s="136">
        <v>788580</v>
      </c>
      <c r="N133" s="136">
        <v>5950.67</v>
      </c>
      <c r="O133" s="136" t="s">
        <v>593</v>
      </c>
      <c r="P133" s="136"/>
      <c r="Q133" s="136"/>
      <c r="R133" s="136"/>
      <c r="S133" s="136"/>
      <c r="T133" s="136"/>
      <c r="U133" s="136" t="s">
        <v>508</v>
      </c>
      <c r="V133" s="136"/>
      <c r="W133" s="136"/>
      <c r="X133" s="136"/>
      <c r="Y133" s="136"/>
      <c r="AH133" s="136">
        <f t="shared" ref="AH133:AH167" si="10">V133+X133+Z133+AB133+AD133+AF133</f>
        <v>0</v>
      </c>
      <c r="AK133" s="136">
        <f t="shared" si="9"/>
        <v>788580</v>
      </c>
      <c r="AL133" s="136">
        <v>15886864800</v>
      </c>
      <c r="AO133" s="135">
        <f t="shared" ref="AO133:AO146" si="11">SUM(AQ133:AU133)</f>
        <v>0</v>
      </c>
      <c r="AP133" s="166">
        <f>0.6%+0.04%+0.12%+0.03%</f>
        <v>0.0079</v>
      </c>
    </row>
    <row r="134" s="136" customFormat="1" customHeight="1" spans="1:42">
      <c r="A134" s="135">
        <v>33</v>
      </c>
      <c r="B134" s="136">
        <v>1</v>
      </c>
      <c r="C134" s="136"/>
      <c r="D134" s="136"/>
      <c r="E134" s="136"/>
      <c r="F134" s="835" t="s">
        <v>5127</v>
      </c>
      <c r="G134" s="136" t="s">
        <v>5128</v>
      </c>
      <c r="H134" s="835" t="s">
        <v>5129</v>
      </c>
      <c r="I134" s="152" t="s">
        <v>5130</v>
      </c>
      <c r="J134" s="149">
        <v>133.94</v>
      </c>
      <c r="K134" s="136">
        <v>133.94</v>
      </c>
      <c r="L134" s="136">
        <v>5935.49</v>
      </c>
      <c r="M134" s="136">
        <v>795000</v>
      </c>
      <c r="N134" s="136">
        <v>6014.59</v>
      </c>
      <c r="O134" s="136"/>
      <c r="P134" s="136"/>
      <c r="Q134" s="136"/>
      <c r="R134" s="136">
        <v>20000</v>
      </c>
      <c r="S134" s="136" t="s">
        <v>418</v>
      </c>
      <c r="T134" s="136"/>
      <c r="U134" s="136" t="s">
        <v>502</v>
      </c>
      <c r="V134" s="136">
        <v>20000</v>
      </c>
      <c r="W134" s="136" t="s">
        <v>418</v>
      </c>
      <c r="X134" s="136"/>
      <c r="Y134" s="136"/>
      <c r="AH134" s="136">
        <f t="shared" si="10"/>
        <v>20000</v>
      </c>
      <c r="AK134" s="136">
        <f t="shared" si="9"/>
        <v>775000</v>
      </c>
      <c r="AL134" s="136">
        <v>15276142737</v>
      </c>
      <c r="AM134" s="136" t="s">
        <v>5131</v>
      </c>
      <c r="AO134" s="135">
        <f t="shared" si="11"/>
        <v>0</v>
      </c>
      <c r="AP134" s="163">
        <f>0.7%+0.12%+0.03%</f>
        <v>0.0085</v>
      </c>
    </row>
    <row r="135" s="134" customFormat="1" customHeight="1" spans="1:41">
      <c r="A135" s="58">
        <v>34</v>
      </c>
      <c r="B135" s="134"/>
      <c r="C135" s="134"/>
      <c r="D135" s="134"/>
      <c r="E135" s="134"/>
      <c r="F135" s="134"/>
      <c r="G135" s="134"/>
      <c r="H135" s="134"/>
      <c r="I135" s="150" t="s">
        <v>5132</v>
      </c>
      <c r="J135" s="147">
        <v>134.8</v>
      </c>
      <c r="K135" s="134"/>
      <c r="L135" s="134"/>
      <c r="M135" s="134"/>
      <c r="N135" s="134">
        <v>6019.59</v>
      </c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AH135" s="134">
        <f t="shared" si="10"/>
        <v>0</v>
      </c>
      <c r="AO135" s="132">
        <f t="shared" si="11"/>
        <v>0</v>
      </c>
    </row>
    <row r="136" s="136" customFormat="1" customHeight="1" spans="1:50">
      <c r="A136" s="135">
        <v>35</v>
      </c>
      <c r="B136" s="136">
        <v>1</v>
      </c>
      <c r="C136" s="136" t="s">
        <v>412</v>
      </c>
      <c r="D136" s="136">
        <v>20240007336</v>
      </c>
      <c r="E136" s="136"/>
      <c r="F136" s="835" t="s">
        <v>413</v>
      </c>
      <c r="G136" s="136" t="s">
        <v>414</v>
      </c>
      <c r="H136" s="835" t="s">
        <v>5133</v>
      </c>
      <c r="I136" s="152" t="s">
        <v>5134</v>
      </c>
      <c r="J136" s="149">
        <v>133.94</v>
      </c>
      <c r="K136" s="136">
        <v>133.94</v>
      </c>
      <c r="L136" s="136">
        <v>5786.17</v>
      </c>
      <c r="M136" s="136">
        <v>775000</v>
      </c>
      <c r="N136" s="136">
        <v>6063.5</v>
      </c>
      <c r="O136" s="136"/>
      <c r="P136" s="136"/>
      <c r="Q136" s="136"/>
      <c r="R136" s="136">
        <f>175000+20000</f>
        <v>195000</v>
      </c>
      <c r="S136" s="136" t="s">
        <v>5135</v>
      </c>
      <c r="T136" s="136"/>
      <c r="U136" s="136" t="s">
        <v>842</v>
      </c>
      <c r="V136" s="136">
        <f>175000+20000</f>
        <v>195000</v>
      </c>
      <c r="W136" s="136" t="s">
        <v>5135</v>
      </c>
      <c r="X136" s="136"/>
      <c r="Y136" s="136"/>
      <c r="AH136" s="136">
        <f t="shared" si="10"/>
        <v>195000</v>
      </c>
      <c r="AK136" s="136">
        <f>M136-AH136</f>
        <v>580000</v>
      </c>
      <c r="AL136" s="136">
        <v>13036585672</v>
      </c>
      <c r="AM136" s="136" t="s">
        <v>3277</v>
      </c>
      <c r="AO136" s="135">
        <f t="shared" si="11"/>
        <v>195000</v>
      </c>
      <c r="AP136" s="166">
        <f>0.6%+0.04%+0.12%+0.03%</f>
        <v>0.0079</v>
      </c>
      <c r="AS136" s="136">
        <v>195000</v>
      </c>
      <c r="AV136" s="135">
        <f>AS136*AP136</f>
        <v>1540.5</v>
      </c>
      <c r="AX136" s="136" t="s">
        <v>496</v>
      </c>
    </row>
    <row r="137" s="134" customFormat="1" customHeight="1" spans="1:41">
      <c r="A137" s="58">
        <v>36</v>
      </c>
      <c r="B137" s="134"/>
      <c r="C137" s="134"/>
      <c r="D137" s="134"/>
      <c r="E137" s="134"/>
      <c r="F137" s="134"/>
      <c r="G137" s="134"/>
      <c r="H137" s="134"/>
      <c r="I137" s="150" t="s">
        <v>5136</v>
      </c>
      <c r="J137" s="147">
        <v>134.8</v>
      </c>
      <c r="K137" s="134"/>
      <c r="L137" s="134"/>
      <c r="M137" s="134"/>
      <c r="N137" s="134">
        <v>6068.5</v>
      </c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AH137" s="134">
        <f t="shared" si="10"/>
        <v>0</v>
      </c>
      <c r="AO137" s="132">
        <f t="shared" si="11"/>
        <v>0</v>
      </c>
    </row>
    <row r="138" s="134" customFormat="1" customHeight="1" spans="1:41">
      <c r="A138" s="58">
        <v>37</v>
      </c>
      <c r="B138" s="134"/>
      <c r="C138" s="134"/>
      <c r="D138" s="134"/>
      <c r="E138" s="134"/>
      <c r="F138" s="134"/>
      <c r="G138" s="134"/>
      <c r="H138" s="134"/>
      <c r="I138" s="150" t="s">
        <v>5137</v>
      </c>
      <c r="J138" s="147">
        <v>133.94</v>
      </c>
      <c r="K138" s="134"/>
      <c r="L138" s="134"/>
      <c r="M138" s="134"/>
      <c r="N138" s="134">
        <v>6090.67</v>
      </c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AH138" s="134">
        <f t="shared" si="10"/>
        <v>0</v>
      </c>
      <c r="AO138" s="132">
        <f t="shared" si="11"/>
        <v>0</v>
      </c>
    </row>
    <row r="139" s="134" customFormat="1" customHeight="1" spans="1:41">
      <c r="A139" s="58">
        <v>38</v>
      </c>
      <c r="B139" s="134"/>
      <c r="C139" s="134"/>
      <c r="D139" s="134"/>
      <c r="E139" s="134"/>
      <c r="F139" s="134"/>
      <c r="G139" s="134"/>
      <c r="H139" s="134"/>
      <c r="I139" s="150" t="s">
        <v>5138</v>
      </c>
      <c r="J139" s="147">
        <v>134.8</v>
      </c>
      <c r="K139" s="134"/>
      <c r="L139" s="134"/>
      <c r="M139" s="134"/>
      <c r="N139" s="134">
        <v>6095.67</v>
      </c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AH139" s="134">
        <f t="shared" si="10"/>
        <v>0</v>
      </c>
      <c r="AO139" s="132">
        <f t="shared" si="11"/>
        <v>0</v>
      </c>
    </row>
    <row r="140" s="134" customFormat="1" customHeight="1" spans="1:41">
      <c r="A140" s="58">
        <v>39</v>
      </c>
      <c r="B140" s="134"/>
      <c r="C140" s="134"/>
      <c r="D140" s="134"/>
      <c r="E140" s="134"/>
      <c r="F140" s="134"/>
      <c r="G140" s="134"/>
      <c r="H140" s="134"/>
      <c r="I140" s="150" t="s">
        <v>5139</v>
      </c>
      <c r="J140" s="147">
        <v>133.94</v>
      </c>
      <c r="K140" s="134"/>
      <c r="L140" s="134"/>
      <c r="M140" s="134"/>
      <c r="N140" s="134">
        <v>6119.59</v>
      </c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AH140" s="134">
        <f t="shared" si="10"/>
        <v>0</v>
      </c>
      <c r="AO140" s="132">
        <f t="shared" si="11"/>
        <v>0</v>
      </c>
    </row>
    <row r="141" s="134" customFormat="1" customHeight="1" spans="1:41">
      <c r="A141" s="58">
        <v>40</v>
      </c>
      <c r="B141" s="134"/>
      <c r="C141" s="134"/>
      <c r="D141" s="134"/>
      <c r="E141" s="134"/>
      <c r="F141" s="134"/>
      <c r="G141" s="134"/>
      <c r="H141" s="134"/>
      <c r="I141" s="150" t="s">
        <v>5140</v>
      </c>
      <c r="J141" s="147">
        <v>134.8</v>
      </c>
      <c r="K141" s="134"/>
      <c r="L141" s="134"/>
      <c r="M141" s="134"/>
      <c r="N141" s="134">
        <v>6124.59</v>
      </c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AH141" s="134">
        <f t="shared" si="10"/>
        <v>0</v>
      </c>
      <c r="AO141" s="132">
        <f t="shared" si="11"/>
        <v>0</v>
      </c>
    </row>
    <row r="142" s="135" customFormat="1" customHeight="1" spans="1:50">
      <c r="A142" s="135">
        <v>41</v>
      </c>
      <c r="B142" s="135"/>
      <c r="C142" s="135" t="s">
        <v>163</v>
      </c>
      <c r="D142" s="135">
        <v>20240005755</v>
      </c>
      <c r="F142" s="834" t="s">
        <v>371</v>
      </c>
      <c r="G142" s="135" t="s">
        <v>372</v>
      </c>
      <c r="I142" s="152" t="s">
        <v>5141</v>
      </c>
      <c r="J142" s="149">
        <v>133.94</v>
      </c>
      <c r="K142" s="135">
        <v>133.94</v>
      </c>
      <c r="L142" s="135">
        <v>6141.32</v>
      </c>
      <c r="M142" s="135">
        <v>822569</v>
      </c>
      <c r="N142" s="135">
        <v>6141.32</v>
      </c>
      <c r="U142" s="135" t="s">
        <v>721</v>
      </c>
      <c r="V142" s="135">
        <v>20000</v>
      </c>
      <c r="W142" s="135" t="s">
        <v>88</v>
      </c>
      <c r="X142" s="135">
        <v>114569</v>
      </c>
      <c r="Y142" s="135" t="s">
        <v>163</v>
      </c>
      <c r="Z142" s="135">
        <v>30000</v>
      </c>
      <c r="AA142" s="135" t="s">
        <v>213</v>
      </c>
      <c r="AH142" s="135">
        <f t="shared" si="10"/>
        <v>164569</v>
      </c>
      <c r="AK142" s="135">
        <f>M142-AH142</f>
        <v>658000</v>
      </c>
      <c r="AL142" s="135">
        <v>13171242535</v>
      </c>
      <c r="AM142" s="135" t="s">
        <v>4081</v>
      </c>
      <c r="AO142" s="135">
        <f t="shared" si="11"/>
        <v>164569</v>
      </c>
      <c r="AP142" s="162">
        <f>0.5%+0.02%+0.08%+0.03%</f>
        <v>0.0063</v>
      </c>
      <c r="AR142" s="135">
        <v>164569</v>
      </c>
      <c r="AX142" s="135" t="s">
        <v>496</v>
      </c>
    </row>
    <row r="143" s="134" customFormat="1" customHeight="1" spans="1:41">
      <c r="A143" s="58">
        <v>42</v>
      </c>
      <c r="B143" s="134"/>
      <c r="C143" s="134"/>
      <c r="D143" s="134"/>
      <c r="E143" s="134"/>
      <c r="F143" s="134"/>
      <c r="G143" s="134"/>
      <c r="H143" s="134"/>
      <c r="I143" s="150" t="s">
        <v>5142</v>
      </c>
      <c r="J143" s="147">
        <v>134.8</v>
      </c>
      <c r="K143" s="134"/>
      <c r="L143" s="134"/>
      <c r="M143" s="134"/>
      <c r="N143" s="134">
        <v>6146.32</v>
      </c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AH143" s="134">
        <f t="shared" si="10"/>
        <v>0</v>
      </c>
      <c r="AO143" s="132">
        <f t="shared" si="11"/>
        <v>0</v>
      </c>
    </row>
    <row r="144" s="134" customFormat="1" customHeight="1" spans="1:41">
      <c r="A144" s="58">
        <v>43</v>
      </c>
      <c r="B144" s="134"/>
      <c r="C144" s="134"/>
      <c r="D144" s="134"/>
      <c r="E144" s="134"/>
      <c r="F144" s="134"/>
      <c r="G144" s="134"/>
      <c r="H144" s="134"/>
      <c r="I144" s="150" t="s">
        <v>5143</v>
      </c>
      <c r="J144" s="147">
        <v>133.94</v>
      </c>
      <c r="K144" s="134"/>
      <c r="L144" s="134"/>
      <c r="M144" s="134"/>
      <c r="N144" s="134">
        <v>7147.43</v>
      </c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AH144" s="134">
        <f t="shared" si="10"/>
        <v>0</v>
      </c>
      <c r="AO144" s="132">
        <f t="shared" si="11"/>
        <v>0</v>
      </c>
    </row>
    <row r="145" s="134" customFormat="1" customHeight="1" spans="1:41">
      <c r="A145" s="58">
        <v>44</v>
      </c>
      <c r="B145" s="134"/>
      <c r="C145" s="134"/>
      <c r="D145" s="134"/>
      <c r="E145" s="134"/>
      <c r="F145" s="134"/>
      <c r="G145" s="134"/>
      <c r="H145" s="134"/>
      <c r="I145" s="150" t="s">
        <v>5144</v>
      </c>
      <c r="J145" s="147">
        <v>134.8</v>
      </c>
      <c r="K145" s="134"/>
      <c r="L145" s="134"/>
      <c r="M145" s="134"/>
      <c r="N145" s="134">
        <v>7152.43</v>
      </c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AH145" s="134">
        <f t="shared" si="10"/>
        <v>0</v>
      </c>
      <c r="AO145" s="132">
        <f t="shared" si="11"/>
        <v>0</v>
      </c>
    </row>
    <row r="146" s="135" customFormat="1" ht="33" customHeight="1" spans="1:50">
      <c r="A146" s="135">
        <v>45</v>
      </c>
      <c r="B146" s="135"/>
      <c r="C146" s="135" t="s">
        <v>125</v>
      </c>
      <c r="D146" s="135">
        <v>20240005848</v>
      </c>
      <c r="F146" s="834" t="s">
        <v>373</v>
      </c>
      <c r="G146" s="164" t="s">
        <v>5145</v>
      </c>
      <c r="I146" s="152" t="s">
        <v>5146</v>
      </c>
      <c r="J146" s="149">
        <v>145.95</v>
      </c>
      <c r="K146" s="135">
        <v>145.95</v>
      </c>
      <c r="L146" s="135">
        <v>8300</v>
      </c>
      <c r="M146" s="135">
        <v>1211385</v>
      </c>
      <c r="N146" s="135">
        <v>8300</v>
      </c>
      <c r="O146" s="135"/>
      <c r="R146" s="135">
        <v>800000</v>
      </c>
      <c r="S146" s="155" t="s">
        <v>959</v>
      </c>
      <c r="U146" s="135" t="s">
        <v>495</v>
      </c>
      <c r="V146" s="135"/>
      <c r="W146" s="155"/>
      <c r="X146" s="135">
        <v>21385</v>
      </c>
      <c r="Y146" s="155" t="s">
        <v>125</v>
      </c>
      <c r="Z146" s="135">
        <v>210000</v>
      </c>
      <c r="AA146" s="135" t="s">
        <v>118</v>
      </c>
      <c r="AB146" s="135">
        <v>180000</v>
      </c>
      <c r="AC146" s="135" t="s">
        <v>1589</v>
      </c>
      <c r="AD146" s="135">
        <v>800000</v>
      </c>
      <c r="AE146" s="155" t="s">
        <v>959</v>
      </c>
      <c r="AH146" s="135">
        <f t="shared" si="10"/>
        <v>1211385</v>
      </c>
      <c r="AK146" s="135">
        <f>M146-AH146</f>
        <v>0</v>
      </c>
      <c r="AL146" s="135">
        <v>13579039210</v>
      </c>
      <c r="AM146" s="135" t="s">
        <v>4081</v>
      </c>
      <c r="AO146" s="135">
        <f t="shared" si="11"/>
        <v>1211385</v>
      </c>
      <c r="AP146" s="162">
        <f>0.4%+0.05%+0.08%+0.03%</f>
        <v>0.0056</v>
      </c>
      <c r="AQ146" s="135">
        <v>231385</v>
      </c>
      <c r="AS146" s="135">
        <v>980000</v>
      </c>
      <c r="AV146" s="135">
        <f>AS146*AP146</f>
        <v>5488</v>
      </c>
      <c r="AX146" s="135" t="s">
        <v>496</v>
      </c>
    </row>
    <row r="147" s="134" customFormat="1" customHeight="1" spans="1:41">
      <c r="A147" s="58">
        <v>46</v>
      </c>
      <c r="B147" s="134"/>
      <c r="C147" s="134"/>
      <c r="D147" s="134"/>
      <c r="E147" s="134"/>
      <c r="F147" s="134"/>
      <c r="G147" s="134"/>
      <c r="H147" s="134"/>
      <c r="I147" s="150" t="s">
        <v>5147</v>
      </c>
      <c r="J147" s="147">
        <v>157.36</v>
      </c>
      <c r="K147" s="134"/>
      <c r="L147" s="134"/>
      <c r="M147" s="134"/>
      <c r="N147" s="134">
        <v>8283.43</v>
      </c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AH147" s="134">
        <f t="shared" si="10"/>
        <v>0</v>
      </c>
      <c r="AO147" s="132">
        <f t="shared" ref="AO147:AO167" si="12">SUM(AQ147:AU147)</f>
        <v>0</v>
      </c>
    </row>
    <row r="148" s="134" customFormat="1" customHeight="1" spans="1:41">
      <c r="A148" s="58">
        <v>47</v>
      </c>
      <c r="B148" s="134"/>
      <c r="C148" s="134"/>
      <c r="D148" s="134"/>
      <c r="E148" s="134"/>
      <c r="F148" s="134"/>
      <c r="G148" s="134"/>
      <c r="H148" s="134"/>
      <c r="I148" s="150" t="s">
        <v>5148</v>
      </c>
      <c r="J148" s="147">
        <v>162.14</v>
      </c>
      <c r="K148" s="134"/>
      <c r="L148" s="134"/>
      <c r="M148" s="134"/>
      <c r="N148" s="134">
        <v>5795.58</v>
      </c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AH148" s="134">
        <f t="shared" si="10"/>
        <v>0</v>
      </c>
      <c r="AO148" s="132">
        <f t="shared" si="12"/>
        <v>0</v>
      </c>
    </row>
    <row r="149" s="134" customFormat="1" customHeight="1" spans="1:41">
      <c r="A149" s="58">
        <v>48</v>
      </c>
      <c r="B149" s="134"/>
      <c r="C149" s="134"/>
      <c r="D149" s="134"/>
      <c r="E149" s="134"/>
      <c r="F149" s="134"/>
      <c r="G149" s="134"/>
      <c r="H149" s="134"/>
      <c r="I149" s="150" t="s">
        <v>5149</v>
      </c>
      <c r="J149" s="147">
        <v>174.32</v>
      </c>
      <c r="K149" s="134"/>
      <c r="L149" s="134"/>
      <c r="M149" s="134"/>
      <c r="N149" s="134">
        <v>5780.66</v>
      </c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AH149" s="134">
        <f t="shared" si="10"/>
        <v>0</v>
      </c>
      <c r="AO149" s="132">
        <f t="shared" si="12"/>
        <v>0</v>
      </c>
    </row>
    <row r="150" s="134" customFormat="1" customHeight="1" spans="1:41">
      <c r="A150" s="58">
        <v>49</v>
      </c>
      <c r="B150" s="134"/>
      <c r="C150" s="134"/>
      <c r="D150" s="134"/>
      <c r="E150" s="134"/>
      <c r="F150" s="134"/>
      <c r="G150" s="134"/>
      <c r="H150" s="134"/>
      <c r="I150" s="150" t="s">
        <v>5150</v>
      </c>
      <c r="J150" s="147">
        <v>162.14</v>
      </c>
      <c r="K150" s="134"/>
      <c r="L150" s="134"/>
      <c r="M150" s="134"/>
      <c r="N150" s="134">
        <v>5850.24</v>
      </c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AH150" s="134">
        <f t="shared" si="10"/>
        <v>0</v>
      </c>
      <c r="AO150" s="132">
        <f t="shared" si="12"/>
        <v>0</v>
      </c>
    </row>
    <row r="151" s="134" customFormat="1" customHeight="1" spans="1:41">
      <c r="A151" s="58">
        <v>50</v>
      </c>
      <c r="B151" s="134"/>
      <c r="C151" s="134"/>
      <c r="D151" s="134"/>
      <c r="E151" s="134"/>
      <c r="F151" s="134"/>
      <c r="G151" s="134"/>
      <c r="H151" s="134"/>
      <c r="I151" s="150" t="s">
        <v>5151</v>
      </c>
      <c r="J151" s="147">
        <v>174.32</v>
      </c>
      <c r="K151" s="134"/>
      <c r="L151" s="134"/>
      <c r="M151" s="134"/>
      <c r="N151" s="134">
        <v>5835.31</v>
      </c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AH151" s="134">
        <f t="shared" si="10"/>
        <v>0</v>
      </c>
      <c r="AO151" s="132">
        <f t="shared" si="12"/>
        <v>0</v>
      </c>
    </row>
    <row r="152" s="134" customFormat="1" customHeight="1" spans="1:41">
      <c r="A152" s="58">
        <v>51</v>
      </c>
      <c r="B152" s="134"/>
      <c r="C152" s="134"/>
      <c r="D152" s="134"/>
      <c r="E152" s="134"/>
      <c r="F152" s="134"/>
      <c r="G152" s="134"/>
      <c r="H152" s="134"/>
      <c r="I152" s="150" t="s">
        <v>5152</v>
      </c>
      <c r="J152" s="147">
        <v>162.14</v>
      </c>
      <c r="K152" s="134"/>
      <c r="L152" s="134"/>
      <c r="M152" s="134"/>
      <c r="N152" s="134">
        <v>5882.85</v>
      </c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AH152" s="134">
        <f t="shared" si="10"/>
        <v>0</v>
      </c>
      <c r="AO152" s="132">
        <f t="shared" si="12"/>
        <v>0</v>
      </c>
    </row>
    <row r="153" s="134" customFormat="1" customHeight="1" spans="1:41">
      <c r="A153" s="58">
        <v>52</v>
      </c>
      <c r="B153" s="134"/>
      <c r="C153" s="134"/>
      <c r="D153" s="134"/>
      <c r="E153" s="134"/>
      <c r="F153" s="134"/>
      <c r="G153" s="134"/>
      <c r="H153" s="134"/>
      <c r="I153" s="150" t="s">
        <v>5153</v>
      </c>
      <c r="J153" s="147">
        <v>174.32</v>
      </c>
      <c r="K153" s="134"/>
      <c r="L153" s="134"/>
      <c r="M153" s="134"/>
      <c r="N153" s="134">
        <v>5867.92</v>
      </c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AH153" s="134">
        <f t="shared" si="10"/>
        <v>0</v>
      </c>
      <c r="AO153" s="132">
        <f t="shared" si="12"/>
        <v>0</v>
      </c>
    </row>
    <row r="154" s="134" customFormat="1" customHeight="1" spans="1:41">
      <c r="A154" s="58">
        <v>53</v>
      </c>
      <c r="B154" s="134"/>
      <c r="C154" s="134"/>
      <c r="D154" s="134"/>
      <c r="E154" s="134"/>
      <c r="F154" s="134"/>
      <c r="G154" s="134"/>
      <c r="H154" s="134"/>
      <c r="I154" s="150" t="s">
        <v>5154</v>
      </c>
      <c r="J154" s="147">
        <v>162.14</v>
      </c>
      <c r="K154" s="134"/>
      <c r="L154" s="134"/>
      <c r="M154" s="134"/>
      <c r="N154" s="134">
        <v>5957.19</v>
      </c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AH154" s="134">
        <f t="shared" si="10"/>
        <v>0</v>
      </c>
      <c r="AO154" s="132">
        <f t="shared" si="12"/>
        <v>0</v>
      </c>
    </row>
    <row r="155" s="134" customFormat="1" customHeight="1" spans="1:41">
      <c r="A155" s="58">
        <v>54</v>
      </c>
      <c r="B155" s="134"/>
      <c r="C155" s="134"/>
      <c r="D155" s="134"/>
      <c r="E155" s="134"/>
      <c r="F155" s="134"/>
      <c r="G155" s="134"/>
      <c r="H155" s="134"/>
      <c r="I155" s="146" t="s">
        <v>5155</v>
      </c>
      <c r="J155" s="147">
        <v>174.32</v>
      </c>
      <c r="K155" s="134"/>
      <c r="L155" s="134"/>
      <c r="M155" s="134"/>
      <c r="N155" s="134">
        <v>5942.27</v>
      </c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AH155" s="134">
        <f t="shared" si="10"/>
        <v>0</v>
      </c>
      <c r="AO155" s="132">
        <f t="shared" si="12"/>
        <v>0</v>
      </c>
    </row>
    <row r="156" s="134" customFormat="1" customHeight="1" spans="1:41">
      <c r="A156" s="58">
        <v>55</v>
      </c>
      <c r="B156" s="134"/>
      <c r="C156" s="134"/>
      <c r="D156" s="134"/>
      <c r="E156" s="134"/>
      <c r="F156" s="134"/>
      <c r="G156" s="134"/>
      <c r="H156" s="134"/>
      <c r="I156" s="150" t="s">
        <v>5156</v>
      </c>
      <c r="J156" s="147">
        <v>162.14</v>
      </c>
      <c r="K156" s="134"/>
      <c r="L156" s="134"/>
      <c r="M156" s="134"/>
      <c r="N156" s="134">
        <v>6026.11</v>
      </c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AH156" s="134">
        <f t="shared" si="10"/>
        <v>0</v>
      </c>
      <c r="AO156" s="132">
        <f t="shared" si="12"/>
        <v>0</v>
      </c>
    </row>
    <row r="157" s="134" customFormat="1" customHeight="1" spans="1:41">
      <c r="A157" s="58">
        <v>56</v>
      </c>
      <c r="B157" s="134"/>
      <c r="C157" s="134"/>
      <c r="D157" s="134"/>
      <c r="E157" s="134"/>
      <c r="F157" s="134"/>
      <c r="G157" s="134"/>
      <c r="H157" s="134"/>
      <c r="I157" s="146" t="s">
        <v>5157</v>
      </c>
      <c r="J157" s="147">
        <v>174.32</v>
      </c>
      <c r="K157" s="134"/>
      <c r="L157" s="134"/>
      <c r="M157" s="134"/>
      <c r="N157" s="134">
        <v>6011.18</v>
      </c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AH157" s="134">
        <f t="shared" si="10"/>
        <v>0</v>
      </c>
      <c r="AO157" s="132">
        <f t="shared" si="12"/>
        <v>0</v>
      </c>
    </row>
    <row r="158" s="134" customFormat="1" customHeight="1" spans="1:41">
      <c r="A158" s="58">
        <v>57</v>
      </c>
      <c r="B158" s="134"/>
      <c r="C158" s="134"/>
      <c r="D158" s="134"/>
      <c r="E158" s="134"/>
      <c r="F158" s="134"/>
      <c r="G158" s="134"/>
      <c r="H158" s="134"/>
      <c r="I158" s="150" t="s">
        <v>5158</v>
      </c>
      <c r="J158" s="147">
        <v>162.14</v>
      </c>
      <c r="K158" s="134"/>
      <c r="L158" s="134"/>
      <c r="M158" s="134"/>
      <c r="N158" s="134">
        <v>6075.02</v>
      </c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AH158" s="134">
        <f t="shared" si="10"/>
        <v>0</v>
      </c>
      <c r="AO158" s="132">
        <f t="shared" si="12"/>
        <v>0</v>
      </c>
    </row>
    <row r="159" s="134" customFormat="1" customHeight="1" spans="1:41">
      <c r="A159" s="58">
        <v>58</v>
      </c>
      <c r="B159" s="134"/>
      <c r="C159" s="134"/>
      <c r="D159" s="134"/>
      <c r="E159" s="134"/>
      <c r="F159" s="134"/>
      <c r="G159" s="134"/>
      <c r="H159" s="134"/>
      <c r="I159" s="146" t="s">
        <v>5159</v>
      </c>
      <c r="J159" s="147">
        <v>174.32</v>
      </c>
      <c r="K159" s="134"/>
      <c r="L159" s="134"/>
      <c r="M159" s="134"/>
      <c r="N159" s="134">
        <v>6060.1</v>
      </c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AH159" s="134">
        <f t="shared" si="10"/>
        <v>0</v>
      </c>
      <c r="AO159" s="132">
        <f t="shared" si="12"/>
        <v>0</v>
      </c>
    </row>
    <row r="160" s="134" customFormat="1" customHeight="1" spans="1:41">
      <c r="A160" s="58">
        <v>59</v>
      </c>
      <c r="B160" s="134"/>
      <c r="C160" s="134"/>
      <c r="D160" s="134"/>
      <c r="E160" s="134"/>
      <c r="F160" s="134"/>
      <c r="G160" s="134"/>
      <c r="H160" s="134"/>
      <c r="I160" s="150" t="s">
        <v>5160</v>
      </c>
      <c r="J160" s="147">
        <v>162.14</v>
      </c>
      <c r="K160" s="134"/>
      <c r="L160" s="134"/>
      <c r="M160" s="134"/>
      <c r="N160" s="134">
        <v>6102.19</v>
      </c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AH160" s="134">
        <f t="shared" si="10"/>
        <v>0</v>
      </c>
      <c r="AO160" s="132">
        <f t="shared" si="12"/>
        <v>0</v>
      </c>
    </row>
    <row r="161" s="134" customFormat="1" customHeight="1" spans="1:41">
      <c r="A161" s="58">
        <v>60</v>
      </c>
      <c r="B161" s="134"/>
      <c r="C161" s="134"/>
      <c r="D161" s="134"/>
      <c r="E161" s="134"/>
      <c r="F161" s="134"/>
      <c r="G161" s="134"/>
      <c r="H161" s="134"/>
      <c r="I161" s="146" t="s">
        <v>5161</v>
      </c>
      <c r="J161" s="147">
        <v>174.32</v>
      </c>
      <c r="K161" s="134"/>
      <c r="L161" s="134"/>
      <c r="M161" s="134"/>
      <c r="N161" s="134">
        <v>6087.27</v>
      </c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AH161" s="134">
        <f t="shared" si="10"/>
        <v>0</v>
      </c>
      <c r="AO161" s="132">
        <f t="shared" si="12"/>
        <v>0</v>
      </c>
    </row>
    <row r="162" s="136" customFormat="1" customHeight="1" spans="1:50">
      <c r="A162" s="135">
        <v>61</v>
      </c>
      <c r="B162" s="136"/>
      <c r="C162" s="136" t="s">
        <v>177</v>
      </c>
      <c r="D162" s="136">
        <v>20240007458</v>
      </c>
      <c r="E162" s="136"/>
      <c r="F162" s="835" t="s">
        <v>415</v>
      </c>
      <c r="G162" s="136" t="s">
        <v>416</v>
      </c>
      <c r="H162" s="835" t="s">
        <v>5162</v>
      </c>
      <c r="I162" s="152" t="s">
        <v>5163</v>
      </c>
      <c r="J162" s="149">
        <v>162.14</v>
      </c>
      <c r="K162" s="136">
        <v>162.14</v>
      </c>
      <c r="L162" s="136">
        <v>6044.16</v>
      </c>
      <c r="M162" s="136">
        <v>980000</v>
      </c>
      <c r="N162" s="136">
        <v>6131.11</v>
      </c>
      <c r="O162" s="136"/>
      <c r="P162" s="136"/>
      <c r="Q162" s="136"/>
      <c r="R162" s="136">
        <f>100000+80000</f>
        <v>180000</v>
      </c>
      <c r="S162" s="136" t="s">
        <v>177</v>
      </c>
      <c r="T162" s="136"/>
      <c r="U162" s="136" t="s">
        <v>594</v>
      </c>
      <c r="V162" s="136">
        <v>20000</v>
      </c>
      <c r="W162" s="136" t="s">
        <v>303</v>
      </c>
      <c r="X162" s="136">
        <v>80000</v>
      </c>
      <c r="Y162" s="136" t="s">
        <v>177</v>
      </c>
      <c r="Z162" s="136">
        <v>100000</v>
      </c>
      <c r="AA162" s="136" t="s">
        <v>903</v>
      </c>
      <c r="AH162" s="136">
        <f t="shared" si="10"/>
        <v>200000</v>
      </c>
      <c r="AK162" s="136">
        <f>M162-AH162</f>
        <v>780000</v>
      </c>
      <c r="AL162" s="136">
        <v>15276682637</v>
      </c>
      <c r="AM162" s="136" t="s">
        <v>4065</v>
      </c>
      <c r="AO162" s="135">
        <f t="shared" si="12"/>
        <v>200000</v>
      </c>
      <c r="AP162" s="167">
        <f>0.6%+0.03%+0.08%+0.03%</f>
        <v>0.0074</v>
      </c>
      <c r="AS162" s="136">
        <v>200000</v>
      </c>
      <c r="AV162" s="135">
        <f>AS162*AP162</f>
        <v>1480</v>
      </c>
      <c r="AX162" s="136" t="s">
        <v>496</v>
      </c>
    </row>
    <row r="163" s="134" customFormat="1" customHeight="1" spans="1:41">
      <c r="A163" s="58">
        <v>62</v>
      </c>
      <c r="B163" s="134"/>
      <c r="C163" s="134"/>
      <c r="D163" s="134"/>
      <c r="E163" s="134"/>
      <c r="F163" s="134"/>
      <c r="G163" s="134"/>
      <c r="H163" s="134"/>
      <c r="I163" s="146" t="s">
        <v>5164</v>
      </c>
      <c r="J163" s="147">
        <v>174.32</v>
      </c>
      <c r="K163" s="134"/>
      <c r="L163" s="134"/>
      <c r="M163" s="134"/>
      <c r="N163" s="134">
        <v>6116.18</v>
      </c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AH163" s="134">
        <f t="shared" si="10"/>
        <v>0</v>
      </c>
      <c r="AO163" s="132">
        <f t="shared" si="12"/>
        <v>0</v>
      </c>
    </row>
    <row r="164" s="134" customFormat="1" customHeight="1" spans="1:41">
      <c r="A164" s="58">
        <v>63</v>
      </c>
      <c r="B164" s="134"/>
      <c r="C164" s="134"/>
      <c r="D164" s="134"/>
      <c r="E164" s="134"/>
      <c r="F164" s="134"/>
      <c r="G164" s="134"/>
      <c r="H164" s="134"/>
      <c r="I164" s="150" t="s">
        <v>5165</v>
      </c>
      <c r="J164" s="147">
        <v>162.14</v>
      </c>
      <c r="K164" s="134"/>
      <c r="L164" s="134"/>
      <c r="M164" s="134"/>
      <c r="N164" s="134">
        <v>6152.85</v>
      </c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AH164" s="134">
        <f t="shared" si="10"/>
        <v>0</v>
      </c>
      <c r="AO164" s="132">
        <f t="shared" si="12"/>
        <v>0</v>
      </c>
    </row>
    <row r="165" s="134" customFormat="1" customHeight="1" spans="1:41">
      <c r="A165" s="58">
        <v>64</v>
      </c>
      <c r="B165" s="134"/>
      <c r="C165" s="134"/>
      <c r="D165" s="134"/>
      <c r="E165" s="134"/>
      <c r="F165" s="134"/>
      <c r="G165" s="134"/>
      <c r="H165" s="134"/>
      <c r="I165" s="146" t="s">
        <v>5166</v>
      </c>
      <c r="J165" s="147">
        <v>174.32</v>
      </c>
      <c r="K165" s="134"/>
      <c r="L165" s="134"/>
      <c r="M165" s="134"/>
      <c r="N165" s="134">
        <v>6137.92</v>
      </c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AH165" s="134">
        <f t="shared" si="10"/>
        <v>0</v>
      </c>
      <c r="AO165" s="132">
        <f t="shared" si="12"/>
        <v>0</v>
      </c>
    </row>
    <row r="166" s="134" customFormat="1" customHeight="1" spans="1:41">
      <c r="A166" s="58">
        <v>65</v>
      </c>
      <c r="B166" s="134"/>
      <c r="C166" s="134"/>
      <c r="D166" s="134"/>
      <c r="E166" s="134"/>
      <c r="F166" s="134"/>
      <c r="G166" s="134"/>
      <c r="H166" s="134"/>
      <c r="I166" s="150" t="s">
        <v>5167</v>
      </c>
      <c r="J166" s="147">
        <v>162.14</v>
      </c>
      <c r="K166" s="134"/>
      <c r="L166" s="134"/>
      <c r="M166" s="134"/>
      <c r="N166" s="134">
        <v>7122.43</v>
      </c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AH166" s="134">
        <f t="shared" si="10"/>
        <v>0</v>
      </c>
      <c r="AO166" s="132">
        <f t="shared" si="12"/>
        <v>0</v>
      </c>
    </row>
    <row r="167" s="136" customFormat="1" customHeight="1" spans="1:42">
      <c r="A167" s="135">
        <v>66</v>
      </c>
      <c r="B167" s="136">
        <v>1</v>
      </c>
      <c r="C167" s="136"/>
      <c r="D167" s="136"/>
      <c r="E167" s="136"/>
      <c r="F167" s="136"/>
      <c r="G167" s="136" t="s">
        <v>5168</v>
      </c>
      <c r="H167" s="136"/>
      <c r="I167" s="148" t="s">
        <v>5169</v>
      </c>
      <c r="J167" s="149">
        <v>174.32</v>
      </c>
      <c r="K167" s="136">
        <v>174.32</v>
      </c>
      <c r="L167" s="136">
        <v>6597.065</v>
      </c>
      <c r="M167" s="136">
        <v>1150000</v>
      </c>
      <c r="N167" s="136">
        <v>7118.43</v>
      </c>
      <c r="O167" s="136"/>
      <c r="P167" s="136"/>
      <c r="Q167" s="136"/>
      <c r="R167" s="136">
        <v>115000</v>
      </c>
      <c r="S167" s="136" t="s">
        <v>418</v>
      </c>
      <c r="T167" s="136"/>
      <c r="U167" s="136" t="s">
        <v>495</v>
      </c>
      <c r="V167" s="136">
        <v>115000</v>
      </c>
      <c r="W167" s="136" t="s">
        <v>418</v>
      </c>
      <c r="X167" s="136"/>
      <c r="Y167" s="136"/>
      <c r="AH167" s="136">
        <f t="shared" si="10"/>
        <v>115000</v>
      </c>
      <c r="AK167" s="136">
        <f>M167-AH167</f>
        <v>1035000</v>
      </c>
      <c r="AO167" s="135">
        <f t="shared" si="12"/>
        <v>0</v>
      </c>
      <c r="AP167" s="166">
        <f>0.5%+0.02%+0.12%+0.03%</f>
        <v>0.0067</v>
      </c>
    </row>
    <row r="168" s="138" customFormat="1" customHeight="1" spans="1:48">
      <c r="A168" s="138">
        <f>66+66</f>
        <v>132</v>
      </c>
      <c r="B168" s="138">
        <f>SUM(B4:B167)</f>
        <v>6</v>
      </c>
      <c r="J168" s="138">
        <f>SUM(J4:J167)</f>
        <v>19425.76</v>
      </c>
      <c r="K168" s="138">
        <f>SUM(K4:K167)</f>
        <v>1663.21</v>
      </c>
      <c r="M168" s="165">
        <f>SUM(M4:M167)</f>
        <v>10613083</v>
      </c>
      <c r="R168" s="138">
        <f>SUM(R4:R167)</f>
        <v>1964000</v>
      </c>
      <c r="V168" s="138">
        <f t="shared" ref="V168:Z168" si="13">SUM(V4:V167)</f>
        <v>442000</v>
      </c>
      <c r="X168" s="138">
        <f>SUM(X4:X167)</f>
        <v>434708</v>
      </c>
      <c r="Z168" s="138">
        <f t="shared" si="13"/>
        <v>379000</v>
      </c>
      <c r="AB168" s="138">
        <f t="shared" ref="AB168:AF168" si="14">SUM(AB4:AB167)</f>
        <v>755000</v>
      </c>
      <c r="AD168" s="138">
        <f t="shared" si="14"/>
        <v>800000</v>
      </c>
      <c r="AF168" s="138">
        <f t="shared" si="14"/>
        <v>0</v>
      </c>
      <c r="AH168" s="138">
        <f t="shared" ref="AH168:AK168" si="15">SUM(AH4:AH167)</f>
        <v>2810708</v>
      </c>
      <c r="AI168" s="138">
        <f t="shared" si="15"/>
        <v>0</v>
      </c>
      <c r="AJ168" s="138">
        <f t="shared" si="15"/>
        <v>0</v>
      </c>
      <c r="AK168" s="165">
        <f t="shared" si="15"/>
        <v>7802375</v>
      </c>
      <c r="AO168" s="138">
        <f t="shared" ref="AO168:AS168" si="16">SUM(AO4:AO167)</f>
        <v>2633708</v>
      </c>
      <c r="AQ168" s="138">
        <f t="shared" si="16"/>
        <v>231385</v>
      </c>
      <c r="AR168" s="138">
        <f t="shared" si="16"/>
        <v>283338</v>
      </c>
      <c r="AS168" s="138">
        <f t="shared" si="16"/>
        <v>2118985</v>
      </c>
      <c r="AV168" s="138">
        <f>SUM(AV4:AV167)</f>
        <v>12377.222</v>
      </c>
    </row>
    <row r="169" s="134" customFormat="1" customHeight="1" spans="1:45">
      <c r="A169" s="58"/>
      <c r="Q169" s="134" t="s">
        <v>63</v>
      </c>
      <c r="AS169" s="134">
        <f>AS168+'画堂春锦苑8#楼明细表'!AX91+'画堂春锦苑1#2#3#5#7#楼住宅销售明细表'!BP440</f>
        <v>14362100</v>
      </c>
    </row>
    <row r="170" s="134" customFormat="1" customHeight="1" spans="1:18">
      <c r="A170" s="58"/>
      <c r="Q170" s="134" t="s">
        <v>5170</v>
      </c>
      <c r="R170" s="134">
        <v>869000</v>
      </c>
    </row>
    <row r="171" s="134" customFormat="1" customHeight="1" spans="1:18">
      <c r="A171" s="58"/>
      <c r="Q171" s="134" t="s">
        <v>5171</v>
      </c>
      <c r="R171" s="134">
        <v>1095000</v>
      </c>
    </row>
    <row r="172" s="134" customFormat="1" customHeight="1" spans="1:1">
      <c r="A172" s="58"/>
    </row>
  </sheetData>
  <autoFilter xmlns:etc="http://www.wps.cn/officeDocument/2017/etCustomData" ref="A3:AY172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X79"/>
  <sheetViews>
    <sheetView topLeftCell="AD1" workbookViewId="0">
      <pane ySplit="3" topLeftCell="A4" activePane="bottomLeft" state="frozen"/>
      <selection/>
      <selection pane="bottomLeft" activeCell="AU55" sqref="AU55:AU57"/>
    </sheetView>
  </sheetViews>
  <sheetFormatPr defaultColWidth="9" defaultRowHeight="23" customHeight="1"/>
  <cols>
    <col min="1" max="1" width="3.75" style="94" customWidth="1"/>
    <col min="2" max="2" width="6" style="95" customWidth="1"/>
    <col min="3" max="3" width="9" style="94"/>
    <col min="4" max="4" width="12.625" style="94"/>
    <col min="5" max="6" width="9" style="94"/>
    <col min="7" max="7" width="21.5" style="94" customWidth="1"/>
    <col min="8" max="8" width="13.375" style="94" customWidth="1"/>
    <col min="9" max="9" width="9" style="94"/>
    <col min="10" max="10" width="9.375" style="94"/>
    <col min="11" max="11" width="9" style="94"/>
    <col min="12" max="12" width="9.375" style="94"/>
    <col min="13" max="13" width="12.25" style="94" customWidth="1"/>
    <col min="14" max="14" width="12.625" style="96"/>
    <col min="15" max="15" width="13.375" style="94" customWidth="1"/>
    <col min="16" max="17" width="9" style="94"/>
    <col min="18" max="18" width="13.75" style="94" customWidth="1"/>
    <col min="19" max="19" width="12.375" style="94" customWidth="1"/>
    <col min="20" max="20" width="15" style="94" customWidth="1"/>
    <col min="21" max="21" width="14.625" style="94" customWidth="1"/>
    <col min="22" max="22" width="13.5" style="94" customWidth="1"/>
    <col min="23" max="23" width="15.125" style="94" customWidth="1"/>
    <col min="24" max="24" width="14.875" style="94"/>
    <col min="25" max="25" width="16.75" style="94" customWidth="1"/>
    <col min="26" max="33" width="14.75" style="94" customWidth="1"/>
    <col min="34" max="34" width="9.25" style="94"/>
    <col min="35" max="35" width="13.625" style="94" customWidth="1"/>
    <col min="36" max="36" width="9" style="94"/>
    <col min="37" max="37" width="13" style="94" customWidth="1"/>
    <col min="38" max="38" width="11.875" style="94" customWidth="1"/>
    <col min="39" max="41" width="9" style="94"/>
    <col min="42" max="42" width="9.375" style="97"/>
    <col min="43" max="46" width="9" style="94"/>
    <col min="47" max="47" width="12.875" style="94"/>
    <col min="48" max="16384" width="9" style="94"/>
  </cols>
  <sheetData>
    <row r="1" s="89" customFormat="1" customHeight="1" spans="1:42">
      <c r="A1" s="98" t="s">
        <v>5172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04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P1" s="124"/>
    </row>
    <row r="2" s="90" customFormat="1" customHeight="1" spans="1:50">
      <c r="A2" s="98" t="s">
        <v>21</v>
      </c>
      <c r="B2" s="90" t="s">
        <v>422</v>
      </c>
      <c r="C2" s="99" t="s">
        <v>423</v>
      </c>
      <c r="D2" s="90" t="s">
        <v>424</v>
      </c>
      <c r="F2" s="90" t="s">
        <v>426</v>
      </c>
      <c r="G2" s="90" t="s">
        <v>427</v>
      </c>
      <c r="H2" s="90" t="s">
        <v>425</v>
      </c>
      <c r="I2" s="90" t="s">
        <v>429</v>
      </c>
      <c r="J2" s="105" t="s">
        <v>1169</v>
      </c>
      <c r="K2" s="90" t="s">
        <v>431</v>
      </c>
      <c r="L2" s="90" t="s">
        <v>432</v>
      </c>
      <c r="M2" s="106" t="s">
        <v>433</v>
      </c>
      <c r="N2" s="107" t="s">
        <v>434</v>
      </c>
      <c r="O2" s="108" t="s">
        <v>436</v>
      </c>
      <c r="P2" s="109"/>
      <c r="Q2" s="109"/>
      <c r="R2" s="119" t="s">
        <v>437</v>
      </c>
      <c r="S2" s="120" t="s">
        <v>438</v>
      </c>
      <c r="T2" s="98" t="s">
        <v>439</v>
      </c>
      <c r="U2" s="120" t="s">
        <v>440</v>
      </c>
      <c r="V2" s="106" t="s">
        <v>441</v>
      </c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 t="s">
        <v>442</v>
      </c>
      <c r="AI2" s="99" t="s">
        <v>39</v>
      </c>
      <c r="AJ2" s="90" t="s">
        <v>444</v>
      </c>
      <c r="AK2" s="109" t="s">
        <v>42</v>
      </c>
      <c r="AL2" s="90" t="s">
        <v>445</v>
      </c>
      <c r="AM2" s="90" t="s">
        <v>30</v>
      </c>
      <c r="AN2" s="90" t="s">
        <v>1171</v>
      </c>
      <c r="AO2" s="125" t="s">
        <v>455</v>
      </c>
      <c r="AP2" s="125" t="s">
        <v>456</v>
      </c>
      <c r="AQ2" s="126" t="s">
        <v>4798</v>
      </c>
      <c r="AR2" s="126"/>
      <c r="AS2" s="126"/>
      <c r="AT2" s="127"/>
      <c r="AU2" s="90" t="s">
        <v>475</v>
      </c>
      <c r="AW2" s="90" t="s">
        <v>149</v>
      </c>
      <c r="AX2" s="90" t="s">
        <v>476</v>
      </c>
    </row>
    <row r="3" s="90" customFormat="1" customHeight="1" spans="1:46">
      <c r="A3" s="98"/>
      <c r="C3" s="99"/>
      <c r="E3" s="90" t="s">
        <v>1197</v>
      </c>
      <c r="J3" s="108"/>
      <c r="M3" s="106"/>
      <c r="N3" s="107"/>
      <c r="O3" s="108" t="s">
        <v>478</v>
      </c>
      <c r="P3" s="109" t="s">
        <v>1198</v>
      </c>
      <c r="Q3" s="109" t="s">
        <v>1199</v>
      </c>
      <c r="R3" s="106"/>
      <c r="S3" s="120"/>
      <c r="T3" s="98"/>
      <c r="U3" s="120"/>
      <c r="V3" s="106" t="s">
        <v>480</v>
      </c>
      <c r="W3" s="90" t="s">
        <v>481</v>
      </c>
      <c r="X3" s="106" t="s">
        <v>482</v>
      </c>
      <c r="Y3" s="123" t="s">
        <v>481</v>
      </c>
      <c r="Z3" s="90" t="s">
        <v>483</v>
      </c>
      <c r="AA3" s="108" t="s">
        <v>481</v>
      </c>
      <c r="AB3" s="106" t="s">
        <v>484</v>
      </c>
      <c r="AC3" s="90" t="s">
        <v>481</v>
      </c>
      <c r="AD3" s="90" t="s">
        <v>485</v>
      </c>
      <c r="AE3" s="90" t="s">
        <v>481</v>
      </c>
      <c r="AF3" s="90" t="s">
        <v>486</v>
      </c>
      <c r="AG3" s="90" t="s">
        <v>481</v>
      </c>
      <c r="AH3" s="106"/>
      <c r="AK3" s="109"/>
      <c r="AO3" s="125"/>
      <c r="AP3" s="125"/>
      <c r="AQ3" s="126"/>
      <c r="AR3" s="126"/>
      <c r="AS3" s="126"/>
      <c r="AT3" s="127"/>
    </row>
    <row r="4" s="91" customFormat="1" hidden="1" customHeight="1" spans="1:42">
      <c r="A4" s="91">
        <v>1</v>
      </c>
      <c r="B4" s="100"/>
      <c r="C4" s="91"/>
      <c r="D4" s="91"/>
      <c r="E4" s="91"/>
      <c r="F4" s="91"/>
      <c r="G4" s="91" t="s">
        <v>159</v>
      </c>
      <c r="H4" s="91"/>
      <c r="I4" s="100" t="s">
        <v>5173</v>
      </c>
      <c r="J4" s="110">
        <v>86.11</v>
      </c>
      <c r="K4" s="91">
        <v>86.11</v>
      </c>
      <c r="L4" s="91">
        <v>20000</v>
      </c>
      <c r="M4" s="91">
        <v>1722200</v>
      </c>
      <c r="N4" s="111">
        <v>22000.14</v>
      </c>
      <c r="O4" s="91"/>
      <c r="P4" s="91"/>
      <c r="Q4" s="91"/>
      <c r="R4" s="91">
        <v>50000</v>
      </c>
      <c r="S4" s="91" t="s">
        <v>3253</v>
      </c>
      <c r="T4" s="847" t="s">
        <v>5174</v>
      </c>
      <c r="U4" s="91" t="s">
        <v>524</v>
      </c>
      <c r="V4" s="91">
        <v>2000</v>
      </c>
      <c r="W4" s="91" t="s">
        <v>88</v>
      </c>
      <c r="X4" s="91">
        <v>50000</v>
      </c>
      <c r="Y4" s="91" t="s">
        <v>3253</v>
      </c>
      <c r="Z4" s="91"/>
      <c r="AA4" s="91"/>
      <c r="AB4" s="91"/>
      <c r="AC4" s="91"/>
      <c r="AD4" s="91"/>
      <c r="AE4" s="91"/>
      <c r="AF4" s="91"/>
      <c r="AG4" s="91"/>
      <c r="AH4" s="91">
        <f t="shared" ref="AH4:AH13" si="0">V4+X4+Z4+AB4+AD4+AF4</f>
        <v>52000</v>
      </c>
      <c r="AK4" s="91">
        <f>M4-AH4</f>
        <v>1670200</v>
      </c>
      <c r="AL4" s="91">
        <v>15999019972</v>
      </c>
      <c r="AM4" s="91"/>
      <c r="AN4" s="91"/>
      <c r="AO4" s="91">
        <f>SUM(AQ4:AT4)</f>
        <v>0</v>
      </c>
      <c r="AP4" s="128">
        <f>1%+0.25%+0.03%</f>
        <v>0.0128</v>
      </c>
    </row>
    <row r="5" s="91" customFormat="1" ht="29" hidden="1" customHeight="1" spans="1:41">
      <c r="A5" s="91">
        <v>2</v>
      </c>
      <c r="B5" s="100"/>
      <c r="C5" s="91"/>
      <c r="D5" s="91"/>
      <c r="E5" s="91"/>
      <c r="F5" s="91"/>
      <c r="G5" s="101" t="s">
        <v>5175</v>
      </c>
      <c r="H5" s="91"/>
      <c r="I5" s="100" t="s">
        <v>5176</v>
      </c>
      <c r="J5" s="110">
        <v>54.01</v>
      </c>
      <c r="K5" s="91">
        <v>54.01</v>
      </c>
      <c r="L5" s="91"/>
      <c r="M5" s="91"/>
      <c r="N5" s="111">
        <v>18091.2490362375</v>
      </c>
      <c r="O5" s="91"/>
      <c r="P5" s="91"/>
      <c r="Q5" s="91"/>
      <c r="R5" s="91">
        <v>20000</v>
      </c>
      <c r="S5" s="91" t="s">
        <v>3253</v>
      </c>
      <c r="T5" s="847" t="s">
        <v>1878</v>
      </c>
      <c r="U5" s="101" t="s">
        <v>5177</v>
      </c>
      <c r="V5" s="91">
        <f>5000-5000</f>
        <v>0</v>
      </c>
      <c r="W5" s="91" t="s">
        <v>735</v>
      </c>
      <c r="X5" s="91">
        <v>20000</v>
      </c>
      <c r="Y5" s="91" t="s">
        <v>3253</v>
      </c>
      <c r="Z5" s="91"/>
      <c r="AA5" s="91"/>
      <c r="AB5" s="91"/>
      <c r="AC5" s="91"/>
      <c r="AD5" s="91"/>
      <c r="AE5" s="91"/>
      <c r="AF5" s="91"/>
      <c r="AG5" s="91"/>
      <c r="AH5" s="91">
        <f t="shared" si="0"/>
        <v>20000</v>
      </c>
      <c r="AK5" s="91">
        <f>M5-AH5</f>
        <v>-20000</v>
      </c>
      <c r="AL5" s="91">
        <v>15999019972</v>
      </c>
      <c r="AO5" s="91">
        <f t="shared" ref="AO5:AO36" si="1">SUM(AQ5:AT5)</f>
        <v>0</v>
      </c>
    </row>
    <row r="6" s="91" customFormat="1" hidden="1" customHeight="1" spans="1:42">
      <c r="A6" s="91">
        <v>3</v>
      </c>
      <c r="B6" s="100">
        <v>1</v>
      </c>
      <c r="C6" s="91"/>
      <c r="D6" s="91"/>
      <c r="E6" s="91"/>
      <c r="F6" s="91"/>
      <c r="G6" s="91" t="s">
        <v>1647</v>
      </c>
      <c r="H6" s="91"/>
      <c r="I6" s="100" t="s">
        <v>5178</v>
      </c>
      <c r="J6" s="110">
        <v>104.3</v>
      </c>
      <c r="K6" s="91">
        <v>104.3</v>
      </c>
      <c r="L6" s="91">
        <v>17500</v>
      </c>
      <c r="M6" s="91">
        <v>1825250</v>
      </c>
      <c r="N6" s="111">
        <v>17522.49</v>
      </c>
      <c r="O6" s="91"/>
      <c r="P6" s="91"/>
      <c r="Q6" s="91"/>
      <c r="R6" s="91">
        <f>50000</f>
        <v>50000</v>
      </c>
      <c r="S6" s="91" t="s">
        <v>605</v>
      </c>
      <c r="T6" s="91"/>
      <c r="U6" s="91" t="s">
        <v>502</v>
      </c>
      <c r="V6" s="91">
        <v>50000</v>
      </c>
      <c r="W6" s="91" t="s">
        <v>605</v>
      </c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>
        <f t="shared" si="0"/>
        <v>50000</v>
      </c>
      <c r="AK6" s="91">
        <f>M6-AH6</f>
        <v>1775250</v>
      </c>
      <c r="AM6" s="91" t="s">
        <v>607</v>
      </c>
      <c r="AO6" s="91">
        <f t="shared" si="1"/>
        <v>0</v>
      </c>
      <c r="AP6" s="128">
        <f>1%+0.25%+0.03%</f>
        <v>0.0128</v>
      </c>
    </row>
    <row r="7" hidden="1" customHeight="1" spans="1:42">
      <c r="A7" s="94">
        <v>4</v>
      </c>
      <c r="G7" s="94" t="s">
        <v>5179</v>
      </c>
      <c r="I7" s="89" t="s">
        <v>5180</v>
      </c>
      <c r="J7" s="112">
        <v>48.88</v>
      </c>
      <c r="N7" s="113">
        <v>18091.25</v>
      </c>
      <c r="U7" s="94" t="s">
        <v>594</v>
      </c>
      <c r="V7" s="94">
        <f>5000-5000</f>
        <v>0</v>
      </c>
      <c r="W7" s="94" t="s">
        <v>313</v>
      </c>
      <c r="AH7" s="94">
        <f t="shared" si="0"/>
        <v>0</v>
      </c>
      <c r="AO7" s="91">
        <f t="shared" si="1"/>
        <v>0</v>
      </c>
      <c r="AP7" s="94"/>
    </row>
    <row r="8" hidden="1" customHeight="1" spans="1:42">
      <c r="A8" s="94">
        <v>5</v>
      </c>
      <c r="I8" s="89" t="s">
        <v>5181</v>
      </c>
      <c r="J8" s="112">
        <v>49.18</v>
      </c>
      <c r="N8" s="113">
        <v>17996.53</v>
      </c>
      <c r="AH8" s="94">
        <f t="shared" si="0"/>
        <v>0</v>
      </c>
      <c r="AO8" s="91">
        <f t="shared" si="1"/>
        <v>0</v>
      </c>
      <c r="AP8" s="94"/>
    </row>
    <row r="9" hidden="1" customHeight="1" spans="1:42">
      <c r="A9" s="94">
        <v>6</v>
      </c>
      <c r="G9" s="94" t="s">
        <v>5182</v>
      </c>
      <c r="I9" s="89" t="s">
        <v>5183</v>
      </c>
      <c r="J9" s="112">
        <v>50.43</v>
      </c>
      <c r="N9" s="113">
        <v>17899.57</v>
      </c>
      <c r="T9" s="848" t="s">
        <v>5184</v>
      </c>
      <c r="V9" s="94">
        <f>2000-2000</f>
        <v>0</v>
      </c>
      <c r="W9" s="94" t="s">
        <v>5185</v>
      </c>
      <c r="AH9" s="94">
        <f t="shared" si="0"/>
        <v>0</v>
      </c>
      <c r="AO9" s="91">
        <f t="shared" si="1"/>
        <v>0</v>
      </c>
      <c r="AP9" s="94"/>
    </row>
    <row r="10" s="91" customFormat="1" hidden="1" customHeight="1" spans="1:42">
      <c r="A10" s="91">
        <v>7</v>
      </c>
      <c r="B10" s="100"/>
      <c r="C10" s="91"/>
      <c r="D10" s="91"/>
      <c r="E10" s="91"/>
      <c r="F10" s="91"/>
      <c r="G10" s="91" t="s">
        <v>5186</v>
      </c>
      <c r="H10" s="91"/>
      <c r="I10" s="100" t="s">
        <v>5187</v>
      </c>
      <c r="J10" s="110">
        <v>60.3</v>
      </c>
      <c r="K10" s="91">
        <v>60.3</v>
      </c>
      <c r="L10" s="91">
        <v>18000</v>
      </c>
      <c r="M10" s="91">
        <v>1085400</v>
      </c>
      <c r="N10" s="111">
        <v>17805.78</v>
      </c>
      <c r="O10" s="91"/>
      <c r="P10" s="91"/>
      <c r="Q10" s="91"/>
      <c r="R10" s="91">
        <v>95000</v>
      </c>
      <c r="S10" s="91" t="s">
        <v>3253</v>
      </c>
      <c r="T10" s="847" t="s">
        <v>3147</v>
      </c>
      <c r="U10" s="91" t="s">
        <v>515</v>
      </c>
      <c r="V10" s="91">
        <v>5000</v>
      </c>
      <c r="W10" s="91" t="s">
        <v>213</v>
      </c>
      <c r="X10" s="91">
        <v>95000</v>
      </c>
      <c r="Y10" s="91" t="s">
        <v>3253</v>
      </c>
      <c r="Z10" s="91"/>
      <c r="AA10" s="91"/>
      <c r="AB10" s="91"/>
      <c r="AC10" s="91"/>
      <c r="AD10" s="91"/>
      <c r="AE10" s="91"/>
      <c r="AF10" s="91"/>
      <c r="AG10" s="91"/>
      <c r="AH10" s="91">
        <f t="shared" si="0"/>
        <v>100000</v>
      </c>
      <c r="AK10" s="91">
        <f>M10-AH10</f>
        <v>985400</v>
      </c>
      <c r="AO10" s="91">
        <f t="shared" si="1"/>
        <v>0</v>
      </c>
      <c r="AP10" s="128">
        <f>1%+0.18%+0.25%+0.03%</f>
        <v>0.0146</v>
      </c>
    </row>
    <row r="11" hidden="1" customHeight="1" spans="1:42">
      <c r="A11" s="94">
        <v>8</v>
      </c>
      <c r="I11" s="89" t="s">
        <v>5188</v>
      </c>
      <c r="J11" s="112">
        <v>51.52</v>
      </c>
      <c r="N11" s="113">
        <v>17712.37</v>
      </c>
      <c r="AH11" s="94">
        <f t="shared" si="0"/>
        <v>0</v>
      </c>
      <c r="AO11" s="91">
        <f t="shared" si="1"/>
        <v>0</v>
      </c>
      <c r="AP11" s="94"/>
    </row>
    <row r="12" hidden="1" customHeight="1" spans="1:42">
      <c r="A12" s="94">
        <v>9</v>
      </c>
      <c r="I12" s="89" t="s">
        <v>5189</v>
      </c>
      <c r="J12" s="112">
        <v>51.52</v>
      </c>
      <c r="N12" s="113">
        <v>17617.66</v>
      </c>
      <c r="AH12" s="94">
        <f t="shared" si="0"/>
        <v>0</v>
      </c>
      <c r="AO12" s="91">
        <f t="shared" si="1"/>
        <v>0</v>
      </c>
      <c r="AP12" s="94"/>
    </row>
    <row r="13" hidden="1" customHeight="1" spans="1:42">
      <c r="A13" s="94">
        <v>10</v>
      </c>
      <c r="I13" s="89" t="s">
        <v>5190</v>
      </c>
      <c r="J13" s="112">
        <v>64.14</v>
      </c>
      <c r="N13" s="113">
        <v>17200</v>
      </c>
      <c r="AH13" s="94">
        <f t="shared" si="0"/>
        <v>0</v>
      </c>
      <c r="AO13" s="91">
        <f t="shared" si="1"/>
        <v>0</v>
      </c>
      <c r="AP13" s="94"/>
    </row>
    <row r="14" hidden="1" customHeight="1" spans="8:42">
      <c r="H14" s="94" t="s">
        <v>5191</v>
      </c>
      <c r="I14" s="89" t="s">
        <v>5192</v>
      </c>
      <c r="J14" s="112">
        <v>92.29</v>
      </c>
      <c r="N14" s="113"/>
      <c r="AO14" s="91">
        <f t="shared" si="1"/>
        <v>0</v>
      </c>
      <c r="AP14" s="94"/>
    </row>
    <row r="15" hidden="1" customHeight="1" spans="1:42">
      <c r="A15" s="94">
        <v>11</v>
      </c>
      <c r="I15" s="89" t="s">
        <v>5193</v>
      </c>
      <c r="J15" s="112">
        <v>64.81</v>
      </c>
      <c r="N15" s="113">
        <v>17520.94</v>
      </c>
      <c r="AH15" s="94">
        <f t="shared" ref="AH15:AH36" si="2">V15+X15+Z15+AB15+AD15+AF15</f>
        <v>0</v>
      </c>
      <c r="AO15" s="91">
        <f t="shared" si="1"/>
        <v>0</v>
      </c>
      <c r="AP15" s="94"/>
    </row>
    <row r="16" hidden="1" customHeight="1" spans="1:42">
      <c r="A16" s="94">
        <v>12</v>
      </c>
      <c r="I16" s="89" t="s">
        <v>5194</v>
      </c>
      <c r="J16" s="112">
        <v>64.9</v>
      </c>
      <c r="N16" s="113">
        <v>17615.65</v>
      </c>
      <c r="AH16" s="94">
        <f t="shared" si="2"/>
        <v>0</v>
      </c>
      <c r="AO16" s="91">
        <f t="shared" si="1"/>
        <v>0</v>
      </c>
      <c r="AP16" s="94"/>
    </row>
    <row r="17" hidden="1" customHeight="1" spans="1:42">
      <c r="A17" s="94">
        <v>13</v>
      </c>
      <c r="I17" s="89" t="s">
        <v>5195</v>
      </c>
      <c r="J17" s="112">
        <v>64.9</v>
      </c>
      <c r="N17" s="113">
        <v>17710.35</v>
      </c>
      <c r="AH17" s="94">
        <f t="shared" si="2"/>
        <v>0</v>
      </c>
      <c r="AO17" s="91">
        <f t="shared" si="1"/>
        <v>0</v>
      </c>
      <c r="AP17" s="94"/>
    </row>
    <row r="18" hidden="1" customHeight="1" spans="1:42">
      <c r="A18" s="94">
        <v>14</v>
      </c>
      <c r="I18" s="89" t="s">
        <v>5196</v>
      </c>
      <c r="J18" s="112">
        <v>64.9</v>
      </c>
      <c r="N18" s="113">
        <v>17805.06</v>
      </c>
      <c r="AH18" s="94">
        <f t="shared" si="2"/>
        <v>0</v>
      </c>
      <c r="AO18" s="91">
        <f t="shared" si="1"/>
        <v>0</v>
      </c>
      <c r="AP18" s="94"/>
    </row>
    <row r="19" s="91" customFormat="1" ht="37" customHeight="1" spans="1:49">
      <c r="A19" s="91">
        <v>15</v>
      </c>
      <c r="B19" s="100">
        <v>1</v>
      </c>
      <c r="C19" s="91" t="s">
        <v>386</v>
      </c>
      <c r="D19" s="91">
        <v>20240007524</v>
      </c>
      <c r="E19" s="91"/>
      <c r="F19" s="91"/>
      <c r="G19" s="101" t="s">
        <v>417</v>
      </c>
      <c r="H19" s="91"/>
      <c r="I19" s="100" t="s">
        <v>5197</v>
      </c>
      <c r="J19" s="110">
        <v>90.35</v>
      </c>
      <c r="K19" s="91">
        <v>90.35</v>
      </c>
      <c r="L19" s="91">
        <v>17500</v>
      </c>
      <c r="M19" s="91">
        <v>1581125</v>
      </c>
      <c r="N19" s="111">
        <v>17332.8</v>
      </c>
      <c r="O19" s="91"/>
      <c r="P19" s="91"/>
      <c r="Q19" s="91"/>
      <c r="R19" s="91">
        <f>701125+100000</f>
        <v>801125</v>
      </c>
      <c r="S19" s="91" t="s">
        <v>623</v>
      </c>
      <c r="T19" s="91"/>
      <c r="U19" s="101" t="s">
        <v>721</v>
      </c>
      <c r="V19" s="91">
        <v>100000</v>
      </c>
      <c r="W19" s="91" t="s">
        <v>623</v>
      </c>
      <c r="X19" s="91">
        <v>701125</v>
      </c>
      <c r="Y19" s="91" t="s">
        <v>386</v>
      </c>
      <c r="Z19" s="91"/>
      <c r="AA19" s="91"/>
      <c r="AB19" s="91"/>
      <c r="AC19" s="91"/>
      <c r="AD19" s="91"/>
      <c r="AE19" s="91"/>
      <c r="AF19" s="91"/>
      <c r="AG19" s="91"/>
      <c r="AH19" s="91">
        <f t="shared" si="2"/>
        <v>801125</v>
      </c>
      <c r="AK19" s="91">
        <f>M19-AH19</f>
        <v>780000</v>
      </c>
      <c r="AM19" s="91" t="s">
        <v>607</v>
      </c>
      <c r="AO19" s="91">
        <f t="shared" si="1"/>
        <v>801125</v>
      </c>
      <c r="AP19" s="128">
        <f>1%+0.18%+0.25%+0.03%</f>
        <v>0.0146</v>
      </c>
      <c r="AQ19" s="91">
        <v>801125</v>
      </c>
      <c r="AU19" s="91">
        <f>AQ19*AP19</f>
        <v>11696.425</v>
      </c>
      <c r="AW19" s="91" t="s">
        <v>496</v>
      </c>
    </row>
    <row r="20" s="91" customFormat="1" ht="28" hidden="1" customHeight="1" spans="1:42">
      <c r="A20" s="91">
        <v>16</v>
      </c>
      <c r="B20" s="100"/>
      <c r="C20" s="91"/>
      <c r="D20" s="91"/>
      <c r="E20" s="91"/>
      <c r="F20" s="91"/>
      <c r="G20" s="101" t="s">
        <v>5198</v>
      </c>
      <c r="H20" s="91"/>
      <c r="I20" s="100" t="s">
        <v>5199</v>
      </c>
      <c r="J20" s="110">
        <v>92.11</v>
      </c>
      <c r="K20" s="91">
        <v>92.11</v>
      </c>
      <c r="L20" s="91">
        <v>21713.17</v>
      </c>
      <c r="M20" s="91">
        <v>2000000</v>
      </c>
      <c r="N20" s="111">
        <v>21750.92</v>
      </c>
      <c r="O20" s="91" t="s">
        <v>593</v>
      </c>
      <c r="P20" s="91"/>
      <c r="Q20" s="91"/>
      <c r="R20" s="91">
        <f>75000+20000+250000</f>
        <v>345000</v>
      </c>
      <c r="S20" s="91" t="s">
        <v>3253</v>
      </c>
      <c r="T20" s="847" t="s">
        <v>2185</v>
      </c>
      <c r="U20" s="101" t="s">
        <v>5200</v>
      </c>
      <c r="V20" s="91">
        <f>5000-5000</f>
        <v>0</v>
      </c>
      <c r="W20" s="91" t="s">
        <v>2715</v>
      </c>
      <c r="X20" s="91">
        <f>5000+20000</f>
        <v>25000</v>
      </c>
      <c r="Y20" s="91" t="s">
        <v>3253</v>
      </c>
      <c r="Z20" s="91">
        <v>75000</v>
      </c>
      <c r="AA20" s="91" t="s">
        <v>623</v>
      </c>
      <c r="AB20" s="91">
        <v>250000</v>
      </c>
      <c r="AC20" s="91" t="s">
        <v>177</v>
      </c>
      <c r="AD20" s="91"/>
      <c r="AE20" s="91"/>
      <c r="AF20" s="91"/>
      <c r="AG20" s="91"/>
      <c r="AH20" s="91">
        <f t="shared" si="2"/>
        <v>350000</v>
      </c>
      <c r="AK20" s="91">
        <f>M20-AH20</f>
        <v>1650000</v>
      </c>
      <c r="AL20" s="91">
        <v>15899047359</v>
      </c>
      <c r="AM20" s="91"/>
      <c r="AN20" s="91"/>
      <c r="AO20" s="91">
        <f t="shared" si="1"/>
        <v>0</v>
      </c>
      <c r="AP20" s="128">
        <f>1%+0.18%+0.25%+0.03%</f>
        <v>0.0146</v>
      </c>
    </row>
    <row r="21" s="91" customFormat="1" ht="24" hidden="1" customHeight="1" spans="1:42">
      <c r="A21" s="91">
        <v>17</v>
      </c>
      <c r="B21" s="100"/>
      <c r="C21" s="91"/>
      <c r="D21" s="91"/>
      <c r="E21" s="91"/>
      <c r="F21" s="91"/>
      <c r="G21" s="101" t="s">
        <v>5201</v>
      </c>
      <c r="H21" s="91"/>
      <c r="I21" s="100" t="s">
        <v>5202</v>
      </c>
      <c r="J21" s="110">
        <v>65.45</v>
      </c>
      <c r="K21" s="91">
        <v>65.45</v>
      </c>
      <c r="L21" s="91">
        <v>25974.03</v>
      </c>
      <c r="M21" s="91">
        <v>1700000</v>
      </c>
      <c r="N21" s="111">
        <v>26000.14</v>
      </c>
      <c r="O21" s="91" t="s">
        <v>593</v>
      </c>
      <c r="P21" s="91"/>
      <c r="Q21" s="91"/>
      <c r="R21" s="91">
        <f>70000+30000+750000</f>
        <v>850000</v>
      </c>
      <c r="S21" s="91" t="s">
        <v>3253</v>
      </c>
      <c r="T21" s="847" t="s">
        <v>4138</v>
      </c>
      <c r="U21" s="101" t="s">
        <v>3377</v>
      </c>
      <c r="V21" s="91">
        <f>5000-5000</f>
        <v>0</v>
      </c>
      <c r="W21" s="91" t="s">
        <v>88</v>
      </c>
      <c r="X21" s="91">
        <v>30000</v>
      </c>
      <c r="Y21" s="91" t="s">
        <v>3253</v>
      </c>
      <c r="Z21" s="91">
        <v>70000</v>
      </c>
      <c r="AA21" s="91" t="s">
        <v>623</v>
      </c>
      <c r="AB21" s="91">
        <v>750000</v>
      </c>
      <c r="AC21" s="91" t="s">
        <v>177</v>
      </c>
      <c r="AD21" s="91"/>
      <c r="AE21" s="91"/>
      <c r="AF21" s="91"/>
      <c r="AG21" s="91"/>
      <c r="AH21" s="91">
        <f t="shared" si="2"/>
        <v>850000</v>
      </c>
      <c r="AK21" s="91">
        <f>M21-AH21</f>
        <v>850000</v>
      </c>
      <c r="AL21" s="91">
        <v>15899047359</v>
      </c>
      <c r="AM21" s="91"/>
      <c r="AN21" s="91"/>
      <c r="AO21" s="91">
        <f t="shared" si="1"/>
        <v>0</v>
      </c>
      <c r="AP21" s="128">
        <f>1%+0.18%+0.25%+0.03%</f>
        <v>0.0146</v>
      </c>
    </row>
    <row r="22" hidden="1" customHeight="1" spans="1:42">
      <c r="A22" s="94">
        <v>18</v>
      </c>
      <c r="I22" s="89" t="s">
        <v>5203</v>
      </c>
      <c r="J22" s="112">
        <v>108.27</v>
      </c>
      <c r="N22" s="113">
        <v>8233.79</v>
      </c>
      <c r="AH22" s="94">
        <f t="shared" si="2"/>
        <v>0</v>
      </c>
      <c r="AO22" s="91">
        <f t="shared" si="1"/>
        <v>0</v>
      </c>
      <c r="AP22" s="94"/>
    </row>
    <row r="23" hidden="1" customHeight="1" spans="1:42">
      <c r="A23" s="94">
        <v>19</v>
      </c>
      <c r="I23" s="89" t="s">
        <v>5204</v>
      </c>
      <c r="J23" s="112">
        <v>67.9</v>
      </c>
      <c r="N23" s="113">
        <v>8079.71</v>
      </c>
      <c r="AH23" s="94">
        <f t="shared" si="2"/>
        <v>0</v>
      </c>
      <c r="AO23" s="91">
        <f t="shared" si="1"/>
        <v>0</v>
      </c>
      <c r="AP23" s="94"/>
    </row>
    <row r="24" hidden="1" customHeight="1" spans="1:42">
      <c r="A24" s="94">
        <v>20</v>
      </c>
      <c r="I24" s="89" t="s">
        <v>5205</v>
      </c>
      <c r="J24" s="112">
        <v>131.15</v>
      </c>
      <c r="N24" s="113">
        <v>7695</v>
      </c>
      <c r="AH24" s="94">
        <f t="shared" si="2"/>
        <v>0</v>
      </c>
      <c r="AO24" s="91">
        <f t="shared" si="1"/>
        <v>0</v>
      </c>
      <c r="AP24" s="94"/>
    </row>
    <row r="25" hidden="1" customHeight="1" spans="1:42">
      <c r="A25" s="94">
        <v>21</v>
      </c>
      <c r="I25" s="89" t="s">
        <v>5206</v>
      </c>
      <c r="J25" s="112">
        <v>61.45</v>
      </c>
      <c r="N25" s="113">
        <v>7925.81</v>
      </c>
      <c r="AH25" s="94">
        <f t="shared" si="2"/>
        <v>0</v>
      </c>
      <c r="AO25" s="91">
        <f t="shared" si="1"/>
        <v>0</v>
      </c>
      <c r="AP25" s="94"/>
    </row>
    <row r="26" hidden="1" customHeight="1" spans="1:42">
      <c r="A26" s="94">
        <v>22</v>
      </c>
      <c r="I26" s="89" t="s">
        <v>5207</v>
      </c>
      <c r="J26" s="112">
        <v>61.84</v>
      </c>
      <c r="N26" s="113">
        <v>7848.86</v>
      </c>
      <c r="AH26" s="94">
        <f t="shared" si="2"/>
        <v>0</v>
      </c>
      <c r="AO26" s="91">
        <f t="shared" si="1"/>
        <v>0</v>
      </c>
      <c r="AP26" s="94"/>
    </row>
    <row r="27" hidden="1" customHeight="1" spans="1:42">
      <c r="A27" s="94">
        <v>23</v>
      </c>
      <c r="I27" s="89" t="s">
        <v>5208</v>
      </c>
      <c r="J27" s="112">
        <v>64.99</v>
      </c>
      <c r="N27" s="113">
        <v>7771.91</v>
      </c>
      <c r="AH27" s="94">
        <f t="shared" si="2"/>
        <v>0</v>
      </c>
      <c r="AO27" s="91">
        <f t="shared" si="1"/>
        <v>0</v>
      </c>
      <c r="AP27" s="94"/>
    </row>
    <row r="28" hidden="1" customHeight="1" spans="1:42">
      <c r="A28" s="94">
        <v>24</v>
      </c>
      <c r="I28" s="89" t="s">
        <v>5209</v>
      </c>
      <c r="J28" s="112">
        <v>75.9</v>
      </c>
      <c r="N28" s="113">
        <v>7695.3</v>
      </c>
      <c r="AH28" s="94">
        <f t="shared" si="2"/>
        <v>0</v>
      </c>
      <c r="AO28" s="91">
        <f t="shared" si="1"/>
        <v>0</v>
      </c>
      <c r="AP28" s="94"/>
    </row>
    <row r="29" hidden="1" customHeight="1" spans="1:42">
      <c r="A29" s="94">
        <v>25</v>
      </c>
      <c r="I29" s="89" t="s">
        <v>5210</v>
      </c>
      <c r="J29" s="112">
        <v>77.46</v>
      </c>
      <c r="N29" s="113">
        <v>7618.39</v>
      </c>
      <c r="AH29" s="94">
        <f t="shared" si="2"/>
        <v>0</v>
      </c>
      <c r="AO29" s="91">
        <f t="shared" si="1"/>
        <v>0</v>
      </c>
      <c r="AP29" s="94"/>
    </row>
    <row r="30" hidden="1" customHeight="1" spans="1:42">
      <c r="A30" s="94">
        <v>26</v>
      </c>
      <c r="I30" s="89" t="s">
        <v>5211</v>
      </c>
      <c r="J30" s="112">
        <v>64.78</v>
      </c>
      <c r="N30" s="113">
        <v>7541.06</v>
      </c>
      <c r="AH30" s="94">
        <f t="shared" si="2"/>
        <v>0</v>
      </c>
      <c r="AO30" s="91">
        <f t="shared" si="1"/>
        <v>0</v>
      </c>
      <c r="AP30" s="94"/>
    </row>
    <row r="31" hidden="1" customHeight="1" spans="1:42">
      <c r="A31" s="94">
        <v>27</v>
      </c>
      <c r="I31" s="89" t="s">
        <v>5212</v>
      </c>
      <c r="J31" s="112">
        <v>64.78</v>
      </c>
      <c r="N31" s="113">
        <v>7541.06</v>
      </c>
      <c r="AH31" s="94">
        <f t="shared" si="2"/>
        <v>0</v>
      </c>
      <c r="AO31" s="91">
        <f t="shared" si="1"/>
        <v>0</v>
      </c>
      <c r="AP31" s="94"/>
    </row>
    <row r="32" hidden="1" customHeight="1" spans="1:42">
      <c r="A32" s="94">
        <v>28</v>
      </c>
      <c r="I32" s="89" t="s">
        <v>5213</v>
      </c>
      <c r="J32" s="112">
        <v>80.63</v>
      </c>
      <c r="N32" s="113">
        <v>7310.09</v>
      </c>
      <c r="AH32" s="94">
        <f t="shared" si="2"/>
        <v>0</v>
      </c>
      <c r="AO32" s="91">
        <f t="shared" si="1"/>
        <v>0</v>
      </c>
      <c r="AP32" s="94"/>
    </row>
    <row r="33" hidden="1" customHeight="1" spans="1:42">
      <c r="A33" s="94">
        <v>29</v>
      </c>
      <c r="I33" s="89" t="s">
        <v>5214</v>
      </c>
      <c r="J33" s="112">
        <v>212.72</v>
      </c>
      <c r="N33" s="113">
        <v>7000</v>
      </c>
      <c r="AH33" s="94">
        <f t="shared" si="2"/>
        <v>0</v>
      </c>
      <c r="AO33" s="91">
        <f t="shared" si="1"/>
        <v>0</v>
      </c>
      <c r="AP33" s="94"/>
    </row>
    <row r="34" hidden="1" customHeight="1" spans="1:42">
      <c r="A34" s="94">
        <v>30</v>
      </c>
      <c r="I34" s="89" t="s">
        <v>5215</v>
      </c>
      <c r="J34" s="112">
        <v>81.6</v>
      </c>
      <c r="N34" s="113">
        <v>7695.38</v>
      </c>
      <c r="AH34" s="94">
        <f t="shared" si="2"/>
        <v>0</v>
      </c>
      <c r="AO34" s="91">
        <f t="shared" si="1"/>
        <v>0</v>
      </c>
      <c r="AP34" s="94"/>
    </row>
    <row r="35" hidden="1" customHeight="1" spans="1:42">
      <c r="A35" s="94">
        <v>31</v>
      </c>
      <c r="I35" s="89" t="s">
        <v>5216</v>
      </c>
      <c r="J35" s="112">
        <v>81.6</v>
      </c>
      <c r="N35" s="113">
        <v>7772.33</v>
      </c>
      <c r="AH35" s="94">
        <f t="shared" si="2"/>
        <v>0</v>
      </c>
      <c r="AO35" s="91">
        <f t="shared" si="1"/>
        <v>0</v>
      </c>
      <c r="AP35" s="94"/>
    </row>
    <row r="36" hidden="1" customHeight="1" spans="1:42">
      <c r="A36" s="94">
        <v>32</v>
      </c>
      <c r="I36" s="89" t="s">
        <v>5217</v>
      </c>
      <c r="J36" s="112">
        <v>81.6</v>
      </c>
      <c r="N36" s="113">
        <v>7849.28</v>
      </c>
      <c r="AH36" s="94">
        <f t="shared" si="2"/>
        <v>0</v>
      </c>
      <c r="AO36" s="91">
        <f t="shared" si="1"/>
        <v>0</v>
      </c>
      <c r="AP36" s="94"/>
    </row>
    <row r="37" hidden="1" customHeight="1" spans="1:42">
      <c r="A37" s="94">
        <v>33</v>
      </c>
      <c r="I37" s="89" t="s">
        <v>5218</v>
      </c>
      <c r="J37" s="112">
        <v>113.6</v>
      </c>
      <c r="N37" s="113">
        <v>7926.06</v>
      </c>
      <c r="AH37" s="94">
        <f t="shared" ref="AH37:AH64" si="3">V37+X37+Z37+AB37+AD37+AF37</f>
        <v>0</v>
      </c>
      <c r="AO37" s="91">
        <f t="shared" ref="AO37:AO63" si="4">SUM(AQ37:AT37)</f>
        <v>0</v>
      </c>
      <c r="AP37" s="94"/>
    </row>
    <row r="38" s="91" customFormat="1" hidden="1" customHeight="1" spans="1:42">
      <c r="A38" s="91">
        <v>34</v>
      </c>
      <c r="B38" s="100">
        <v>1</v>
      </c>
      <c r="C38" s="91"/>
      <c r="D38" s="91"/>
      <c r="E38" s="91"/>
      <c r="F38" s="91"/>
      <c r="G38" s="91" t="s">
        <v>4429</v>
      </c>
      <c r="H38" s="91"/>
      <c r="I38" s="100" t="s">
        <v>5219</v>
      </c>
      <c r="J38" s="110">
        <v>115.82</v>
      </c>
      <c r="K38" s="91">
        <v>115.82</v>
      </c>
      <c r="L38" s="91">
        <v>7900</v>
      </c>
      <c r="M38" s="91">
        <v>914978</v>
      </c>
      <c r="N38" s="111">
        <v>7764.33</v>
      </c>
      <c r="O38" s="91"/>
      <c r="P38" s="91"/>
      <c r="Q38" s="91"/>
      <c r="R38" s="91">
        <f>364978+100000</f>
        <v>464978</v>
      </c>
      <c r="S38" s="91" t="s">
        <v>623</v>
      </c>
      <c r="T38" s="91"/>
      <c r="U38" s="91" t="s">
        <v>721</v>
      </c>
      <c r="V38" s="91">
        <v>100000</v>
      </c>
      <c r="W38" s="91" t="s">
        <v>623</v>
      </c>
      <c r="X38" s="91">
        <v>364978</v>
      </c>
      <c r="Y38" s="91" t="s">
        <v>3299</v>
      </c>
      <c r="Z38" s="91"/>
      <c r="AA38" s="91"/>
      <c r="AB38" s="91"/>
      <c r="AC38" s="91"/>
      <c r="AD38" s="91"/>
      <c r="AE38" s="91"/>
      <c r="AF38" s="91"/>
      <c r="AG38" s="91"/>
      <c r="AH38" s="91">
        <f t="shared" si="3"/>
        <v>464978</v>
      </c>
      <c r="AK38" s="91">
        <f>M38-AH38</f>
        <v>450000</v>
      </c>
      <c r="AM38" s="91" t="s">
        <v>607</v>
      </c>
      <c r="AO38" s="91">
        <f t="shared" si="4"/>
        <v>0</v>
      </c>
      <c r="AP38" s="128">
        <f>1%+0.18%+0.25%+0.03%</f>
        <v>0.0146</v>
      </c>
    </row>
    <row r="39" s="91" customFormat="1" hidden="1" customHeight="1" spans="1:42">
      <c r="A39" s="91">
        <v>35</v>
      </c>
      <c r="B39" s="100">
        <v>1</v>
      </c>
      <c r="C39" s="91"/>
      <c r="D39" s="91"/>
      <c r="E39" s="91"/>
      <c r="F39" s="91"/>
      <c r="G39" s="91" t="s">
        <v>5220</v>
      </c>
      <c r="H39" s="91"/>
      <c r="I39" s="100" t="s">
        <v>5221</v>
      </c>
      <c r="J39" s="110">
        <v>82.3</v>
      </c>
      <c r="K39" s="91">
        <v>82.3</v>
      </c>
      <c r="L39" s="91">
        <v>8500</v>
      </c>
      <c r="M39" s="91">
        <v>699550</v>
      </c>
      <c r="N39" s="111">
        <v>8333.91</v>
      </c>
      <c r="O39" s="91"/>
      <c r="P39" s="91"/>
      <c r="Q39" s="91"/>
      <c r="R39" s="91">
        <f>200000+50000+149550</f>
        <v>399550</v>
      </c>
      <c r="S39" s="91" t="s">
        <v>623</v>
      </c>
      <c r="T39" s="91"/>
      <c r="U39" s="91" t="s">
        <v>502</v>
      </c>
      <c r="V39" s="91">
        <v>50000</v>
      </c>
      <c r="W39" s="91" t="s">
        <v>623</v>
      </c>
      <c r="X39" s="91">
        <v>200000</v>
      </c>
      <c r="Y39" s="91" t="s">
        <v>3299</v>
      </c>
      <c r="Z39" s="91">
        <v>149550</v>
      </c>
      <c r="AA39" s="91" t="s">
        <v>5222</v>
      </c>
      <c r="AB39" s="91"/>
      <c r="AC39" s="91"/>
      <c r="AD39" s="91"/>
      <c r="AE39" s="91"/>
      <c r="AF39" s="91"/>
      <c r="AG39" s="91"/>
      <c r="AH39" s="91">
        <f t="shared" si="3"/>
        <v>399550</v>
      </c>
      <c r="AK39" s="91">
        <f t="shared" ref="AK39:AK63" si="5">M39-AH39</f>
        <v>300000</v>
      </c>
      <c r="AM39" s="91" t="s">
        <v>607</v>
      </c>
      <c r="AO39" s="91">
        <f t="shared" si="4"/>
        <v>0</v>
      </c>
      <c r="AP39" s="128">
        <f>1%+0.25%+0.03%</f>
        <v>0.0128</v>
      </c>
    </row>
    <row r="40" hidden="1" customHeight="1" spans="8:42">
      <c r="H40" s="94" t="s">
        <v>5223</v>
      </c>
      <c r="I40" s="89" t="s">
        <v>5224</v>
      </c>
      <c r="J40" s="112">
        <v>1005.66</v>
      </c>
      <c r="AH40" s="94">
        <f t="shared" si="3"/>
        <v>0</v>
      </c>
      <c r="AO40" s="91">
        <f t="shared" si="4"/>
        <v>0</v>
      </c>
      <c r="AP40" s="94"/>
    </row>
    <row r="41" s="91" customFormat="1" ht="32" hidden="1" customHeight="1" spans="1:42">
      <c r="A41" s="91">
        <v>36</v>
      </c>
      <c r="B41" s="100"/>
      <c r="C41" s="91"/>
      <c r="D41" s="91"/>
      <c r="E41" s="91"/>
      <c r="F41" s="91"/>
      <c r="G41" s="102" t="s">
        <v>5225</v>
      </c>
      <c r="H41" s="91"/>
      <c r="I41" s="100" t="s">
        <v>5226</v>
      </c>
      <c r="J41" s="114">
        <v>45.74</v>
      </c>
      <c r="K41" s="114">
        <v>45.74</v>
      </c>
      <c r="L41" s="91">
        <v>33000</v>
      </c>
      <c r="M41" s="91">
        <v>1509420</v>
      </c>
      <c r="N41" s="115">
        <v>33000</v>
      </c>
      <c r="O41" s="91"/>
      <c r="P41" s="91"/>
      <c r="Q41" s="91"/>
      <c r="R41" s="91"/>
      <c r="S41" s="91"/>
      <c r="T41" s="91"/>
      <c r="U41" s="91" t="s">
        <v>825</v>
      </c>
      <c r="V41" s="121">
        <f>100000-100000</f>
        <v>0</v>
      </c>
      <c r="W41" s="122" t="s">
        <v>5227</v>
      </c>
      <c r="X41" s="121">
        <f>100000+2450000-200000-200000-200000-200000-200000-200000-200000-200000-200000-200000-200000-200000-150000</f>
        <v>0</v>
      </c>
      <c r="Y41" s="122" t="s">
        <v>856</v>
      </c>
      <c r="Z41" s="121">
        <f>550000-200000-200000</f>
        <v>150000</v>
      </c>
      <c r="AA41" s="122" t="s">
        <v>4026</v>
      </c>
      <c r="AB41" s="91"/>
      <c r="AC41" s="91"/>
      <c r="AD41" s="91"/>
      <c r="AE41" s="91"/>
      <c r="AF41" s="91"/>
      <c r="AG41" s="91"/>
      <c r="AH41" s="91">
        <f t="shared" si="3"/>
        <v>150000</v>
      </c>
      <c r="AK41" s="91">
        <f t="shared" si="5"/>
        <v>1359420</v>
      </c>
      <c r="AO41" s="91">
        <f t="shared" si="4"/>
        <v>0</v>
      </c>
      <c r="AP41" s="128">
        <f t="shared" ref="AP41:AP59" si="6">1%+0.18%+0.03%</f>
        <v>0.0121</v>
      </c>
    </row>
    <row r="42" s="91" customFormat="1" hidden="1" customHeight="1" spans="1:42">
      <c r="A42" s="91">
        <v>37</v>
      </c>
      <c r="B42" s="100"/>
      <c r="C42" s="91"/>
      <c r="D42" s="91"/>
      <c r="E42" s="91"/>
      <c r="F42" s="91"/>
      <c r="G42" s="91" t="s">
        <v>419</v>
      </c>
      <c r="H42" s="91"/>
      <c r="I42" s="100" t="s">
        <v>5228</v>
      </c>
      <c r="J42" s="114">
        <v>46.87</v>
      </c>
      <c r="K42" s="114">
        <v>46.87</v>
      </c>
      <c r="L42" s="91">
        <v>26286.42</v>
      </c>
      <c r="M42" s="91">
        <v>1232045</v>
      </c>
      <c r="N42" s="115">
        <v>26286.42</v>
      </c>
      <c r="O42" s="91"/>
      <c r="P42" s="91"/>
      <c r="Q42" s="91"/>
      <c r="R42" s="91"/>
      <c r="S42" s="91"/>
      <c r="T42" s="91"/>
      <c r="U42" s="91" t="s">
        <v>825</v>
      </c>
      <c r="V42" s="91">
        <v>200000</v>
      </c>
      <c r="W42" s="91" t="s">
        <v>856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>
        <f t="shared" si="3"/>
        <v>200000</v>
      </c>
      <c r="AK42" s="91">
        <f t="shared" si="5"/>
        <v>1032045</v>
      </c>
      <c r="AO42" s="91">
        <f t="shared" si="4"/>
        <v>0</v>
      </c>
      <c r="AP42" s="128">
        <f t="shared" si="6"/>
        <v>0.0121</v>
      </c>
    </row>
    <row r="43" s="91" customFormat="1" hidden="1" customHeight="1" spans="1:42">
      <c r="A43" s="91">
        <v>38</v>
      </c>
      <c r="B43" s="100"/>
      <c r="C43" s="91"/>
      <c r="D43" s="91"/>
      <c r="E43" s="91"/>
      <c r="F43" s="91"/>
      <c r="G43" s="91" t="s">
        <v>419</v>
      </c>
      <c r="H43" s="91"/>
      <c r="I43" s="100" t="s">
        <v>5229</v>
      </c>
      <c r="J43" s="114">
        <v>45.23</v>
      </c>
      <c r="K43" s="114">
        <v>45.23</v>
      </c>
      <c r="L43" s="91">
        <v>25512.55</v>
      </c>
      <c r="M43" s="91">
        <v>1153933</v>
      </c>
      <c r="N43" s="115">
        <v>25512.55</v>
      </c>
      <c r="O43" s="91"/>
      <c r="P43" s="91"/>
      <c r="Q43" s="91"/>
      <c r="R43" s="91"/>
      <c r="S43" s="91"/>
      <c r="T43" s="91"/>
      <c r="U43" s="91" t="s">
        <v>825</v>
      </c>
      <c r="V43" s="91">
        <v>200000</v>
      </c>
      <c r="W43" s="91" t="s">
        <v>856</v>
      </c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>
        <f t="shared" si="3"/>
        <v>200000</v>
      </c>
      <c r="AK43" s="91">
        <f t="shared" si="5"/>
        <v>953933</v>
      </c>
      <c r="AO43" s="91">
        <f t="shared" si="4"/>
        <v>0</v>
      </c>
      <c r="AP43" s="128">
        <f t="shared" si="6"/>
        <v>0.0121</v>
      </c>
    </row>
    <row r="44" s="91" customFormat="1" hidden="1" customHeight="1" spans="1:42">
      <c r="A44" s="91">
        <v>39</v>
      </c>
      <c r="B44" s="100"/>
      <c r="C44" s="91"/>
      <c r="D44" s="91"/>
      <c r="E44" s="91"/>
      <c r="F44" s="91"/>
      <c r="G44" s="91" t="s">
        <v>419</v>
      </c>
      <c r="H44" s="91"/>
      <c r="I44" s="100" t="s">
        <v>5230</v>
      </c>
      <c r="J44" s="114">
        <v>45.23</v>
      </c>
      <c r="K44" s="114">
        <v>45.23</v>
      </c>
      <c r="L44" s="91">
        <v>24738.74</v>
      </c>
      <c r="M44" s="91">
        <v>1118934</v>
      </c>
      <c r="N44" s="115">
        <v>24738.74</v>
      </c>
      <c r="O44" s="91"/>
      <c r="P44" s="91"/>
      <c r="Q44" s="91"/>
      <c r="R44" s="91"/>
      <c r="S44" s="91"/>
      <c r="T44" s="91"/>
      <c r="U44" s="91" t="s">
        <v>825</v>
      </c>
      <c r="V44" s="91">
        <v>200000</v>
      </c>
      <c r="W44" s="91" t="s">
        <v>856</v>
      </c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>
        <f t="shared" si="3"/>
        <v>200000</v>
      </c>
      <c r="AK44" s="91">
        <f t="shared" si="5"/>
        <v>918934</v>
      </c>
      <c r="AO44" s="91">
        <f t="shared" si="4"/>
        <v>0</v>
      </c>
      <c r="AP44" s="128">
        <f t="shared" si="6"/>
        <v>0.0121</v>
      </c>
    </row>
    <row r="45" s="91" customFormat="1" hidden="1" customHeight="1" spans="1:42">
      <c r="A45" s="91">
        <v>40</v>
      </c>
      <c r="B45" s="100"/>
      <c r="C45" s="91"/>
      <c r="D45" s="91"/>
      <c r="E45" s="91"/>
      <c r="F45" s="91"/>
      <c r="G45" s="91" t="s">
        <v>419</v>
      </c>
      <c r="H45" s="91"/>
      <c r="I45" s="100" t="s">
        <v>5231</v>
      </c>
      <c r="J45" s="114">
        <v>82.99</v>
      </c>
      <c r="K45" s="114">
        <v>82.99</v>
      </c>
      <c r="L45" s="91">
        <v>24351.83</v>
      </c>
      <c r="M45" s="91">
        <v>2020959</v>
      </c>
      <c r="N45" s="115">
        <v>24351.83</v>
      </c>
      <c r="O45" s="91"/>
      <c r="P45" s="91"/>
      <c r="Q45" s="91"/>
      <c r="R45" s="91"/>
      <c r="S45" s="91"/>
      <c r="T45" s="91"/>
      <c r="U45" s="91" t="s">
        <v>825</v>
      </c>
      <c r="V45" s="91">
        <v>200000</v>
      </c>
      <c r="W45" s="91" t="s">
        <v>856</v>
      </c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>
        <f t="shared" si="3"/>
        <v>200000</v>
      </c>
      <c r="AK45" s="91">
        <f t="shared" si="5"/>
        <v>1820959</v>
      </c>
      <c r="AO45" s="91">
        <f t="shared" si="4"/>
        <v>0</v>
      </c>
      <c r="AP45" s="128">
        <f t="shared" si="6"/>
        <v>0.0121</v>
      </c>
    </row>
    <row r="46" s="91" customFormat="1" hidden="1" customHeight="1" spans="1:42">
      <c r="A46" s="91">
        <v>41</v>
      </c>
      <c r="B46" s="100"/>
      <c r="C46" s="91"/>
      <c r="D46" s="91"/>
      <c r="E46" s="91"/>
      <c r="F46" s="91"/>
      <c r="G46" s="91" t="s">
        <v>419</v>
      </c>
      <c r="H46" s="91"/>
      <c r="I46" s="100" t="s">
        <v>5232</v>
      </c>
      <c r="J46" s="114">
        <v>45.15</v>
      </c>
      <c r="K46" s="114">
        <v>45.15</v>
      </c>
      <c r="L46" s="91">
        <v>24158.38</v>
      </c>
      <c r="M46" s="91">
        <v>1090751</v>
      </c>
      <c r="N46" s="115">
        <v>24158.38</v>
      </c>
      <c r="O46" s="91"/>
      <c r="P46" s="91"/>
      <c r="Q46" s="91"/>
      <c r="R46" s="91"/>
      <c r="S46" s="91"/>
      <c r="T46" s="91"/>
      <c r="U46" s="91" t="s">
        <v>825</v>
      </c>
      <c r="V46" s="91">
        <v>200000</v>
      </c>
      <c r="W46" s="91" t="s">
        <v>856</v>
      </c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>
        <f t="shared" si="3"/>
        <v>200000</v>
      </c>
      <c r="AK46" s="91">
        <f t="shared" si="5"/>
        <v>890751</v>
      </c>
      <c r="AO46" s="91">
        <f t="shared" si="4"/>
        <v>0</v>
      </c>
      <c r="AP46" s="128">
        <f t="shared" si="6"/>
        <v>0.0121</v>
      </c>
    </row>
    <row r="47" s="91" customFormat="1" hidden="1" customHeight="1" spans="1:42">
      <c r="A47" s="91">
        <v>42</v>
      </c>
      <c r="B47" s="100"/>
      <c r="C47" s="91"/>
      <c r="D47" s="91"/>
      <c r="E47" s="91"/>
      <c r="F47" s="91"/>
      <c r="G47" s="91" t="s">
        <v>419</v>
      </c>
      <c r="H47" s="91"/>
      <c r="I47" s="100" t="s">
        <v>5233</v>
      </c>
      <c r="J47" s="114">
        <v>45.23</v>
      </c>
      <c r="K47" s="114">
        <v>45.23</v>
      </c>
      <c r="L47" s="91">
        <v>23964.93</v>
      </c>
      <c r="M47" s="91">
        <v>1083934</v>
      </c>
      <c r="N47" s="115">
        <v>23964.93</v>
      </c>
      <c r="O47" s="91"/>
      <c r="P47" s="91"/>
      <c r="Q47" s="91"/>
      <c r="R47" s="91"/>
      <c r="S47" s="91"/>
      <c r="T47" s="91"/>
      <c r="U47" s="91" t="s">
        <v>825</v>
      </c>
      <c r="V47" s="91">
        <v>200000</v>
      </c>
      <c r="W47" s="91" t="s">
        <v>856</v>
      </c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>
        <f t="shared" si="3"/>
        <v>200000</v>
      </c>
      <c r="AK47" s="91">
        <f t="shared" si="5"/>
        <v>883934</v>
      </c>
      <c r="AO47" s="91">
        <f t="shared" si="4"/>
        <v>0</v>
      </c>
      <c r="AP47" s="128">
        <f t="shared" si="6"/>
        <v>0.0121</v>
      </c>
    </row>
    <row r="48" s="91" customFormat="1" hidden="1" customHeight="1" spans="1:42">
      <c r="A48" s="91">
        <v>43</v>
      </c>
      <c r="B48" s="100"/>
      <c r="C48" s="91"/>
      <c r="D48" s="91"/>
      <c r="E48" s="91"/>
      <c r="F48" s="91"/>
      <c r="G48" s="91" t="s">
        <v>419</v>
      </c>
      <c r="H48" s="91"/>
      <c r="I48" s="100" t="s">
        <v>5234</v>
      </c>
      <c r="J48" s="114">
        <v>45.23</v>
      </c>
      <c r="K48" s="114">
        <v>45.23</v>
      </c>
      <c r="L48" s="91">
        <v>23771.47</v>
      </c>
      <c r="M48" s="91">
        <v>1075184</v>
      </c>
      <c r="N48" s="115">
        <v>23771.47</v>
      </c>
      <c r="O48" s="91"/>
      <c r="P48" s="91"/>
      <c r="Q48" s="91"/>
      <c r="R48" s="91"/>
      <c r="S48" s="91"/>
      <c r="T48" s="91"/>
      <c r="U48" s="91" t="s">
        <v>825</v>
      </c>
      <c r="V48" s="91">
        <v>200000</v>
      </c>
      <c r="W48" s="91" t="s">
        <v>856</v>
      </c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>
        <f t="shared" si="3"/>
        <v>200000</v>
      </c>
      <c r="AK48" s="91">
        <f t="shared" si="5"/>
        <v>875184</v>
      </c>
      <c r="AO48" s="91">
        <f t="shared" si="4"/>
        <v>0</v>
      </c>
      <c r="AP48" s="128">
        <f t="shared" si="6"/>
        <v>0.0121</v>
      </c>
    </row>
    <row r="49" s="91" customFormat="1" hidden="1" customHeight="1" spans="1:42">
      <c r="A49" s="91">
        <v>44</v>
      </c>
      <c r="B49" s="100"/>
      <c r="C49" s="91"/>
      <c r="D49" s="91"/>
      <c r="E49" s="91"/>
      <c r="F49" s="91"/>
      <c r="G49" s="91" t="s">
        <v>419</v>
      </c>
      <c r="H49" s="91"/>
      <c r="I49" s="100" t="s">
        <v>5235</v>
      </c>
      <c r="J49" s="114">
        <v>45.74</v>
      </c>
      <c r="K49" s="114">
        <v>45.74</v>
      </c>
      <c r="L49" s="91">
        <v>23868.2</v>
      </c>
      <c r="M49" s="91">
        <v>1091732</v>
      </c>
      <c r="N49" s="115">
        <v>23868.2</v>
      </c>
      <c r="O49" s="91"/>
      <c r="P49" s="91"/>
      <c r="Q49" s="91"/>
      <c r="R49" s="91"/>
      <c r="S49" s="91"/>
      <c r="T49" s="91"/>
      <c r="U49" s="91" t="s">
        <v>825</v>
      </c>
      <c r="V49" s="91">
        <v>200000</v>
      </c>
      <c r="W49" s="91" t="s">
        <v>856</v>
      </c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>
        <f t="shared" si="3"/>
        <v>200000</v>
      </c>
      <c r="AK49" s="91">
        <f t="shared" si="5"/>
        <v>891732</v>
      </c>
      <c r="AO49" s="91">
        <f t="shared" si="4"/>
        <v>0</v>
      </c>
      <c r="AP49" s="128">
        <f t="shared" si="6"/>
        <v>0.0121</v>
      </c>
    </row>
    <row r="50" s="91" customFormat="1" hidden="1" customHeight="1" spans="1:42">
      <c r="A50" s="91">
        <v>45</v>
      </c>
      <c r="B50" s="100"/>
      <c r="C50" s="91"/>
      <c r="D50" s="91"/>
      <c r="E50" s="91"/>
      <c r="F50" s="91"/>
      <c r="G50" s="91" t="s">
        <v>419</v>
      </c>
      <c r="H50" s="91"/>
      <c r="I50" s="100" t="s">
        <v>5236</v>
      </c>
      <c r="J50" s="114">
        <v>45.74</v>
      </c>
      <c r="K50" s="114">
        <v>45.74</v>
      </c>
      <c r="L50" s="91">
        <v>24059.7</v>
      </c>
      <c r="M50" s="91">
        <v>1100491</v>
      </c>
      <c r="N50" s="115">
        <v>24059.7</v>
      </c>
      <c r="O50" s="91"/>
      <c r="P50" s="91"/>
      <c r="Q50" s="91"/>
      <c r="R50" s="91"/>
      <c r="S50" s="91"/>
      <c r="T50" s="91"/>
      <c r="U50" s="91" t="s">
        <v>825</v>
      </c>
      <c r="V50" s="91">
        <v>200000</v>
      </c>
      <c r="W50" s="91" t="s">
        <v>856</v>
      </c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>
        <f t="shared" si="3"/>
        <v>200000</v>
      </c>
      <c r="AK50" s="91">
        <f t="shared" si="5"/>
        <v>900491</v>
      </c>
      <c r="AO50" s="91">
        <f t="shared" si="4"/>
        <v>0</v>
      </c>
      <c r="AP50" s="128">
        <f t="shared" si="6"/>
        <v>0.0121</v>
      </c>
    </row>
    <row r="51" s="91" customFormat="1" hidden="1" customHeight="1" spans="1:42">
      <c r="A51" s="91">
        <v>46</v>
      </c>
      <c r="B51" s="100"/>
      <c r="C51" s="91"/>
      <c r="D51" s="91"/>
      <c r="E51" s="91"/>
      <c r="F51" s="91"/>
      <c r="G51" s="91" t="s">
        <v>419</v>
      </c>
      <c r="H51" s="91"/>
      <c r="I51" s="100" t="s">
        <v>5237</v>
      </c>
      <c r="J51" s="114">
        <v>45.23</v>
      </c>
      <c r="K51" s="114">
        <v>45.23</v>
      </c>
      <c r="L51" s="91">
        <v>17395.93</v>
      </c>
      <c r="M51" s="91">
        <v>786818</v>
      </c>
      <c r="N51" s="115">
        <v>17395.93</v>
      </c>
      <c r="O51" s="91"/>
      <c r="P51" s="91"/>
      <c r="Q51" s="91"/>
      <c r="R51" s="91"/>
      <c r="S51" s="91"/>
      <c r="T51" s="91"/>
      <c r="U51" s="91" t="s">
        <v>825</v>
      </c>
      <c r="V51" s="91">
        <v>200000</v>
      </c>
      <c r="W51" s="91" t="s">
        <v>856</v>
      </c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>
        <f t="shared" si="3"/>
        <v>200000</v>
      </c>
      <c r="AK51" s="91">
        <f t="shared" si="5"/>
        <v>586818</v>
      </c>
      <c r="AO51" s="91">
        <f t="shared" si="4"/>
        <v>0</v>
      </c>
      <c r="AP51" s="128">
        <f t="shared" si="6"/>
        <v>0.0121</v>
      </c>
    </row>
    <row r="52" s="91" customFormat="1" hidden="1" customHeight="1" spans="1:42">
      <c r="A52" s="91">
        <v>47</v>
      </c>
      <c r="B52" s="100"/>
      <c r="C52" s="91"/>
      <c r="D52" s="91"/>
      <c r="E52" s="91"/>
      <c r="F52" s="91"/>
      <c r="G52" s="91" t="s">
        <v>419</v>
      </c>
      <c r="H52" s="91"/>
      <c r="I52" s="100" t="s">
        <v>5238</v>
      </c>
      <c r="J52" s="114">
        <v>45.23</v>
      </c>
      <c r="K52" s="114">
        <v>45.23</v>
      </c>
      <c r="L52" s="91">
        <v>17300.61</v>
      </c>
      <c r="M52" s="91">
        <v>782507</v>
      </c>
      <c r="N52" s="115">
        <v>17300.61</v>
      </c>
      <c r="O52" s="91"/>
      <c r="P52" s="91"/>
      <c r="Q52" s="91"/>
      <c r="R52" s="91"/>
      <c r="S52" s="91"/>
      <c r="T52" s="91"/>
      <c r="U52" s="91" t="s">
        <v>825</v>
      </c>
      <c r="V52" s="91">
        <v>200000</v>
      </c>
      <c r="W52" s="91" t="s">
        <v>856</v>
      </c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>
        <f t="shared" si="3"/>
        <v>200000</v>
      </c>
      <c r="AK52" s="91">
        <f t="shared" si="5"/>
        <v>582507</v>
      </c>
      <c r="AO52" s="91">
        <f t="shared" si="4"/>
        <v>0</v>
      </c>
      <c r="AP52" s="128">
        <f t="shared" si="6"/>
        <v>0.0121</v>
      </c>
    </row>
    <row r="53" s="91" customFormat="1" hidden="1" customHeight="1" spans="1:42">
      <c r="A53" s="91">
        <v>48</v>
      </c>
      <c r="B53" s="100"/>
      <c r="C53" s="91"/>
      <c r="D53" s="91"/>
      <c r="E53" s="91"/>
      <c r="F53" s="91"/>
      <c r="G53" s="91" t="s">
        <v>419</v>
      </c>
      <c r="H53" s="91"/>
      <c r="I53" s="100" t="s">
        <v>5239</v>
      </c>
      <c r="J53" s="114">
        <v>45.15</v>
      </c>
      <c r="K53" s="114">
        <v>45.15</v>
      </c>
      <c r="L53" s="91">
        <v>17203.88</v>
      </c>
      <c r="M53" s="91">
        <v>776756</v>
      </c>
      <c r="N53" s="115">
        <v>17203.88</v>
      </c>
      <c r="O53" s="91"/>
      <c r="P53" s="91"/>
      <c r="Q53" s="91"/>
      <c r="R53" s="91"/>
      <c r="S53" s="91"/>
      <c r="T53" s="91"/>
      <c r="U53" s="91" t="s">
        <v>825</v>
      </c>
      <c r="V53" s="91">
        <v>200000</v>
      </c>
      <c r="W53" s="91" t="s">
        <v>856</v>
      </c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>
        <f t="shared" si="3"/>
        <v>200000</v>
      </c>
      <c r="AK53" s="91">
        <f t="shared" si="5"/>
        <v>576756</v>
      </c>
      <c r="AO53" s="91">
        <f t="shared" si="4"/>
        <v>0</v>
      </c>
      <c r="AP53" s="128">
        <f t="shared" si="6"/>
        <v>0.0121</v>
      </c>
    </row>
    <row r="54" s="91" customFormat="1" hidden="1" customHeight="1" spans="1:42">
      <c r="A54" s="91">
        <v>49</v>
      </c>
      <c r="B54" s="100"/>
      <c r="C54" s="91"/>
      <c r="D54" s="91"/>
      <c r="E54" s="91"/>
      <c r="F54" s="91"/>
      <c r="G54" s="91" t="s">
        <v>419</v>
      </c>
      <c r="H54" s="91"/>
      <c r="I54" s="100" t="s">
        <v>5240</v>
      </c>
      <c r="J54" s="114">
        <v>51.95</v>
      </c>
      <c r="K54" s="114">
        <v>51.95</v>
      </c>
      <c r="L54" s="91">
        <v>17300.61</v>
      </c>
      <c r="M54" s="91">
        <v>898767</v>
      </c>
      <c r="N54" s="115">
        <v>17300.61</v>
      </c>
      <c r="O54" s="91"/>
      <c r="P54" s="91"/>
      <c r="Q54" s="91"/>
      <c r="R54" s="91">
        <v>526229</v>
      </c>
      <c r="S54" s="91" t="s">
        <v>418</v>
      </c>
      <c r="T54" s="91"/>
      <c r="U54" s="91" t="s">
        <v>825</v>
      </c>
      <c r="V54" s="91">
        <v>200000</v>
      </c>
      <c r="W54" s="91" t="s">
        <v>856</v>
      </c>
      <c r="X54" s="91">
        <v>526229</v>
      </c>
      <c r="Y54" s="91" t="s">
        <v>418</v>
      </c>
      <c r="Z54" s="91"/>
      <c r="AA54" s="91"/>
      <c r="AB54" s="91"/>
      <c r="AC54" s="91"/>
      <c r="AD54" s="91"/>
      <c r="AE54" s="91"/>
      <c r="AF54" s="91"/>
      <c r="AG54" s="91"/>
      <c r="AH54" s="91">
        <f t="shared" si="3"/>
        <v>726229</v>
      </c>
      <c r="AK54" s="91">
        <f t="shared" si="5"/>
        <v>172538</v>
      </c>
      <c r="AO54" s="91">
        <f t="shared" si="4"/>
        <v>0</v>
      </c>
      <c r="AP54" s="128">
        <f t="shared" si="6"/>
        <v>0.0121</v>
      </c>
    </row>
    <row r="55" s="91" customFormat="1" customHeight="1" spans="1:49">
      <c r="A55" s="91">
        <v>50</v>
      </c>
      <c r="B55" s="100"/>
      <c r="C55" s="91" t="s">
        <v>418</v>
      </c>
      <c r="D55" s="91">
        <v>20240007552</v>
      </c>
      <c r="E55" s="91"/>
      <c r="F55" s="91"/>
      <c r="G55" s="91" t="s">
        <v>419</v>
      </c>
      <c r="H55" s="91"/>
      <c r="I55" s="100" t="s">
        <v>5241</v>
      </c>
      <c r="J55" s="114">
        <v>45.23</v>
      </c>
      <c r="K55" s="114">
        <v>45.23</v>
      </c>
      <c r="L55" s="91">
        <v>17397.33</v>
      </c>
      <c r="M55" s="91">
        <v>786882</v>
      </c>
      <c r="N55" s="115">
        <v>17397.33</v>
      </c>
      <c r="O55" s="91"/>
      <c r="P55" s="91"/>
      <c r="Q55" s="91"/>
      <c r="R55" s="91">
        <f>473771+113111</f>
        <v>586882</v>
      </c>
      <c r="S55" s="91" t="s">
        <v>420</v>
      </c>
      <c r="T55" s="91"/>
      <c r="U55" s="91" t="s">
        <v>825</v>
      </c>
      <c r="V55" s="91">
        <v>113111</v>
      </c>
      <c r="W55" s="91" t="s">
        <v>420</v>
      </c>
      <c r="X55" s="91">
        <v>200000</v>
      </c>
      <c r="Y55" s="91" t="s">
        <v>3529</v>
      </c>
      <c r="Z55" s="91">
        <v>473771</v>
      </c>
      <c r="AA55" s="91" t="s">
        <v>418</v>
      </c>
      <c r="AB55" s="91"/>
      <c r="AC55" s="91"/>
      <c r="AD55" s="91"/>
      <c r="AE55" s="91"/>
      <c r="AF55" s="91"/>
      <c r="AG55" s="91"/>
      <c r="AH55" s="91">
        <f t="shared" si="3"/>
        <v>786882</v>
      </c>
      <c r="AK55" s="91">
        <f t="shared" si="5"/>
        <v>0</v>
      </c>
      <c r="AO55" s="91">
        <f t="shared" si="4"/>
        <v>786882</v>
      </c>
      <c r="AP55" s="128">
        <f t="shared" ref="AP55:AP57" si="7">1%+0.25%+0.03%</f>
        <v>0.0128</v>
      </c>
      <c r="AQ55" s="91">
        <v>786882</v>
      </c>
      <c r="AU55" s="91">
        <f>AQ55*AP55</f>
        <v>10072.0896</v>
      </c>
      <c r="AW55" s="91" t="s">
        <v>496</v>
      </c>
    </row>
    <row r="56" s="91" customFormat="1" customHeight="1" spans="1:49">
      <c r="A56" s="91">
        <v>51</v>
      </c>
      <c r="B56" s="100"/>
      <c r="C56" s="91" t="s">
        <v>420</v>
      </c>
      <c r="D56" s="91">
        <v>20240007416</v>
      </c>
      <c r="E56" s="91"/>
      <c r="F56" s="91"/>
      <c r="G56" s="91" t="s">
        <v>419</v>
      </c>
      <c r="H56" s="91"/>
      <c r="I56" s="100" t="s">
        <v>5242</v>
      </c>
      <c r="J56" s="114">
        <v>45.23</v>
      </c>
      <c r="K56" s="114">
        <v>45.23</v>
      </c>
      <c r="L56" s="91">
        <v>17494.06</v>
      </c>
      <c r="M56" s="91">
        <v>791257</v>
      </c>
      <c r="N56" s="115">
        <v>17494.06</v>
      </c>
      <c r="O56" s="91"/>
      <c r="P56" s="91"/>
      <c r="Q56" s="91"/>
      <c r="R56" s="91">
        <v>591257</v>
      </c>
      <c r="S56" s="91" t="s">
        <v>420</v>
      </c>
      <c r="T56" s="91"/>
      <c r="U56" s="91" t="s">
        <v>825</v>
      </c>
      <c r="V56" s="91">
        <v>591257</v>
      </c>
      <c r="W56" s="91" t="s">
        <v>420</v>
      </c>
      <c r="X56" s="91">
        <v>200000</v>
      </c>
      <c r="Y56" s="91" t="s">
        <v>4920</v>
      </c>
      <c r="Z56" s="91"/>
      <c r="AA56" s="91"/>
      <c r="AB56" s="91"/>
      <c r="AC56" s="91"/>
      <c r="AD56" s="91"/>
      <c r="AE56" s="91"/>
      <c r="AF56" s="91"/>
      <c r="AG56" s="91"/>
      <c r="AH56" s="91">
        <f t="shared" si="3"/>
        <v>791257</v>
      </c>
      <c r="AK56" s="91">
        <f t="shared" si="5"/>
        <v>0</v>
      </c>
      <c r="AO56" s="91">
        <f t="shared" si="4"/>
        <v>791257</v>
      </c>
      <c r="AP56" s="128">
        <f t="shared" si="7"/>
        <v>0.0128</v>
      </c>
      <c r="AQ56" s="91">
        <v>791257</v>
      </c>
      <c r="AU56" s="91">
        <f>AQ56*AP56</f>
        <v>10128.0896</v>
      </c>
      <c r="AW56" s="91" t="s">
        <v>496</v>
      </c>
    </row>
    <row r="57" s="91" customFormat="1" customHeight="1" spans="1:49">
      <c r="A57" s="91">
        <v>52</v>
      </c>
      <c r="B57" s="100"/>
      <c r="C57" s="91" t="s">
        <v>420</v>
      </c>
      <c r="D57" s="91">
        <v>20240007420</v>
      </c>
      <c r="E57" s="91"/>
      <c r="F57" s="91"/>
      <c r="G57" s="91" t="s">
        <v>419</v>
      </c>
      <c r="H57" s="91"/>
      <c r="I57" s="100" t="s">
        <v>5243</v>
      </c>
      <c r="J57" s="114">
        <v>45.23</v>
      </c>
      <c r="K57" s="114">
        <v>45.23</v>
      </c>
      <c r="L57" s="91">
        <v>17590.79</v>
      </c>
      <c r="M57" s="91">
        <v>795632</v>
      </c>
      <c r="N57" s="115">
        <v>17590.79</v>
      </c>
      <c r="O57" s="91"/>
      <c r="P57" s="91"/>
      <c r="Q57" s="91"/>
      <c r="R57" s="91">
        <v>295632</v>
      </c>
      <c r="S57" s="91" t="s">
        <v>420</v>
      </c>
      <c r="T57" s="91"/>
      <c r="U57" s="91" t="s">
        <v>825</v>
      </c>
      <c r="V57" s="91">
        <v>295632</v>
      </c>
      <c r="W57" s="91" t="s">
        <v>420</v>
      </c>
      <c r="X57" s="91">
        <f>200000+300000</f>
        <v>500000</v>
      </c>
      <c r="Y57" s="91" t="s">
        <v>4177</v>
      </c>
      <c r="Z57" s="91"/>
      <c r="AA57" s="91"/>
      <c r="AB57" s="91"/>
      <c r="AC57" s="91"/>
      <c r="AD57" s="91"/>
      <c r="AE57" s="91"/>
      <c r="AF57" s="91"/>
      <c r="AG57" s="91"/>
      <c r="AH57" s="91">
        <f t="shared" si="3"/>
        <v>795632</v>
      </c>
      <c r="AK57" s="91">
        <f t="shared" si="5"/>
        <v>0</v>
      </c>
      <c r="AO57" s="91">
        <f t="shared" si="4"/>
        <v>795632</v>
      </c>
      <c r="AP57" s="128">
        <f t="shared" si="7"/>
        <v>0.0128</v>
      </c>
      <c r="AQ57" s="91">
        <v>795632</v>
      </c>
      <c r="AU57" s="91">
        <f>AQ57*AP57</f>
        <v>10184.0896</v>
      </c>
      <c r="AW57" s="91" t="s">
        <v>496</v>
      </c>
    </row>
    <row r="58" s="91" customFormat="1" hidden="1" customHeight="1" spans="1:42">
      <c r="A58" s="91">
        <v>53</v>
      </c>
      <c r="B58" s="100"/>
      <c r="C58" s="91"/>
      <c r="D58" s="91"/>
      <c r="E58" s="91"/>
      <c r="F58" s="91"/>
      <c r="G58" s="91" t="s">
        <v>419</v>
      </c>
      <c r="H58" s="91"/>
      <c r="I58" s="100" t="s">
        <v>5244</v>
      </c>
      <c r="J58" s="114">
        <v>46.87</v>
      </c>
      <c r="K58" s="114">
        <v>46.87</v>
      </c>
      <c r="L58" s="91">
        <v>18074.42</v>
      </c>
      <c r="M58" s="91">
        <v>847149</v>
      </c>
      <c r="N58" s="115">
        <v>18074.42</v>
      </c>
      <c r="O58" s="91"/>
      <c r="P58" s="91"/>
      <c r="Q58" s="91"/>
      <c r="R58" s="91"/>
      <c r="S58" s="91"/>
      <c r="T58" s="91"/>
      <c r="U58" s="91" t="s">
        <v>825</v>
      </c>
      <c r="V58" s="91">
        <v>200000</v>
      </c>
      <c r="W58" s="91" t="s">
        <v>856</v>
      </c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>
        <f t="shared" si="3"/>
        <v>200000</v>
      </c>
      <c r="AK58" s="91">
        <f t="shared" si="5"/>
        <v>647149</v>
      </c>
      <c r="AO58" s="91">
        <f t="shared" si="4"/>
        <v>0</v>
      </c>
      <c r="AP58" s="128">
        <f t="shared" si="6"/>
        <v>0.0121</v>
      </c>
    </row>
    <row r="59" s="91" customFormat="1" hidden="1" customHeight="1" spans="1:42">
      <c r="A59" s="91">
        <v>54</v>
      </c>
      <c r="B59" s="100"/>
      <c r="C59" s="91"/>
      <c r="D59" s="91"/>
      <c r="E59" s="91"/>
      <c r="F59" s="91"/>
      <c r="G59" s="91" t="s">
        <v>419</v>
      </c>
      <c r="H59" s="91"/>
      <c r="I59" s="100" t="s">
        <v>5245</v>
      </c>
      <c r="J59" s="114">
        <v>45.74</v>
      </c>
      <c r="K59" s="114">
        <v>45.74</v>
      </c>
      <c r="L59" s="91">
        <v>23000</v>
      </c>
      <c r="M59" s="91">
        <v>1052020</v>
      </c>
      <c r="N59" s="115">
        <v>23000</v>
      </c>
      <c r="O59" s="91"/>
      <c r="P59" s="91"/>
      <c r="Q59" s="91"/>
      <c r="R59" s="91"/>
      <c r="S59" s="91"/>
      <c r="T59" s="91"/>
      <c r="U59" s="91" t="s">
        <v>825</v>
      </c>
      <c r="V59" s="91">
        <v>250000</v>
      </c>
      <c r="W59" s="91" t="s">
        <v>4026</v>
      </c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>
        <f t="shared" si="3"/>
        <v>250000</v>
      </c>
      <c r="AK59" s="91">
        <f t="shared" si="5"/>
        <v>802020</v>
      </c>
      <c r="AO59" s="91">
        <f t="shared" si="4"/>
        <v>0</v>
      </c>
      <c r="AP59" s="128">
        <f t="shared" si="6"/>
        <v>0.0121</v>
      </c>
    </row>
    <row r="60" s="92" customFormat="1" hidden="1" customHeight="1" spans="1:41">
      <c r="A60" s="92">
        <v>55</v>
      </c>
      <c r="B60" s="89"/>
      <c r="C60" s="92"/>
      <c r="D60" s="92"/>
      <c r="E60" s="92"/>
      <c r="F60" s="92"/>
      <c r="G60" s="92"/>
      <c r="H60" s="92"/>
      <c r="I60" s="89" t="s">
        <v>5246</v>
      </c>
      <c r="J60" s="116">
        <v>319.41</v>
      </c>
      <c r="K60" s="116"/>
      <c r="L60" s="92"/>
      <c r="M60" s="92"/>
      <c r="N60" s="117">
        <v>11136.88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>
        <f t="shared" si="3"/>
        <v>0</v>
      </c>
      <c r="AK60" s="92">
        <f t="shared" si="5"/>
        <v>0</v>
      </c>
      <c r="AO60" s="91">
        <f t="shared" si="4"/>
        <v>0</v>
      </c>
    </row>
    <row r="61" s="92" customFormat="1" hidden="1" customHeight="1" spans="1:41">
      <c r="A61" s="92">
        <v>56</v>
      </c>
      <c r="B61" s="89"/>
      <c r="C61" s="92"/>
      <c r="D61" s="92"/>
      <c r="E61" s="92"/>
      <c r="F61" s="92"/>
      <c r="G61" s="92"/>
      <c r="H61" s="92"/>
      <c r="I61" s="89" t="s">
        <v>5247</v>
      </c>
      <c r="J61" s="116">
        <v>317.38</v>
      </c>
      <c r="K61" s="116"/>
      <c r="L61" s="92"/>
      <c r="M61" s="92"/>
      <c r="N61" s="117">
        <v>11136.88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>
        <f t="shared" si="3"/>
        <v>0</v>
      </c>
      <c r="AK61" s="92">
        <f t="shared" si="5"/>
        <v>0</v>
      </c>
      <c r="AO61" s="91">
        <f t="shared" si="4"/>
        <v>0</v>
      </c>
    </row>
    <row r="62" s="92" customFormat="1" hidden="1" customHeight="1" spans="1:41">
      <c r="A62" s="92">
        <v>57</v>
      </c>
      <c r="B62" s="89"/>
      <c r="C62" s="92"/>
      <c r="D62" s="92"/>
      <c r="E62" s="92"/>
      <c r="F62" s="92"/>
      <c r="G62" s="92"/>
      <c r="H62" s="92"/>
      <c r="I62" s="89" t="s">
        <v>5248</v>
      </c>
      <c r="J62" s="116">
        <v>209.44</v>
      </c>
      <c r="K62" s="116"/>
      <c r="L62" s="92"/>
      <c r="M62" s="92"/>
      <c r="N62" s="117">
        <v>10790.88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>
        <f t="shared" si="3"/>
        <v>0</v>
      </c>
      <c r="AK62" s="92">
        <f t="shared" si="5"/>
        <v>0</v>
      </c>
      <c r="AO62" s="91">
        <f t="shared" si="4"/>
        <v>0</v>
      </c>
    </row>
    <row r="63" s="92" customFormat="1" hidden="1" customHeight="1" spans="1:41">
      <c r="A63" s="92">
        <v>58</v>
      </c>
      <c r="B63" s="89"/>
      <c r="C63" s="92"/>
      <c r="D63" s="92"/>
      <c r="E63" s="92"/>
      <c r="F63" s="92"/>
      <c r="G63" s="92"/>
      <c r="H63" s="92"/>
      <c r="I63" s="89" t="s">
        <v>5249</v>
      </c>
      <c r="J63" s="116">
        <v>210.8</v>
      </c>
      <c r="K63" s="116"/>
      <c r="L63" s="92"/>
      <c r="M63" s="92"/>
      <c r="N63" s="117">
        <v>10790.88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>
        <f t="shared" si="3"/>
        <v>0</v>
      </c>
      <c r="AK63" s="92">
        <f t="shared" si="5"/>
        <v>0</v>
      </c>
      <c r="AO63" s="91">
        <f t="shared" si="4"/>
        <v>0</v>
      </c>
    </row>
    <row r="64" s="93" customFormat="1" customHeight="1" spans="1:47">
      <c r="A64" s="93" t="s">
        <v>59</v>
      </c>
      <c r="B64" s="103">
        <f>SUM(B4:B63)</f>
        <v>4</v>
      </c>
      <c r="J64" s="93">
        <f>SUM(J4:J63)</f>
        <v>5820.18999999999</v>
      </c>
      <c r="M64" s="93">
        <f>SUM(M4:M63)</f>
        <v>31523674</v>
      </c>
      <c r="N64" s="118"/>
      <c r="R64" s="93">
        <f>SUM(R4:R63)</f>
        <v>5075653</v>
      </c>
      <c r="V64" s="93">
        <f>SUM(V4:V63)</f>
        <v>4357000</v>
      </c>
      <c r="X64" s="93">
        <f>SUM(X4:X63)</f>
        <v>2912332</v>
      </c>
      <c r="Z64" s="93">
        <f>SUM(Z4:Z63)</f>
        <v>918321</v>
      </c>
      <c r="AB64" s="93">
        <f>SUM(AB4:AB63)</f>
        <v>1000000</v>
      </c>
      <c r="AD64" s="93">
        <f>SUM(AD4:AD63)</f>
        <v>0</v>
      </c>
      <c r="AF64" s="93">
        <f>SUM(AF4:AF63)</f>
        <v>0</v>
      </c>
      <c r="AH64" s="93">
        <f>SUM(AH4:AH63)</f>
        <v>9187653</v>
      </c>
      <c r="AI64" s="93">
        <f>SUM(AI4:AI63)</f>
        <v>0</v>
      </c>
      <c r="AJ64" s="93">
        <f t="shared" ref="AJ64:AO64" si="8">SUM(AJ4:AJ63)</f>
        <v>0</v>
      </c>
      <c r="AK64" s="93">
        <f t="shared" si="8"/>
        <v>22336021</v>
      </c>
      <c r="AO64" s="93">
        <f t="shared" si="8"/>
        <v>3174896</v>
      </c>
      <c r="AP64" s="129"/>
      <c r="AQ64" s="93">
        <f t="shared" ref="AQ64:AU64" si="9">SUM(AQ4:AQ63)</f>
        <v>3174896</v>
      </c>
      <c r="AR64" s="93">
        <f t="shared" si="9"/>
        <v>0</v>
      </c>
      <c r="AS64" s="93">
        <f t="shared" si="9"/>
        <v>0</v>
      </c>
      <c r="AT64" s="93">
        <f t="shared" si="9"/>
        <v>0</v>
      </c>
      <c r="AU64" s="93">
        <f t="shared" si="9"/>
        <v>42080.6938</v>
      </c>
    </row>
    <row r="65" hidden="1" customHeight="1" spans="18:42">
      <c r="R65" s="94">
        <f>R4+R5+R10</f>
        <v>165000</v>
      </c>
      <c r="S65" s="94" t="s">
        <v>5250</v>
      </c>
      <c r="AP65" s="131"/>
    </row>
    <row r="66" hidden="1" customHeight="1" spans="18:42">
      <c r="R66" s="94">
        <f>R6+R19+R20+R21+R38+R39+R54+R55+R56+R57</f>
        <v>4910653</v>
      </c>
      <c r="S66" s="94" t="s">
        <v>1152</v>
      </c>
      <c r="AP66" s="131"/>
    </row>
    <row r="67" hidden="1" customHeight="1" spans="18:42">
      <c r="R67" s="94">
        <f>4000000+5000</f>
        <v>4005000</v>
      </c>
      <c r="S67" s="94" t="s">
        <v>63</v>
      </c>
      <c r="T67" s="130" t="s">
        <v>5251</v>
      </c>
      <c r="AP67" s="131"/>
    </row>
    <row r="68" hidden="1" customHeight="1" spans="18:42">
      <c r="R68" s="94">
        <f>R66+R67</f>
        <v>8915653</v>
      </c>
      <c r="AP68" s="131"/>
    </row>
    <row r="69" customHeight="1" spans="42:42">
      <c r="AP69" s="131"/>
    </row>
    <row r="70" customHeight="1" spans="42:42">
      <c r="AP70" s="131"/>
    </row>
    <row r="71" customHeight="1" spans="42:42">
      <c r="AP71" s="131"/>
    </row>
    <row r="72" customHeight="1" spans="42:42">
      <c r="AP72" s="131"/>
    </row>
    <row r="73" customHeight="1" spans="42:42">
      <c r="AP73" s="131"/>
    </row>
    <row r="74" customHeight="1" spans="42:42">
      <c r="AP74" s="131"/>
    </row>
    <row r="75" customHeight="1" spans="42:42">
      <c r="AP75" s="131"/>
    </row>
    <row r="76" customHeight="1" spans="42:42">
      <c r="AP76" s="131"/>
    </row>
    <row r="77" customHeight="1" spans="42:42">
      <c r="AP77" s="131"/>
    </row>
    <row r="78" customHeight="1" spans="42:42">
      <c r="AP78" s="131"/>
    </row>
    <row r="79" customHeight="1" spans="42:42">
      <c r="AP79" s="131"/>
    </row>
  </sheetData>
  <autoFilter xmlns:etc="http://www.wps.cn/officeDocument/2017/etCustomData" ref="A3:AX68" etc:filterBottomFollowUsedRange="0">
    <filterColumn colId="42">
      <filters>
        <filter val="786882"/>
        <filter val="795632"/>
        <filter val="801125"/>
        <filter val="3174896"/>
        <filter val="791257"/>
      </filters>
    </filterColumn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7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5252</v>
      </c>
      <c r="C1" s="62"/>
      <c r="D1" s="62"/>
      <c r="E1" s="62"/>
      <c r="F1" s="63" t="s">
        <v>5253</v>
      </c>
      <c r="G1" s="64"/>
      <c r="H1" s="64"/>
      <c r="I1" s="61"/>
      <c r="J1" s="86"/>
      <c r="L1" s="61"/>
      <c r="M1" s="62" t="s">
        <v>5252</v>
      </c>
      <c r="N1" s="62"/>
      <c r="O1" s="62"/>
      <c r="P1" s="62"/>
      <c r="Q1" s="63" t="s">
        <v>5253</v>
      </c>
      <c r="R1" s="64"/>
      <c r="S1" s="64"/>
      <c r="T1" s="61"/>
      <c r="U1" s="86"/>
    </row>
    <row r="2" customHeight="1" spans="1:21">
      <c r="A2" s="61" t="s">
        <v>21</v>
      </c>
      <c r="B2" s="65" t="s">
        <v>429</v>
      </c>
      <c r="C2" s="66" t="s">
        <v>5254</v>
      </c>
      <c r="D2" s="66" t="s">
        <v>5255</v>
      </c>
      <c r="E2" s="66" t="s">
        <v>5256</v>
      </c>
      <c r="F2" s="67" t="s">
        <v>427</v>
      </c>
      <c r="G2" s="68" t="s">
        <v>7</v>
      </c>
      <c r="H2" s="68"/>
      <c r="I2" s="61"/>
      <c r="J2" s="86"/>
      <c r="L2" s="61" t="s">
        <v>21</v>
      </c>
      <c r="M2" s="65" t="s">
        <v>429</v>
      </c>
      <c r="N2" s="66" t="s">
        <v>5254</v>
      </c>
      <c r="O2" s="66" t="s">
        <v>5255</v>
      </c>
      <c r="P2" s="66" t="s">
        <v>5256</v>
      </c>
      <c r="Q2" s="67" t="s">
        <v>427</v>
      </c>
      <c r="R2" s="68" t="s">
        <v>7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432</v>
      </c>
      <c r="H3" s="69" t="s">
        <v>5257</v>
      </c>
      <c r="I3" s="61"/>
      <c r="J3" s="86" t="s">
        <v>5258</v>
      </c>
      <c r="L3" s="61"/>
      <c r="M3" s="65"/>
      <c r="N3" s="66"/>
      <c r="O3" s="66"/>
      <c r="P3" s="66"/>
      <c r="Q3" s="67"/>
      <c r="R3" s="69" t="s">
        <v>432</v>
      </c>
      <c r="S3" s="69" t="s">
        <v>5257</v>
      </c>
      <c r="T3" s="61"/>
      <c r="U3" s="86" t="s">
        <v>5258</v>
      </c>
    </row>
    <row r="4" customHeight="1" spans="1:21">
      <c r="A4" s="61">
        <v>1</v>
      </c>
      <c r="B4" s="70" t="s">
        <v>1626</v>
      </c>
      <c r="C4" s="62">
        <v>117.51</v>
      </c>
      <c r="D4" s="62">
        <v>117.5</v>
      </c>
      <c r="E4" s="71">
        <v>-0.0100000000000051</v>
      </c>
      <c r="F4" s="72" t="s">
        <v>1624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5259</v>
      </c>
      <c r="N4" s="77">
        <v>572.65</v>
      </c>
      <c r="O4" s="77">
        <v>569.14</v>
      </c>
      <c r="P4" s="77">
        <v>-3.50999999999999</v>
      </c>
      <c r="Q4" s="72" t="s">
        <v>5260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1643</v>
      </c>
      <c r="C5" s="62">
        <v>115.95</v>
      </c>
      <c r="D5" s="62">
        <v>115.94</v>
      </c>
      <c r="E5" s="71">
        <v>-0.0100000000000051</v>
      </c>
      <c r="F5" s="72" t="s">
        <v>1642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1648</v>
      </c>
      <c r="C6" s="62">
        <v>115.59</v>
      </c>
      <c r="D6" s="62">
        <v>115.58</v>
      </c>
      <c r="E6" s="71">
        <v>-0.0100000000000051</v>
      </c>
      <c r="F6" s="72" t="s">
        <v>1647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1656</v>
      </c>
      <c r="C7" s="62">
        <v>115.95</v>
      </c>
      <c r="D7" s="62">
        <v>115.94</v>
      </c>
      <c r="E7" s="71">
        <v>-0.0100000000000051</v>
      </c>
      <c r="F7" s="72" t="s">
        <v>1654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1668</v>
      </c>
      <c r="C8" s="62">
        <v>115.59</v>
      </c>
      <c r="D8" s="62">
        <v>115.58</v>
      </c>
      <c r="E8" s="71">
        <v>-0.0100000000000051</v>
      </c>
      <c r="F8" s="72" t="s">
        <v>1666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1677</v>
      </c>
      <c r="C9" s="62">
        <v>115.95</v>
      </c>
      <c r="D9" s="62">
        <v>115.94</v>
      </c>
      <c r="E9" s="71">
        <v>-0.0100000000000051</v>
      </c>
      <c r="F9" s="72" t="s">
        <v>1675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1688</v>
      </c>
      <c r="C10" s="62">
        <v>115.59</v>
      </c>
      <c r="D10" s="62">
        <v>115.58</v>
      </c>
      <c r="E10" s="71">
        <v>-0.0100000000000051</v>
      </c>
      <c r="F10" s="72" t="s">
        <v>5261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1697</v>
      </c>
      <c r="C11" s="62">
        <v>115.95</v>
      </c>
      <c r="D11" s="62">
        <v>115.94</v>
      </c>
      <c r="E11" s="71">
        <v>-0.0100000000000051</v>
      </c>
      <c r="F11" s="72" t="s">
        <v>1696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1703</v>
      </c>
      <c r="C12" s="62">
        <v>115.59</v>
      </c>
      <c r="D12" s="62">
        <v>115.58</v>
      </c>
      <c r="E12" s="71">
        <v>-0.0100000000000051</v>
      </c>
      <c r="F12" s="72" t="s">
        <v>1702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1713</v>
      </c>
      <c r="C13" s="62">
        <v>115.95</v>
      </c>
      <c r="D13" s="62">
        <v>115.94</v>
      </c>
      <c r="E13" s="71">
        <v>-0.0100000000000051</v>
      </c>
      <c r="F13" s="72" t="s">
        <v>1712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1721</v>
      </c>
      <c r="C14" s="62">
        <v>115.59</v>
      </c>
      <c r="D14" s="62">
        <v>115.58</v>
      </c>
      <c r="E14" s="71">
        <v>-0.0100000000000051</v>
      </c>
      <c r="F14" s="72" t="s">
        <v>1719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1731</v>
      </c>
      <c r="C15" s="62">
        <v>115.95</v>
      </c>
      <c r="D15" s="62">
        <v>115.94</v>
      </c>
      <c r="E15" s="71">
        <v>-0.0100000000000051</v>
      </c>
      <c r="F15" s="72" t="s">
        <v>1729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1741</v>
      </c>
      <c r="C16" s="62">
        <v>115.59</v>
      </c>
      <c r="D16" s="62">
        <v>115.58</v>
      </c>
      <c r="E16" s="71">
        <v>-0.0100000000000051</v>
      </c>
      <c r="F16" s="72" t="s">
        <v>1739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1749</v>
      </c>
      <c r="C17" s="62">
        <v>115.95</v>
      </c>
      <c r="D17" s="62">
        <v>115.94</v>
      </c>
      <c r="E17" s="71">
        <v>-0.0100000000000051</v>
      </c>
      <c r="F17" s="72" t="s">
        <v>1748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1756</v>
      </c>
      <c r="C18" s="62">
        <v>115.59</v>
      </c>
      <c r="D18" s="62">
        <v>115.58</v>
      </c>
      <c r="E18" s="71">
        <v>-0.0100000000000051</v>
      </c>
      <c r="F18" s="72" t="s">
        <v>1754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1765</v>
      </c>
      <c r="C19" s="62">
        <v>115.95</v>
      </c>
      <c r="D19" s="62">
        <v>115.94</v>
      </c>
      <c r="E19" s="71">
        <v>-0.0100000000000051</v>
      </c>
      <c r="F19" s="72" t="s">
        <v>5262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1773</v>
      </c>
      <c r="C20" s="62">
        <v>115.59</v>
      </c>
      <c r="D20" s="62">
        <v>115.58</v>
      </c>
      <c r="E20" s="71">
        <v>-0.0100000000000051</v>
      </c>
      <c r="F20" s="72" t="s">
        <v>1598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1780</v>
      </c>
      <c r="C21" s="62">
        <v>115.95</v>
      </c>
      <c r="D21" s="62">
        <v>115.94</v>
      </c>
      <c r="E21" s="71">
        <v>-0.0100000000000051</v>
      </c>
      <c r="F21" s="72" t="s">
        <v>1779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1786</v>
      </c>
      <c r="C22" s="62">
        <v>115.59</v>
      </c>
      <c r="D22" s="62">
        <v>115.58</v>
      </c>
      <c r="E22" s="71">
        <v>-0.0100000000000051</v>
      </c>
      <c r="F22" s="76" t="s">
        <v>5263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1796</v>
      </c>
      <c r="C23" s="62">
        <v>115.95</v>
      </c>
      <c r="D23" s="62">
        <v>115.94</v>
      </c>
      <c r="E23" s="71">
        <v>-0.0100000000000051</v>
      </c>
      <c r="F23" s="72" t="s">
        <v>1596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1805</v>
      </c>
      <c r="C24" s="62">
        <v>115.59</v>
      </c>
      <c r="D24" s="62">
        <v>115.58</v>
      </c>
      <c r="E24" s="71">
        <v>-0.0100000000000051</v>
      </c>
      <c r="F24" s="72" t="s">
        <v>1803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1821</v>
      </c>
      <c r="C25" s="62">
        <v>116.68</v>
      </c>
      <c r="D25" s="62">
        <v>116.67</v>
      </c>
      <c r="E25" s="71">
        <v>-0.0100000000000051</v>
      </c>
      <c r="F25" s="72" t="s">
        <v>5264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1830</v>
      </c>
      <c r="C26" s="62">
        <v>115.59</v>
      </c>
      <c r="D26" s="62">
        <v>115.58</v>
      </c>
      <c r="E26" s="71">
        <v>-0.0100000000000051</v>
      </c>
      <c r="F26" s="72" t="s">
        <v>1829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1838</v>
      </c>
      <c r="C27" s="62">
        <v>115.59</v>
      </c>
      <c r="D27" s="62">
        <v>115.58</v>
      </c>
      <c r="E27" s="71">
        <v>-0.0100000000000051</v>
      </c>
      <c r="F27" s="72" t="s">
        <v>1836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1845</v>
      </c>
      <c r="C28" s="62">
        <v>115.59</v>
      </c>
      <c r="D28" s="62">
        <v>115.58</v>
      </c>
      <c r="E28" s="71">
        <v>-0.0100000000000051</v>
      </c>
      <c r="F28" s="72" t="s">
        <v>1604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1852</v>
      </c>
      <c r="C29" s="62">
        <v>115.59</v>
      </c>
      <c r="D29" s="62">
        <v>115.58</v>
      </c>
      <c r="E29" s="71">
        <v>-0.0100000000000051</v>
      </c>
      <c r="F29" s="72" t="s">
        <v>5265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1860</v>
      </c>
      <c r="C30" s="62">
        <v>115.59</v>
      </c>
      <c r="D30" s="62">
        <v>115.58</v>
      </c>
      <c r="E30" s="71">
        <v>-0.0100000000000051</v>
      </c>
      <c r="F30" s="72" t="s">
        <v>1858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1870</v>
      </c>
      <c r="C31" s="62">
        <v>115.59</v>
      </c>
      <c r="D31" s="62">
        <v>115.58</v>
      </c>
      <c r="E31" s="71">
        <v>-0.0100000000000051</v>
      </c>
      <c r="F31" s="72" t="s">
        <v>1608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1879</v>
      </c>
      <c r="C32" s="62">
        <v>115.59</v>
      </c>
      <c r="D32" s="62">
        <v>115.58</v>
      </c>
      <c r="E32" s="71">
        <v>-0.0100000000000051</v>
      </c>
      <c r="F32" s="72" t="s">
        <v>1611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1887</v>
      </c>
      <c r="C33" s="62">
        <v>115.59</v>
      </c>
      <c r="D33" s="62">
        <v>115.58</v>
      </c>
      <c r="E33" s="71">
        <v>-0.0100000000000051</v>
      </c>
      <c r="F33" s="72" t="s">
        <v>5266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1896</v>
      </c>
      <c r="C34" s="62">
        <v>115.59</v>
      </c>
      <c r="D34" s="62">
        <v>115.58</v>
      </c>
      <c r="E34" s="71">
        <v>-0.0100000000000051</v>
      </c>
      <c r="F34" s="72" t="s">
        <v>1616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1904</v>
      </c>
      <c r="C35" s="62">
        <v>115.59</v>
      </c>
      <c r="D35" s="62">
        <v>115.58</v>
      </c>
      <c r="E35" s="71">
        <v>-0.0100000000000051</v>
      </c>
      <c r="F35" s="72" t="s">
        <v>1618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1913</v>
      </c>
      <c r="C36" s="62">
        <v>115.59</v>
      </c>
      <c r="D36" s="62">
        <v>115.58</v>
      </c>
      <c r="E36" s="71">
        <v>-0.0100000000000051</v>
      </c>
      <c r="F36" s="72" t="s">
        <v>1911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1921</v>
      </c>
      <c r="C37" s="62">
        <v>115.59</v>
      </c>
      <c r="D37" s="62">
        <v>115.58</v>
      </c>
      <c r="E37" s="71">
        <v>-0.0100000000000051</v>
      </c>
      <c r="F37" s="72" t="s">
        <v>1919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1931</v>
      </c>
      <c r="C38" s="62">
        <v>115.59</v>
      </c>
      <c r="D38" s="62">
        <v>115.58</v>
      </c>
      <c r="E38" s="71">
        <v>-0.0100000000000051</v>
      </c>
      <c r="F38" s="72" t="s">
        <v>1929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1941</v>
      </c>
      <c r="C39" s="62">
        <v>115.59</v>
      </c>
      <c r="D39" s="62">
        <v>115.58</v>
      </c>
      <c r="E39" s="71">
        <v>-0.0100000000000051</v>
      </c>
      <c r="F39" s="72" t="s">
        <v>1939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1950</v>
      </c>
      <c r="C40" s="62">
        <v>115.59</v>
      </c>
      <c r="D40" s="62">
        <v>115.58</v>
      </c>
      <c r="E40" s="71">
        <v>-0.0100000000000051</v>
      </c>
      <c r="F40" s="72" t="s">
        <v>5267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1961</v>
      </c>
      <c r="C41" s="62">
        <v>115.59</v>
      </c>
      <c r="D41" s="62">
        <v>115.58</v>
      </c>
      <c r="E41" s="71">
        <v>-0.0100000000000051</v>
      </c>
      <c r="F41" s="72" t="s">
        <v>1959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1971</v>
      </c>
      <c r="C42" s="62">
        <v>115.59</v>
      </c>
      <c r="D42" s="62">
        <v>115.58</v>
      </c>
      <c r="E42" s="71">
        <v>-0.0100000000000051</v>
      </c>
      <c r="F42" s="72" t="s">
        <v>1969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1980</v>
      </c>
      <c r="C43" s="62">
        <v>115.59</v>
      </c>
      <c r="D43" s="62">
        <v>115.58</v>
      </c>
      <c r="E43" s="71">
        <v>-0.0100000000000051</v>
      </c>
      <c r="F43" s="72" t="s">
        <v>1613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1990</v>
      </c>
      <c r="C44" s="62">
        <v>115.59</v>
      </c>
      <c r="D44" s="62">
        <v>115.58</v>
      </c>
      <c r="E44" s="71">
        <v>-0.0100000000000051</v>
      </c>
      <c r="F44" s="72" t="s">
        <v>5268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1999</v>
      </c>
      <c r="C45" s="62">
        <v>115.59</v>
      </c>
      <c r="D45" s="62">
        <v>115.58</v>
      </c>
      <c r="E45" s="71">
        <v>-0.0100000000000051</v>
      </c>
      <c r="F45" s="72" t="s">
        <v>5269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2032</v>
      </c>
      <c r="C46" s="71">
        <v>151.49</v>
      </c>
      <c r="D46" s="71">
        <v>151.48</v>
      </c>
      <c r="E46" s="71">
        <v>-0.0100000000000193</v>
      </c>
      <c r="F46" s="72" t="s">
        <v>2030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2048</v>
      </c>
      <c r="C47" s="71">
        <v>151.49</v>
      </c>
      <c r="D47" s="71">
        <v>151.48</v>
      </c>
      <c r="E47" s="71">
        <v>-0.0100000000000193</v>
      </c>
      <c r="F47" s="72" t="s">
        <v>2050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2068</v>
      </c>
      <c r="C48" s="71">
        <v>151.49</v>
      </c>
      <c r="D48" s="71">
        <v>151.48</v>
      </c>
      <c r="E48" s="71">
        <v>-0.0100000000000193</v>
      </c>
      <c r="F48" s="72" t="s">
        <v>2067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2087</v>
      </c>
      <c r="C49" s="71">
        <v>151.49</v>
      </c>
      <c r="D49" s="71">
        <v>151.48</v>
      </c>
      <c r="E49" s="71">
        <v>-0.0100000000000193</v>
      </c>
      <c r="F49" s="72" t="s">
        <v>2085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2104</v>
      </c>
      <c r="C50" s="62">
        <v>151.49</v>
      </c>
      <c r="D50" s="71">
        <v>151.48</v>
      </c>
      <c r="E50" s="71">
        <v>-0.0100000000000193</v>
      </c>
      <c r="F50" s="72" t="s">
        <v>2103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2121</v>
      </c>
      <c r="C51" s="62">
        <v>151.49</v>
      </c>
      <c r="D51" s="71">
        <v>151.48</v>
      </c>
      <c r="E51" s="71">
        <v>-0.0100000000000193</v>
      </c>
      <c r="F51" s="72" t="s">
        <v>5270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2136</v>
      </c>
      <c r="C52" s="62">
        <v>151.49</v>
      </c>
      <c r="D52" s="71">
        <v>151.48</v>
      </c>
      <c r="E52" s="71">
        <v>-0.0100000000000193</v>
      </c>
      <c r="F52" s="72" t="s">
        <v>2134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2152</v>
      </c>
      <c r="C53" s="62">
        <v>151.49</v>
      </c>
      <c r="D53" s="71">
        <v>151.48</v>
      </c>
      <c r="E53" s="71">
        <v>-0.0100000000000193</v>
      </c>
      <c r="F53" s="72" t="s">
        <v>2151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2167</v>
      </c>
      <c r="C54" s="62">
        <v>151.49</v>
      </c>
      <c r="D54" s="71">
        <v>151.48</v>
      </c>
      <c r="E54" s="71">
        <v>-0.0100000000000193</v>
      </c>
      <c r="F54" s="72" t="s">
        <v>2165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2186</v>
      </c>
      <c r="C55" s="62">
        <v>151.49</v>
      </c>
      <c r="D55" s="71">
        <v>151.48</v>
      </c>
      <c r="E55" s="71">
        <v>-0.0100000000000193</v>
      </c>
      <c r="F55" s="72" t="s">
        <v>1606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59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423</v>
      </c>
      <c r="C1" s="24" t="s">
        <v>424</v>
      </c>
      <c r="D1" s="24" t="s">
        <v>426</v>
      </c>
      <c r="E1" s="24" t="s">
        <v>427</v>
      </c>
      <c r="F1" s="24"/>
      <c r="G1" s="24"/>
      <c r="H1" s="24" t="s">
        <v>429</v>
      </c>
      <c r="I1" s="37" t="s">
        <v>1169</v>
      </c>
      <c r="J1" s="24" t="s">
        <v>431</v>
      </c>
      <c r="K1" s="24" t="s">
        <v>432</v>
      </c>
      <c r="L1" s="38" t="s">
        <v>433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5271</v>
      </c>
      <c r="O2" s="21" t="s">
        <v>14</v>
      </c>
    </row>
    <row r="3" customHeight="1" spans="2:15">
      <c r="B3" s="25"/>
      <c r="C3" s="26" t="s">
        <v>5272</v>
      </c>
      <c r="D3" s="26"/>
      <c r="E3" s="25" t="s">
        <v>1234</v>
      </c>
      <c r="F3" s="25"/>
      <c r="G3" s="25"/>
      <c r="H3" s="27" t="s">
        <v>1235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1237</v>
      </c>
      <c r="C4" s="26">
        <v>20230001464</v>
      </c>
      <c r="D4" s="849" t="s">
        <v>1238</v>
      </c>
      <c r="E4" s="25" t="s">
        <v>1239</v>
      </c>
      <c r="F4" s="25"/>
      <c r="G4" s="25"/>
      <c r="H4" s="27" t="s">
        <v>1241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1248</v>
      </c>
      <c r="C5" s="26">
        <v>20230004789</v>
      </c>
      <c r="D5" s="849" t="s">
        <v>1249</v>
      </c>
      <c r="E5" s="26" t="s">
        <v>1213</v>
      </c>
      <c r="F5" s="26"/>
      <c r="G5" s="26"/>
      <c r="H5" s="28" t="s">
        <v>1251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1254</v>
      </c>
      <c r="C6" s="26">
        <v>20230006624</v>
      </c>
      <c r="D6" s="849" t="s">
        <v>1255</v>
      </c>
      <c r="E6" s="26" t="s">
        <v>1256</v>
      </c>
      <c r="F6" s="26"/>
      <c r="G6" s="26"/>
      <c r="H6" s="27" t="s">
        <v>1258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1260</v>
      </c>
      <c r="C7" s="26">
        <v>20230001743</v>
      </c>
      <c r="D7" s="26" t="s">
        <v>1261</v>
      </c>
      <c r="E7" s="26" t="s">
        <v>1262</v>
      </c>
      <c r="F7" s="26"/>
      <c r="G7" s="26"/>
      <c r="H7" s="28" t="s">
        <v>1263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1245</v>
      </c>
      <c r="C8" s="26">
        <v>20230001404</v>
      </c>
      <c r="D8" s="849" t="s">
        <v>1265</v>
      </c>
      <c r="E8" s="25" t="s">
        <v>1266</v>
      </c>
      <c r="F8" s="25"/>
      <c r="G8" s="25"/>
      <c r="H8" s="27" t="s">
        <v>1268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1237</v>
      </c>
      <c r="C9" s="26">
        <v>20230001431</v>
      </c>
      <c r="D9" s="849" t="s">
        <v>1272</v>
      </c>
      <c r="E9" s="26" t="s">
        <v>1222</v>
      </c>
      <c r="F9" s="26"/>
      <c r="G9" s="26"/>
      <c r="H9" s="28" t="s">
        <v>1274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1277</v>
      </c>
      <c r="C10" s="26">
        <v>20230000706</v>
      </c>
      <c r="D10" s="849" t="s">
        <v>1278</v>
      </c>
      <c r="E10" s="25" t="s">
        <v>1279</v>
      </c>
      <c r="F10" s="25"/>
      <c r="G10" s="25"/>
      <c r="H10" s="27" t="s">
        <v>1280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1245</v>
      </c>
      <c r="C11" s="26">
        <v>20230001400</v>
      </c>
      <c r="D11" s="26" t="s">
        <v>1284</v>
      </c>
      <c r="E11" s="25" t="s">
        <v>5273</v>
      </c>
      <c r="F11" s="25"/>
      <c r="G11" s="25"/>
      <c r="H11" s="28" t="s">
        <v>1287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772</v>
      </c>
      <c r="C12" s="26">
        <v>20230003790</v>
      </c>
      <c r="D12" s="849" t="s">
        <v>1291</v>
      </c>
      <c r="E12" s="25" t="s">
        <v>1292</v>
      </c>
      <c r="F12" s="25"/>
      <c r="G12" s="25"/>
      <c r="H12" s="27" t="s">
        <v>1294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1300</v>
      </c>
      <c r="E13" s="26" t="s">
        <v>1301</v>
      </c>
      <c r="F13" s="26"/>
      <c r="G13" s="26"/>
      <c r="H13" s="28" t="s">
        <v>1303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1308</v>
      </c>
      <c r="C14" s="26">
        <v>20230000730</v>
      </c>
      <c r="D14" s="849" t="s">
        <v>1309</v>
      </c>
      <c r="E14" s="25" t="s">
        <v>1310</v>
      </c>
      <c r="F14" s="25"/>
      <c r="G14" s="25"/>
      <c r="H14" s="27" t="s">
        <v>1312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1277</v>
      </c>
      <c r="C15" s="26">
        <v>20230000725</v>
      </c>
      <c r="D15" s="849" t="s">
        <v>1317</v>
      </c>
      <c r="E15" s="25" t="s">
        <v>1318</v>
      </c>
      <c r="F15" s="25"/>
      <c r="G15" s="25"/>
      <c r="H15" s="28" t="s">
        <v>1320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1325</v>
      </c>
      <c r="C16" s="26">
        <v>20230000142</v>
      </c>
      <c r="D16" s="849" t="s">
        <v>1326</v>
      </c>
      <c r="E16" s="25" t="s">
        <v>1327</v>
      </c>
      <c r="F16" s="25"/>
      <c r="G16" s="25"/>
      <c r="H16" s="27" t="s">
        <v>1329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1336</v>
      </c>
      <c r="C17" s="26">
        <v>20230000953</v>
      </c>
      <c r="D17" s="849" t="s">
        <v>1337</v>
      </c>
      <c r="E17" s="26" t="s">
        <v>1338</v>
      </c>
      <c r="F17" s="26"/>
      <c r="G17" s="26"/>
      <c r="H17" s="27" t="s">
        <v>1340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1245</v>
      </c>
      <c r="C18" s="26">
        <v>20230001308</v>
      </c>
      <c r="D18" s="26" t="s">
        <v>1346</v>
      </c>
      <c r="E18" s="25" t="s">
        <v>1347</v>
      </c>
      <c r="F18" s="25"/>
      <c r="G18" s="25"/>
      <c r="H18" s="27" t="s">
        <v>1349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1354</v>
      </c>
      <c r="C19" s="26">
        <v>20230003229</v>
      </c>
      <c r="D19" s="849" t="s">
        <v>1355</v>
      </c>
      <c r="E19" s="26" t="s">
        <v>1356</v>
      </c>
      <c r="F19" s="26"/>
      <c r="G19" s="26"/>
      <c r="H19" s="28" t="s">
        <v>1358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1276</v>
      </c>
      <c r="C20" s="26">
        <v>20230001243</v>
      </c>
      <c r="D20" s="849" t="s">
        <v>1361</v>
      </c>
      <c r="E20" s="30" t="s">
        <v>1362</v>
      </c>
      <c r="F20" s="30"/>
      <c r="G20" s="30"/>
      <c r="H20" s="27" t="s">
        <v>1364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1276</v>
      </c>
      <c r="C21" s="26">
        <v>20230001161</v>
      </c>
      <c r="D21" s="849" t="s">
        <v>1369</v>
      </c>
      <c r="E21" s="25" t="s">
        <v>1370</v>
      </c>
      <c r="F21" s="25"/>
      <c r="G21" s="25"/>
      <c r="H21" s="28" t="s">
        <v>1372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1376</v>
      </c>
      <c r="C22" s="26">
        <v>20230000170</v>
      </c>
      <c r="D22" s="849" t="s">
        <v>1377</v>
      </c>
      <c r="E22" s="25" t="s">
        <v>1201</v>
      </c>
      <c r="F22" s="25"/>
      <c r="G22" s="25"/>
      <c r="H22" s="27" t="s">
        <v>1378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696</v>
      </c>
      <c r="C23" s="26">
        <v>20230005171</v>
      </c>
      <c r="D23" s="849" t="s">
        <v>1385</v>
      </c>
      <c r="E23" s="25" t="s">
        <v>1386</v>
      </c>
      <c r="F23" s="25"/>
      <c r="G23" s="25"/>
      <c r="H23" s="28" t="s">
        <v>1388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1245</v>
      </c>
      <c r="C24" s="26">
        <v>20230001343</v>
      </c>
      <c r="D24" s="849" t="s">
        <v>1394</v>
      </c>
      <c r="E24" s="25" t="s">
        <v>1203</v>
      </c>
      <c r="F24" s="25"/>
      <c r="G24" s="25"/>
      <c r="H24" s="27" t="s">
        <v>1396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656</v>
      </c>
      <c r="C25" s="26">
        <v>20230008632</v>
      </c>
      <c r="D25" s="849" t="s">
        <v>1402</v>
      </c>
      <c r="E25" s="25" t="s">
        <v>1403</v>
      </c>
      <c r="F25" s="25"/>
      <c r="G25" s="25"/>
      <c r="H25" s="28" t="s">
        <v>1405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1344</v>
      </c>
      <c r="C26" s="26">
        <v>20230000901</v>
      </c>
      <c r="D26" s="849" t="s">
        <v>1409</v>
      </c>
      <c r="E26" s="26" t="s">
        <v>1410</v>
      </c>
      <c r="F26" s="26"/>
      <c r="G26" s="26"/>
      <c r="H26" s="27" t="s">
        <v>1412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881</v>
      </c>
      <c r="C27" s="26">
        <v>20230006450</v>
      </c>
      <c r="D27" s="849" t="s">
        <v>1417</v>
      </c>
      <c r="E27" s="26" t="s">
        <v>1418</v>
      </c>
      <c r="F27" s="26"/>
      <c r="G27" s="26"/>
      <c r="H27" s="28" t="s">
        <v>1420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1050</v>
      </c>
      <c r="C28" s="26">
        <v>20230005822</v>
      </c>
      <c r="D28" s="849" t="s">
        <v>1423</v>
      </c>
      <c r="E28" s="26" t="s">
        <v>1424</v>
      </c>
      <c r="F28" s="26"/>
      <c r="G28" s="26"/>
      <c r="H28" s="27" t="s">
        <v>1425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1382</v>
      </c>
      <c r="C29" s="26">
        <v>20230001075</v>
      </c>
      <c r="D29" s="849" t="s">
        <v>1432</v>
      </c>
      <c r="E29" s="26" t="s">
        <v>1433</v>
      </c>
      <c r="F29" s="26"/>
      <c r="G29" s="26"/>
      <c r="H29" s="28" t="s">
        <v>1435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783</v>
      </c>
      <c r="C30" s="26">
        <v>20230001692</v>
      </c>
      <c r="D30" s="26" t="s">
        <v>1441</v>
      </c>
      <c r="E30" s="25" t="s">
        <v>1442</v>
      </c>
      <c r="F30" s="25"/>
      <c r="G30" s="25"/>
      <c r="H30" s="28" t="s">
        <v>1444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1237</v>
      </c>
      <c r="C31" s="26">
        <v>20230001440</v>
      </c>
      <c r="D31" s="29" t="s">
        <v>1449</v>
      </c>
      <c r="E31" s="31" t="s">
        <v>1225</v>
      </c>
      <c r="F31" s="31"/>
      <c r="G31" s="31"/>
      <c r="H31" s="28" t="s">
        <v>1450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1237</v>
      </c>
      <c r="C32" s="32" t="s">
        <v>1452</v>
      </c>
      <c r="D32" s="29" t="s">
        <v>1453</v>
      </c>
      <c r="E32" s="31" t="s">
        <v>1454</v>
      </c>
      <c r="F32" s="31"/>
      <c r="G32" s="31"/>
      <c r="H32" s="27" t="s">
        <v>1455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1276</v>
      </c>
      <c r="C33" s="32" t="s">
        <v>1461</v>
      </c>
      <c r="D33" s="849" t="s">
        <v>1462</v>
      </c>
      <c r="E33" s="25" t="s">
        <v>1463</v>
      </c>
      <c r="F33" s="25"/>
      <c r="G33" s="25"/>
      <c r="H33" s="27" t="s">
        <v>1464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1344</v>
      </c>
      <c r="C34" s="32" t="s">
        <v>1469</v>
      </c>
      <c r="D34" s="29" t="s">
        <v>1470</v>
      </c>
      <c r="E34" s="25" t="s">
        <v>1471</v>
      </c>
      <c r="F34" s="25"/>
      <c r="G34" s="25"/>
      <c r="H34" s="28" t="s">
        <v>1473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557</v>
      </c>
      <c r="C35" s="32" t="s">
        <v>1479</v>
      </c>
      <c r="D35" s="849" t="s">
        <v>1480</v>
      </c>
      <c r="E35" s="31" t="s">
        <v>1481</v>
      </c>
      <c r="F35" s="31"/>
      <c r="G35" s="31"/>
      <c r="H35" s="27" t="s">
        <v>1483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1476</v>
      </c>
      <c r="C36" s="26">
        <v>20230002636</v>
      </c>
      <c r="D36" s="29" t="s">
        <v>1487</v>
      </c>
      <c r="E36" s="31" t="s">
        <v>1211</v>
      </c>
      <c r="F36" s="31"/>
      <c r="G36" s="31"/>
      <c r="H36" s="28" t="s">
        <v>1489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1237</v>
      </c>
      <c r="C37" s="26">
        <v>20230001427</v>
      </c>
      <c r="D37" s="29" t="s">
        <v>1497</v>
      </c>
      <c r="E37" s="31" t="s">
        <v>1498</v>
      </c>
      <c r="F37" s="31"/>
      <c r="G37" s="31"/>
      <c r="H37" s="27" t="s">
        <v>1500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1382</v>
      </c>
      <c r="C38" s="33" t="s">
        <v>1505</v>
      </c>
      <c r="D38" s="29" t="s">
        <v>1506</v>
      </c>
      <c r="E38" s="31" t="s">
        <v>1507</v>
      </c>
      <c r="F38" s="31"/>
      <c r="G38" s="31"/>
      <c r="H38" s="28" t="s">
        <v>1509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1245</v>
      </c>
      <c r="C39" s="33" t="s">
        <v>1516</v>
      </c>
      <c r="D39" s="29" t="s">
        <v>1517</v>
      </c>
      <c r="E39" s="31" t="s">
        <v>1518</v>
      </c>
      <c r="F39" s="31"/>
      <c r="G39" s="31"/>
      <c r="H39" s="27" t="s">
        <v>1520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1526</v>
      </c>
      <c r="C40" s="33" t="s">
        <v>1527</v>
      </c>
      <c r="D40" s="29" t="s">
        <v>1528</v>
      </c>
      <c r="E40" s="31" t="s">
        <v>1529</v>
      </c>
      <c r="F40" s="31"/>
      <c r="G40" s="31"/>
      <c r="H40" s="28" t="s">
        <v>1531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1277</v>
      </c>
      <c r="C41" s="26">
        <v>20230000663</v>
      </c>
      <c r="D41" s="29" t="s">
        <v>1537</v>
      </c>
      <c r="E41" s="31" t="s">
        <v>1538</v>
      </c>
      <c r="F41" s="31"/>
      <c r="G41" s="31"/>
      <c r="H41" s="27" t="s">
        <v>1540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1382</v>
      </c>
      <c r="C42" s="33" t="s">
        <v>1545</v>
      </c>
      <c r="D42" s="29" t="s">
        <v>1546</v>
      </c>
      <c r="E42" s="31" t="s">
        <v>1547</v>
      </c>
      <c r="F42" s="31"/>
      <c r="G42" s="31"/>
      <c r="H42" s="28" t="s">
        <v>1549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1382</v>
      </c>
      <c r="C43" s="33" t="s">
        <v>1555</v>
      </c>
      <c r="D43" s="29" t="s">
        <v>1556</v>
      </c>
      <c r="E43" s="34" t="s">
        <v>5274</v>
      </c>
      <c r="F43" s="34"/>
      <c r="G43" s="34"/>
      <c r="H43" s="27" t="s">
        <v>1558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1237</v>
      </c>
      <c r="C44" s="33" t="s">
        <v>1561</v>
      </c>
      <c r="D44" s="35" t="s">
        <v>1562</v>
      </c>
      <c r="E44" s="34" t="s">
        <v>1563</v>
      </c>
      <c r="F44" s="34"/>
      <c r="G44" s="34"/>
      <c r="H44" s="28" t="s">
        <v>1564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1569</v>
      </c>
      <c r="C45" s="33" t="s">
        <v>1570</v>
      </c>
      <c r="D45" s="29" t="s">
        <v>1571</v>
      </c>
      <c r="E45" s="34" t="s">
        <v>1572</v>
      </c>
      <c r="F45" s="34"/>
      <c r="G45" s="34"/>
      <c r="H45" s="27" t="s">
        <v>1574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1039</v>
      </c>
      <c r="C46" s="33" t="s">
        <v>1583</v>
      </c>
      <c r="D46" s="29" t="s">
        <v>1584</v>
      </c>
      <c r="E46" s="34" t="s">
        <v>1585</v>
      </c>
      <c r="F46" s="34"/>
      <c r="G46" s="34"/>
      <c r="H46" s="27" t="s">
        <v>1587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1621</v>
      </c>
      <c r="C47" s="33" t="s">
        <v>1622</v>
      </c>
      <c r="D47" s="29" t="s">
        <v>1623</v>
      </c>
      <c r="E47" s="29" t="s">
        <v>1624</v>
      </c>
      <c r="F47" s="29"/>
      <c r="G47" s="29"/>
      <c r="H47" s="27" t="s">
        <v>1626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1639</v>
      </c>
      <c r="D48" s="29" t="s">
        <v>1641</v>
      </c>
      <c r="E48" s="34" t="s">
        <v>1642</v>
      </c>
      <c r="F48" s="34"/>
      <c r="G48" s="34"/>
      <c r="H48" s="27" t="s">
        <v>1643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1644</v>
      </c>
      <c r="C49" s="33" t="s">
        <v>1645</v>
      </c>
      <c r="D49" s="29" t="s">
        <v>1646</v>
      </c>
      <c r="E49" s="34" t="s">
        <v>1647</v>
      </c>
      <c r="F49" s="34"/>
      <c r="G49" s="34"/>
      <c r="H49" s="28" t="s">
        <v>1648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1652</v>
      </c>
      <c r="D50" s="29" t="s">
        <v>1653</v>
      </c>
      <c r="E50" s="31" t="s">
        <v>1654</v>
      </c>
      <c r="F50" s="31"/>
      <c r="G50" s="31"/>
      <c r="H50" s="27" t="s">
        <v>1656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1663</v>
      </c>
      <c r="C51" s="33" t="s">
        <v>1664</v>
      </c>
      <c r="D51" s="849" t="s">
        <v>1665</v>
      </c>
      <c r="E51" s="31" t="s">
        <v>1666</v>
      </c>
      <c r="F51" s="31"/>
      <c r="G51" s="31"/>
      <c r="H51" s="28" t="s">
        <v>1668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1245</v>
      </c>
      <c r="C52" s="33" t="s">
        <v>1673</v>
      </c>
      <c r="D52" s="29" t="s">
        <v>1674</v>
      </c>
      <c r="E52" s="34" t="s">
        <v>1675</v>
      </c>
      <c r="F52" s="34"/>
      <c r="G52" s="34"/>
      <c r="H52" s="27" t="s">
        <v>1677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1276</v>
      </c>
      <c r="C53" s="32" t="s">
        <v>1684</v>
      </c>
      <c r="D53" s="29" t="s">
        <v>1685</v>
      </c>
      <c r="E53" s="34" t="s">
        <v>1686</v>
      </c>
      <c r="F53" s="34"/>
      <c r="G53" s="34"/>
      <c r="H53" s="28" t="s">
        <v>1688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1344</v>
      </c>
      <c r="C54" s="33" t="s">
        <v>1694</v>
      </c>
      <c r="D54" s="29" t="s">
        <v>1695</v>
      </c>
      <c r="E54" s="31" t="s">
        <v>1696</v>
      </c>
      <c r="F54" s="31"/>
      <c r="G54" s="31"/>
      <c r="H54" s="27" t="s">
        <v>1697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1382</v>
      </c>
      <c r="C55" s="33" t="s">
        <v>1700</v>
      </c>
      <c r="D55" s="29" t="s">
        <v>1701</v>
      </c>
      <c r="E55" s="31" t="s">
        <v>1702</v>
      </c>
      <c r="F55" s="31"/>
      <c r="G55" s="31"/>
      <c r="H55" s="28" t="s">
        <v>1703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1709</v>
      </c>
      <c r="C56" s="33" t="s">
        <v>1710</v>
      </c>
      <c r="D56" s="29" t="s">
        <v>1711</v>
      </c>
      <c r="E56" s="31" t="s">
        <v>1712</v>
      </c>
      <c r="F56" s="31"/>
      <c r="G56" s="31"/>
      <c r="H56" s="27" t="s">
        <v>1713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1382</v>
      </c>
      <c r="C57" s="33" t="s">
        <v>1717</v>
      </c>
      <c r="D57" s="29" t="s">
        <v>1718</v>
      </c>
      <c r="E57" s="31" t="s">
        <v>1719</v>
      </c>
      <c r="F57" s="31"/>
      <c r="G57" s="31"/>
      <c r="H57" s="28" t="s">
        <v>1721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1726</v>
      </c>
      <c r="C58" s="33" t="s">
        <v>1727</v>
      </c>
      <c r="D58" s="29" t="s">
        <v>1728</v>
      </c>
      <c r="E58" s="25" t="s">
        <v>1729</v>
      </c>
      <c r="F58" s="25"/>
      <c r="G58" s="25"/>
      <c r="H58" s="27" t="s">
        <v>1731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1709</v>
      </c>
      <c r="C59" s="33" t="s">
        <v>1737</v>
      </c>
      <c r="D59" s="29" t="s">
        <v>1738</v>
      </c>
      <c r="E59" s="25" t="s">
        <v>1739</v>
      </c>
      <c r="F59" s="25"/>
      <c r="G59" s="25"/>
      <c r="H59" s="27" t="s">
        <v>1741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1245</v>
      </c>
      <c r="C60" s="33" t="s">
        <v>1746</v>
      </c>
      <c r="D60" s="29" t="s">
        <v>1747</v>
      </c>
      <c r="E60" s="25" t="s">
        <v>1748</v>
      </c>
      <c r="F60" s="25"/>
      <c r="G60" s="25"/>
      <c r="H60" s="27" t="s">
        <v>1749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1316</v>
      </c>
      <c r="C61" s="33" t="s">
        <v>1752</v>
      </c>
      <c r="D61" s="29" t="s">
        <v>1753</v>
      </c>
      <c r="E61" s="25" t="s">
        <v>1754</v>
      </c>
      <c r="F61" s="25"/>
      <c r="G61" s="25"/>
      <c r="H61" s="27" t="s">
        <v>1756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1276</v>
      </c>
      <c r="C62" s="33" t="s">
        <v>1761</v>
      </c>
      <c r="D62" s="29" t="s">
        <v>1762</v>
      </c>
      <c r="E62" s="26" t="s">
        <v>1763</v>
      </c>
      <c r="F62" s="26"/>
      <c r="G62" s="26"/>
      <c r="H62" s="28" t="s">
        <v>1765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1276</v>
      </c>
      <c r="C63" s="33" t="s">
        <v>1771</v>
      </c>
      <c r="D63" s="29" t="s">
        <v>1772</v>
      </c>
      <c r="E63" s="25" t="s">
        <v>1598</v>
      </c>
      <c r="F63" s="25"/>
      <c r="G63" s="25"/>
      <c r="H63" s="27" t="s">
        <v>1773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1237</v>
      </c>
      <c r="C64" s="33" t="s">
        <v>1777</v>
      </c>
      <c r="D64" s="29" t="s">
        <v>1778</v>
      </c>
      <c r="E64" s="26" t="s">
        <v>1779</v>
      </c>
      <c r="F64" s="26"/>
      <c r="G64" s="26"/>
      <c r="H64" s="28" t="s">
        <v>1780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1316</v>
      </c>
      <c r="C65" s="33" t="s">
        <v>1782</v>
      </c>
      <c r="D65" s="29" t="s">
        <v>5275</v>
      </c>
      <c r="E65" s="26" t="s">
        <v>1784</v>
      </c>
      <c r="F65" s="26"/>
      <c r="G65" s="26"/>
      <c r="H65" s="27" t="s">
        <v>1786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1344</v>
      </c>
      <c r="C66" s="33" t="s">
        <v>1792</v>
      </c>
      <c r="D66" s="29" t="s">
        <v>1793</v>
      </c>
      <c r="E66" s="31" t="s">
        <v>1794</v>
      </c>
      <c r="F66" s="31"/>
      <c r="G66" s="31"/>
      <c r="H66" s="28" t="s">
        <v>1796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656</v>
      </c>
      <c r="C67" s="33" t="s">
        <v>1801</v>
      </c>
      <c r="D67" s="29" t="s">
        <v>1802</v>
      </c>
      <c r="E67" s="25" t="s">
        <v>1803</v>
      </c>
      <c r="F67" s="25"/>
      <c r="G67" s="25"/>
      <c r="H67" s="27" t="s">
        <v>1805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1808</v>
      </c>
      <c r="C68" s="33" t="s">
        <v>1809</v>
      </c>
      <c r="D68" s="29" t="s">
        <v>799</v>
      </c>
      <c r="E68" s="25" t="s">
        <v>1810</v>
      </c>
      <c r="F68" s="25"/>
      <c r="G68" s="25"/>
      <c r="H68" s="28" t="s">
        <v>1812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1237</v>
      </c>
      <c r="C69" s="33" t="s">
        <v>1817</v>
      </c>
      <c r="D69" s="29" t="s">
        <v>1818</v>
      </c>
      <c r="E69" s="26" t="s">
        <v>1819</v>
      </c>
      <c r="F69" s="26"/>
      <c r="G69" s="26"/>
      <c r="H69" s="27" t="s">
        <v>1821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1826</v>
      </c>
      <c r="C70" s="33" t="s">
        <v>1827</v>
      </c>
      <c r="D70" s="29" t="s">
        <v>1828</v>
      </c>
      <c r="E70" s="26" t="s">
        <v>1829</v>
      </c>
      <c r="F70" s="26"/>
      <c r="G70" s="26"/>
      <c r="H70" s="28" t="s">
        <v>1830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1834</v>
      </c>
      <c r="D71" s="29" t="s">
        <v>1835</v>
      </c>
      <c r="E71" s="26" t="s">
        <v>1836</v>
      </c>
      <c r="F71" s="26"/>
      <c r="G71" s="26"/>
      <c r="H71" s="27" t="s">
        <v>1838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1842</v>
      </c>
      <c r="C72" s="33" t="s">
        <v>1843</v>
      </c>
      <c r="D72" s="29" t="s">
        <v>1844</v>
      </c>
      <c r="E72" s="25" t="s">
        <v>1604</v>
      </c>
      <c r="F72" s="25"/>
      <c r="G72" s="25"/>
      <c r="H72" s="28" t="s">
        <v>1845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1316</v>
      </c>
      <c r="C73" s="33" t="s">
        <v>1849</v>
      </c>
      <c r="D73" s="29" t="s">
        <v>1850</v>
      </c>
      <c r="E73" s="25" t="s">
        <v>1851</v>
      </c>
      <c r="F73" s="25"/>
      <c r="G73" s="25"/>
      <c r="H73" s="27" t="s">
        <v>1852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1277</v>
      </c>
      <c r="C74" s="33" t="s">
        <v>1856</v>
      </c>
      <c r="D74" s="29" t="s">
        <v>1857</v>
      </c>
      <c r="E74" s="25" t="s">
        <v>1858</v>
      </c>
      <c r="F74" s="25"/>
      <c r="G74" s="25"/>
      <c r="H74" s="27" t="s">
        <v>1860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1866</v>
      </c>
      <c r="C75" s="33" t="s">
        <v>1867</v>
      </c>
      <c r="D75" s="29" t="s">
        <v>1868</v>
      </c>
      <c r="E75" s="25" t="s">
        <v>1608</v>
      </c>
      <c r="F75" s="25"/>
      <c r="G75" s="25"/>
      <c r="H75" s="27" t="s">
        <v>1870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1276</v>
      </c>
      <c r="C76" s="33" t="s">
        <v>1875</v>
      </c>
      <c r="D76" s="29" t="s">
        <v>1876</v>
      </c>
      <c r="E76" s="25" t="s">
        <v>1877</v>
      </c>
      <c r="F76" s="25"/>
      <c r="G76" s="25"/>
      <c r="H76" s="28" t="s">
        <v>1879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1406</v>
      </c>
      <c r="C77" s="33" t="s">
        <v>1884</v>
      </c>
      <c r="D77" s="43" t="s">
        <v>1885</v>
      </c>
      <c r="E77" s="25" t="s">
        <v>1886</v>
      </c>
      <c r="F77" s="25"/>
      <c r="G77" s="25"/>
      <c r="H77" s="27" t="s">
        <v>1887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1344</v>
      </c>
      <c r="C78" s="33" t="s">
        <v>1893</v>
      </c>
      <c r="D78" s="29" t="s">
        <v>1894</v>
      </c>
      <c r="E78" s="25" t="s">
        <v>1616</v>
      </c>
      <c r="F78" s="25"/>
      <c r="G78" s="25"/>
      <c r="H78" s="28" t="s">
        <v>1896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1316</v>
      </c>
      <c r="C79" s="33" t="s">
        <v>1901</v>
      </c>
      <c r="D79" s="29" t="s">
        <v>1902</v>
      </c>
      <c r="E79" s="31" t="s">
        <v>1618</v>
      </c>
      <c r="F79" s="31"/>
      <c r="G79" s="31"/>
      <c r="H79" s="27" t="s">
        <v>1904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1237</v>
      </c>
      <c r="C80" s="33" t="s">
        <v>1909</v>
      </c>
      <c r="D80" s="29" t="s">
        <v>1910</v>
      </c>
      <c r="E80" s="25" t="s">
        <v>1911</v>
      </c>
      <c r="F80" s="25"/>
      <c r="G80" s="25"/>
      <c r="H80" s="28" t="s">
        <v>1913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1316</v>
      </c>
      <c r="C81" s="33" t="s">
        <v>1917</v>
      </c>
      <c r="D81" s="43" t="s">
        <v>1918</v>
      </c>
      <c r="E81" s="25" t="s">
        <v>1919</v>
      </c>
      <c r="F81" s="25"/>
      <c r="G81" s="25"/>
      <c r="H81" s="27" t="s">
        <v>1921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1927</v>
      </c>
      <c r="D82" s="29" t="s">
        <v>1928</v>
      </c>
      <c r="E82" s="25" t="s">
        <v>1929</v>
      </c>
      <c r="F82" s="25"/>
      <c r="G82" s="25"/>
      <c r="H82" s="28" t="s">
        <v>1931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1276</v>
      </c>
      <c r="C83" s="33" t="s">
        <v>1937</v>
      </c>
      <c r="D83" s="29" t="s">
        <v>1938</v>
      </c>
      <c r="E83" s="25" t="s">
        <v>1939</v>
      </c>
      <c r="F83" s="25"/>
      <c r="G83" s="25"/>
      <c r="H83" s="27" t="s">
        <v>1941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1245</v>
      </c>
      <c r="C84" s="33" t="s">
        <v>1946</v>
      </c>
      <c r="D84" s="29" t="s">
        <v>1947</v>
      </c>
      <c r="E84" s="25" t="s">
        <v>1948</v>
      </c>
      <c r="F84" s="25"/>
      <c r="G84" s="25"/>
      <c r="H84" s="28" t="s">
        <v>1950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1382</v>
      </c>
      <c r="C85" s="33" t="s">
        <v>1957</v>
      </c>
      <c r="D85" s="29" t="s">
        <v>1958</v>
      </c>
      <c r="E85" s="25" t="s">
        <v>1959</v>
      </c>
      <c r="F85" s="25"/>
      <c r="G85" s="25"/>
      <c r="H85" s="27" t="s">
        <v>1961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1276</v>
      </c>
      <c r="C86" s="33" t="s">
        <v>1967</v>
      </c>
      <c r="D86" s="29" t="s">
        <v>1968</v>
      </c>
      <c r="E86" s="34" t="s">
        <v>1969</v>
      </c>
      <c r="F86" s="34"/>
      <c r="G86" s="34"/>
      <c r="H86" s="28" t="s">
        <v>1971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1383</v>
      </c>
      <c r="C87" s="33" t="s">
        <v>1976</v>
      </c>
      <c r="D87" s="29" t="s">
        <v>1977</v>
      </c>
      <c r="E87" s="34" t="s">
        <v>1978</v>
      </c>
      <c r="F87" s="34"/>
      <c r="G87" s="34"/>
      <c r="H87" s="27" t="s">
        <v>1980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1382</v>
      </c>
      <c r="C88" s="33" t="s">
        <v>1986</v>
      </c>
      <c r="D88" s="29" t="s">
        <v>1987</v>
      </c>
      <c r="E88" s="31" t="s">
        <v>1988</v>
      </c>
      <c r="F88" s="31"/>
      <c r="G88" s="31"/>
      <c r="H88" s="27" t="s">
        <v>1990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1344</v>
      </c>
      <c r="C89" s="29" t="s">
        <v>1995</v>
      </c>
      <c r="D89" s="44" t="s">
        <v>1996</v>
      </c>
      <c r="E89" s="31" t="s">
        <v>1997</v>
      </c>
      <c r="F89" s="31"/>
      <c r="G89" s="31"/>
      <c r="H89" s="27" t="s">
        <v>1999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1316</v>
      </c>
      <c r="C90" s="849" t="s">
        <v>5276</v>
      </c>
      <c r="D90" s="29" t="s">
        <v>2007</v>
      </c>
      <c r="E90" s="31" t="s">
        <v>2008</v>
      </c>
      <c r="F90" s="31"/>
      <c r="G90" s="31"/>
      <c r="H90" s="27" t="s">
        <v>2010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1382</v>
      </c>
      <c r="C91" s="33" t="s">
        <v>2018</v>
      </c>
      <c r="D91" s="29" t="s">
        <v>2019</v>
      </c>
      <c r="E91" s="34" t="s">
        <v>2020</v>
      </c>
      <c r="F91" s="34"/>
      <c r="G91" s="34"/>
      <c r="H91" s="27" t="s">
        <v>2022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2027</v>
      </c>
      <c r="C92" s="33" t="s">
        <v>2028</v>
      </c>
      <c r="D92" s="29" t="s">
        <v>2029</v>
      </c>
      <c r="E92" s="34" t="s">
        <v>2030</v>
      </c>
      <c r="F92" s="34"/>
      <c r="G92" s="34"/>
      <c r="H92" s="28" t="s">
        <v>2032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1237</v>
      </c>
      <c r="C93" s="26">
        <v>20230001471</v>
      </c>
      <c r="D93" s="32" t="s">
        <v>2036</v>
      </c>
      <c r="E93" s="31" t="s">
        <v>2037</v>
      </c>
      <c r="F93" s="31"/>
      <c r="G93" s="31"/>
      <c r="H93" s="27" t="s">
        <v>2039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2044</v>
      </c>
      <c r="C94" s="26">
        <v>20230003708</v>
      </c>
      <c r="D94" s="29" t="s">
        <v>2045</v>
      </c>
      <c r="E94" s="31" t="s">
        <v>2046</v>
      </c>
      <c r="F94" s="31"/>
      <c r="G94" s="31"/>
      <c r="H94" s="28" t="s">
        <v>2048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1316</v>
      </c>
      <c r="C95" s="33" t="s">
        <v>2056</v>
      </c>
      <c r="D95" s="29" t="s">
        <v>2057</v>
      </c>
      <c r="E95" s="31" t="s">
        <v>2058</v>
      </c>
      <c r="F95" s="31"/>
      <c r="G95" s="31"/>
      <c r="H95" s="27" t="s">
        <v>2060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872</v>
      </c>
      <c r="C96" s="33" t="s">
        <v>2065</v>
      </c>
      <c r="D96" s="29" t="s">
        <v>2066</v>
      </c>
      <c r="E96" s="31" t="s">
        <v>2067</v>
      </c>
      <c r="F96" s="31"/>
      <c r="G96" s="31"/>
      <c r="H96" s="28" t="s">
        <v>2068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2072</v>
      </c>
      <c r="C97" s="33" t="s">
        <v>2073</v>
      </c>
      <c r="D97" s="29" t="s">
        <v>2074</v>
      </c>
      <c r="E97" s="31" t="s">
        <v>2075</v>
      </c>
      <c r="F97" s="31"/>
      <c r="G97" s="31"/>
      <c r="H97" s="27" t="s">
        <v>2077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1630</v>
      </c>
      <c r="C98" s="33" t="s">
        <v>2083</v>
      </c>
      <c r="D98" s="29" t="s">
        <v>2084</v>
      </c>
      <c r="E98" s="31" t="s">
        <v>2085</v>
      </c>
      <c r="F98" s="31"/>
      <c r="G98" s="31"/>
      <c r="H98" s="28" t="s">
        <v>2087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1382</v>
      </c>
      <c r="C99" s="33" t="s">
        <v>2092</v>
      </c>
      <c r="D99" s="43" t="s">
        <v>2093</v>
      </c>
      <c r="E99" s="31" t="s">
        <v>2094</v>
      </c>
      <c r="F99" s="31"/>
      <c r="G99" s="31"/>
      <c r="H99" s="27" t="s">
        <v>2096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1245</v>
      </c>
      <c r="C100" s="33" t="s">
        <v>2101</v>
      </c>
      <c r="D100" s="29" t="s">
        <v>2102</v>
      </c>
      <c r="E100" s="31" t="s">
        <v>2103</v>
      </c>
      <c r="F100" s="31"/>
      <c r="G100" s="31"/>
      <c r="H100" s="28" t="s">
        <v>2104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1276</v>
      </c>
      <c r="C101" s="29" t="s">
        <v>2109</v>
      </c>
      <c r="D101" s="43" t="s">
        <v>2110</v>
      </c>
      <c r="E101" s="31" t="s">
        <v>2111</v>
      </c>
      <c r="F101" s="31"/>
      <c r="G101" s="31"/>
      <c r="H101" s="27" t="s">
        <v>2113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1237</v>
      </c>
      <c r="C102" s="33" t="s">
        <v>2118</v>
      </c>
      <c r="D102" s="44" t="s">
        <v>2119</v>
      </c>
      <c r="E102" s="34" t="s">
        <v>2120</v>
      </c>
      <c r="F102" s="34"/>
      <c r="G102" s="34"/>
      <c r="H102" s="27" t="s">
        <v>2121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1245</v>
      </c>
      <c r="C103" s="33" t="s">
        <v>2125</v>
      </c>
      <c r="D103" s="29" t="s">
        <v>2126</v>
      </c>
      <c r="E103" s="31" t="s">
        <v>2127</v>
      </c>
      <c r="F103" s="31"/>
      <c r="G103" s="31"/>
      <c r="H103" s="27" t="s">
        <v>2128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1681</v>
      </c>
      <c r="C104" s="26">
        <v>20230001886</v>
      </c>
      <c r="D104" s="29" t="s">
        <v>2133</v>
      </c>
      <c r="E104" s="34" t="s">
        <v>2134</v>
      </c>
      <c r="F104" s="34"/>
      <c r="G104" s="34"/>
      <c r="H104" s="28" t="s">
        <v>2136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872</v>
      </c>
      <c r="C105" s="33" t="s">
        <v>2140</v>
      </c>
      <c r="D105" s="43" t="s">
        <v>2141</v>
      </c>
      <c r="E105" s="31" t="s">
        <v>2142</v>
      </c>
      <c r="F105" s="31"/>
      <c r="G105" s="31"/>
      <c r="H105" s="27" t="s">
        <v>2144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1681</v>
      </c>
      <c r="C106" s="29" t="s">
        <v>2149</v>
      </c>
      <c r="D106" s="29" t="s">
        <v>2150</v>
      </c>
      <c r="E106" s="31" t="s">
        <v>2151</v>
      </c>
      <c r="F106" s="31"/>
      <c r="G106" s="31"/>
      <c r="H106" s="28" t="s">
        <v>2152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1277</v>
      </c>
      <c r="C107" s="26">
        <v>20230000675</v>
      </c>
      <c r="D107" s="29" t="s">
        <v>521</v>
      </c>
      <c r="E107" s="31" t="s">
        <v>522</v>
      </c>
      <c r="F107" s="31"/>
      <c r="G107" s="31"/>
      <c r="H107" s="27" t="s">
        <v>2156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1335</v>
      </c>
      <c r="C108" s="33" t="s">
        <v>2163</v>
      </c>
      <c r="D108" s="849" t="s">
        <v>2164</v>
      </c>
      <c r="E108" s="26" t="s">
        <v>2165</v>
      </c>
      <c r="F108" s="26"/>
      <c r="G108" s="26"/>
      <c r="H108" s="28" t="s">
        <v>2167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1344</v>
      </c>
      <c r="C109" s="33" t="s">
        <v>2172</v>
      </c>
      <c r="D109" s="44" t="s">
        <v>2173</v>
      </c>
      <c r="E109" s="31" t="s">
        <v>2174</v>
      </c>
      <c r="F109" s="31"/>
      <c r="G109" s="31"/>
      <c r="H109" s="27" t="s">
        <v>2176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2182</v>
      </c>
      <c r="C110" s="26">
        <v>20230004274</v>
      </c>
      <c r="D110" s="29" t="s">
        <v>2183</v>
      </c>
      <c r="E110" s="31" t="s">
        <v>2184</v>
      </c>
      <c r="F110" s="31"/>
      <c r="G110" s="31"/>
      <c r="H110" s="28" t="s">
        <v>2186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1276</v>
      </c>
      <c r="C111" s="33" t="s">
        <v>2227</v>
      </c>
      <c r="D111" s="29" t="s">
        <v>2228</v>
      </c>
      <c r="E111" s="31" t="s">
        <v>2229</v>
      </c>
      <c r="F111" s="31"/>
      <c r="G111" s="31"/>
      <c r="H111" s="27" t="s">
        <v>2231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1495</v>
      </c>
      <c r="C112" s="26">
        <v>20230004510</v>
      </c>
      <c r="D112" s="29" t="s">
        <v>1105</v>
      </c>
      <c r="E112" s="31" t="s">
        <v>2237</v>
      </c>
      <c r="F112" s="31"/>
      <c r="G112" s="31"/>
      <c r="H112" s="28" t="s">
        <v>2239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2242</v>
      </c>
      <c r="C113" s="33" t="s">
        <v>2243</v>
      </c>
      <c r="D113" s="29" t="s">
        <v>2244</v>
      </c>
      <c r="E113" s="26" t="s">
        <v>2245</v>
      </c>
      <c r="F113" s="26"/>
      <c r="G113" s="26"/>
      <c r="H113" s="27" t="s">
        <v>2247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2253</v>
      </c>
      <c r="D114" s="29" t="s">
        <v>2244</v>
      </c>
      <c r="E114" s="26" t="s">
        <v>2254</v>
      </c>
      <c r="F114" s="26"/>
      <c r="G114" s="26"/>
      <c r="H114" s="28" t="s">
        <v>2255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1122</v>
      </c>
      <c r="C115" s="33" t="s">
        <v>2259</v>
      </c>
      <c r="D115" s="29" t="s">
        <v>2260</v>
      </c>
      <c r="E115" s="26" t="s">
        <v>2261</v>
      </c>
      <c r="F115" s="26"/>
      <c r="G115" s="26"/>
      <c r="H115" s="27" t="s">
        <v>2263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2266</v>
      </c>
      <c r="C116" s="33" t="s">
        <v>2267</v>
      </c>
      <c r="D116" s="29" t="s">
        <v>2268</v>
      </c>
      <c r="E116" s="25" t="s">
        <v>2269</v>
      </c>
      <c r="F116" s="25"/>
      <c r="G116" s="25"/>
      <c r="H116" s="28" t="s">
        <v>2271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567</v>
      </c>
      <c r="C117" s="33" t="s">
        <v>2277</v>
      </c>
      <c r="D117" s="29" t="s">
        <v>2278</v>
      </c>
      <c r="E117" s="26" t="s">
        <v>2279</v>
      </c>
      <c r="F117" s="26"/>
      <c r="G117" s="26"/>
      <c r="H117" s="27" t="s">
        <v>2281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678</v>
      </c>
      <c r="C118" s="33" t="s">
        <v>2284</v>
      </c>
      <c r="D118" s="29" t="s">
        <v>2285</v>
      </c>
      <c r="E118" s="26" t="s">
        <v>2286</v>
      </c>
      <c r="F118" s="26"/>
      <c r="G118" s="26"/>
      <c r="H118" s="27" t="s">
        <v>2288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2292</v>
      </c>
      <c r="C119" s="33" t="s">
        <v>2293</v>
      </c>
      <c r="D119" s="29" t="s">
        <v>2294</v>
      </c>
      <c r="E119" s="25" t="s">
        <v>2295</v>
      </c>
      <c r="F119" s="25"/>
      <c r="G119" s="25"/>
      <c r="H119" s="28" t="s">
        <v>2296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2301</v>
      </c>
      <c r="C120" s="33" t="s">
        <v>2302</v>
      </c>
      <c r="D120" s="29" t="s">
        <v>2303</v>
      </c>
      <c r="E120" s="25" t="s">
        <v>2304</v>
      </c>
      <c r="F120" s="25"/>
      <c r="G120" s="25"/>
      <c r="H120" s="27" t="s">
        <v>2306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881</v>
      </c>
      <c r="C121" s="33" t="s">
        <v>2309</v>
      </c>
      <c r="D121" s="29" t="s">
        <v>2310</v>
      </c>
      <c r="E121" s="26" t="s">
        <v>2217</v>
      </c>
      <c r="F121" s="26"/>
      <c r="G121" s="26"/>
      <c r="H121" s="28" t="s">
        <v>2312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1277</v>
      </c>
      <c r="C122" s="33" t="s">
        <v>2316</v>
      </c>
      <c r="D122" s="29" t="s">
        <v>2317</v>
      </c>
      <c r="E122" s="25" t="s">
        <v>2318</v>
      </c>
      <c r="F122" s="25"/>
      <c r="G122" s="25"/>
      <c r="H122" s="27" t="s">
        <v>2320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2044</v>
      </c>
      <c r="C123" s="33" t="s">
        <v>2326</v>
      </c>
      <c r="D123" s="29" t="s">
        <v>2327</v>
      </c>
      <c r="E123" s="25" t="s">
        <v>2221</v>
      </c>
      <c r="F123" s="25"/>
      <c r="G123" s="25"/>
      <c r="H123" s="28" t="s">
        <v>2329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1017</v>
      </c>
      <c r="C124" s="33" t="s">
        <v>2332</v>
      </c>
      <c r="D124" s="29" t="s">
        <v>2333</v>
      </c>
      <c r="E124" s="31" t="s">
        <v>2196</v>
      </c>
      <c r="F124" s="31"/>
      <c r="G124" s="31"/>
      <c r="H124" s="27" t="s">
        <v>2335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1495</v>
      </c>
      <c r="C125" s="33" t="s">
        <v>2339</v>
      </c>
      <c r="D125" s="29" t="s">
        <v>2340</v>
      </c>
      <c r="E125" s="26" t="s">
        <v>2341</v>
      </c>
      <c r="F125" s="26"/>
      <c r="G125" s="26"/>
      <c r="H125" s="28" t="s">
        <v>2343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2348</v>
      </c>
      <c r="C126" s="33" t="s">
        <v>2349</v>
      </c>
      <c r="D126" s="29" t="s">
        <v>2350</v>
      </c>
      <c r="E126" s="26" t="s">
        <v>2351</v>
      </c>
      <c r="F126" s="26"/>
      <c r="G126" s="26"/>
      <c r="H126" s="27" t="s">
        <v>2353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2356</v>
      </c>
      <c r="D127" s="29" t="s">
        <v>2357</v>
      </c>
      <c r="E127" s="25" t="s">
        <v>2358</v>
      </c>
      <c r="F127" s="25"/>
      <c r="G127" s="25"/>
      <c r="H127" s="28" t="s">
        <v>2360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2363</v>
      </c>
      <c r="C128" s="33" t="s">
        <v>2364</v>
      </c>
      <c r="D128" s="29" t="s">
        <v>2365</v>
      </c>
      <c r="E128" s="26" t="s">
        <v>2366</v>
      </c>
      <c r="F128" s="26"/>
      <c r="G128" s="26"/>
      <c r="H128" s="27" t="s">
        <v>2368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2372</v>
      </c>
      <c r="C129" s="33" t="s">
        <v>2373</v>
      </c>
      <c r="D129" s="850" t="s">
        <v>2374</v>
      </c>
      <c r="E129" s="26" t="s">
        <v>2375</v>
      </c>
      <c r="F129" s="26"/>
      <c r="G129" s="26"/>
      <c r="H129" s="28" t="s">
        <v>2376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2182</v>
      </c>
      <c r="C130" s="33" t="s">
        <v>2380</v>
      </c>
      <c r="D130" s="29" t="s">
        <v>2381</v>
      </c>
      <c r="E130" s="26" t="s">
        <v>2382</v>
      </c>
      <c r="F130" s="26"/>
      <c r="G130" s="26"/>
      <c r="H130" s="27" t="s">
        <v>2384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1973</v>
      </c>
      <c r="C131" s="33" t="s">
        <v>2387</v>
      </c>
      <c r="D131" s="29" t="s">
        <v>2388</v>
      </c>
      <c r="E131" s="26" t="s">
        <v>2389</v>
      </c>
      <c r="F131" s="26"/>
      <c r="G131" s="26"/>
      <c r="H131" s="27" t="s">
        <v>2391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656</v>
      </c>
      <c r="C132" s="33" t="s">
        <v>2394</v>
      </c>
      <c r="D132" s="29" t="s">
        <v>2395</v>
      </c>
      <c r="E132" s="26" t="s">
        <v>2396</v>
      </c>
      <c r="F132" s="26"/>
      <c r="G132" s="26"/>
      <c r="H132" s="27" t="s">
        <v>2398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2402</v>
      </c>
      <c r="D133" s="849" t="s">
        <v>2403</v>
      </c>
      <c r="E133" s="34" t="s">
        <v>2404</v>
      </c>
      <c r="F133" s="34"/>
      <c r="G133" s="34"/>
      <c r="H133" s="28" t="s">
        <v>2405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2420</v>
      </c>
      <c r="D134" s="29" t="s">
        <v>2421</v>
      </c>
      <c r="E134" s="25" t="s">
        <v>2422</v>
      </c>
      <c r="F134" s="25"/>
      <c r="G134" s="25"/>
      <c r="H134" s="28" t="s">
        <v>2424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1430</v>
      </c>
      <c r="C135" s="33" t="s">
        <v>2428</v>
      </c>
      <c r="D135" s="29" t="s">
        <v>2429</v>
      </c>
      <c r="E135" s="26" t="s">
        <v>2430</v>
      </c>
      <c r="F135" s="26"/>
      <c r="G135" s="26"/>
      <c r="H135" s="27" t="s">
        <v>2432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2436</v>
      </c>
      <c r="C136" s="33" t="s">
        <v>2437</v>
      </c>
      <c r="D136" s="29" t="s">
        <v>2438</v>
      </c>
      <c r="E136" s="26" t="s">
        <v>2439</v>
      </c>
      <c r="F136" s="26"/>
      <c r="G136" s="26"/>
      <c r="H136" s="28" t="s">
        <v>2441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2443</v>
      </c>
      <c r="D137" s="29" t="s">
        <v>2444</v>
      </c>
      <c r="E137" s="26" t="s">
        <v>2445</v>
      </c>
      <c r="F137" s="26"/>
      <c r="G137" s="26"/>
      <c r="H137" s="27" t="s">
        <v>2447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2449</v>
      </c>
      <c r="C138" s="33" t="s">
        <v>2450</v>
      </c>
      <c r="D138" s="29" t="s">
        <v>2451</v>
      </c>
      <c r="E138" s="34" t="s">
        <v>2452</v>
      </c>
      <c r="F138" s="34"/>
      <c r="G138" s="34"/>
      <c r="H138" s="28" t="s">
        <v>2454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1299</v>
      </c>
      <c r="C139" s="33" t="s">
        <v>2457</v>
      </c>
      <c r="D139" s="29" t="s">
        <v>2458</v>
      </c>
      <c r="E139" s="34" t="s">
        <v>2459</v>
      </c>
      <c r="F139" s="34"/>
      <c r="G139" s="34"/>
      <c r="H139" s="27" t="s">
        <v>2461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1382</v>
      </c>
      <c r="C140" s="26">
        <v>20230001086</v>
      </c>
      <c r="D140" s="29" t="s">
        <v>2464</v>
      </c>
      <c r="E140" s="31" t="s">
        <v>2208</v>
      </c>
      <c r="F140" s="31"/>
      <c r="G140" s="31"/>
      <c r="H140" s="28" t="s">
        <v>2466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1237</v>
      </c>
      <c r="C141" s="33" t="s">
        <v>2472</v>
      </c>
      <c r="D141" s="29" t="s">
        <v>2473</v>
      </c>
      <c r="E141" s="31" t="s">
        <v>2194</v>
      </c>
      <c r="F141" s="31"/>
      <c r="G141" s="31"/>
      <c r="H141" s="27" t="s">
        <v>2475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1495</v>
      </c>
      <c r="C142" s="33" t="s">
        <v>2481</v>
      </c>
      <c r="D142" s="29" t="s">
        <v>2482</v>
      </c>
      <c r="E142" s="34" t="s">
        <v>2483</v>
      </c>
      <c r="F142" s="34"/>
      <c r="G142" s="34"/>
      <c r="H142" s="27" t="s">
        <v>2485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1050</v>
      </c>
      <c r="C143" s="33" t="s">
        <v>2488</v>
      </c>
      <c r="D143" s="29" t="s">
        <v>2489</v>
      </c>
      <c r="E143" s="34" t="s">
        <v>2490</v>
      </c>
      <c r="F143" s="34"/>
      <c r="G143" s="34"/>
      <c r="H143" s="27" t="s">
        <v>2492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1494</v>
      </c>
      <c r="C144" s="33" t="s">
        <v>2497</v>
      </c>
      <c r="D144" s="29" t="s">
        <v>2498</v>
      </c>
      <c r="E144" s="31" t="s">
        <v>2499</v>
      </c>
      <c r="F144" s="31"/>
      <c r="G144" s="31"/>
      <c r="H144" s="27" t="s">
        <v>2501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2363</v>
      </c>
      <c r="C145" s="33" t="s">
        <v>2505</v>
      </c>
      <c r="D145" s="44" t="s">
        <v>2506</v>
      </c>
      <c r="E145" s="34" t="s">
        <v>2223</v>
      </c>
      <c r="F145" s="34"/>
      <c r="G145" s="34"/>
      <c r="H145" s="28" t="s">
        <v>2508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2027</v>
      </c>
      <c r="C146" s="33" t="s">
        <v>2512</v>
      </c>
      <c r="D146" s="29" t="s">
        <v>2513</v>
      </c>
      <c r="E146" s="34" t="s">
        <v>2202</v>
      </c>
      <c r="F146" s="34"/>
      <c r="G146" s="34"/>
      <c r="H146" s="27" t="s">
        <v>2515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2519</v>
      </c>
      <c r="C147" s="33" t="s">
        <v>2520</v>
      </c>
      <c r="D147" s="44" t="s">
        <v>2521</v>
      </c>
      <c r="E147" s="34" t="s">
        <v>2522</v>
      </c>
      <c r="F147" s="34"/>
      <c r="G147" s="34"/>
      <c r="H147" s="28" t="s">
        <v>2524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2529</v>
      </c>
      <c r="C148" s="33" t="s">
        <v>2530</v>
      </c>
      <c r="D148" s="29" t="s">
        <v>2531</v>
      </c>
      <c r="E148" s="26" t="s">
        <v>2532</v>
      </c>
      <c r="F148" s="26"/>
      <c r="G148" s="26"/>
      <c r="H148" s="27" t="s">
        <v>2534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1495</v>
      </c>
      <c r="C149" s="33" t="s">
        <v>2538</v>
      </c>
      <c r="D149" s="29" t="s">
        <v>2539</v>
      </c>
      <c r="E149" s="34" t="s">
        <v>2540</v>
      </c>
      <c r="F149" s="34"/>
      <c r="G149" s="34"/>
      <c r="H149" s="28" t="s">
        <v>2542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1345</v>
      </c>
      <c r="C150" s="33" t="s">
        <v>2545</v>
      </c>
      <c r="D150" s="29" t="s">
        <v>2546</v>
      </c>
      <c r="E150" s="34" t="s">
        <v>2547</v>
      </c>
      <c r="F150" s="34"/>
      <c r="G150" s="34"/>
      <c r="H150" s="27" t="s">
        <v>2549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2266</v>
      </c>
      <c r="C151" s="33" t="s">
        <v>2553</v>
      </c>
      <c r="D151" s="29" t="s">
        <v>2554</v>
      </c>
      <c r="E151" s="31" t="s">
        <v>2555</v>
      </c>
      <c r="F151" s="31"/>
      <c r="G151" s="31"/>
      <c r="H151" s="28" t="s">
        <v>2557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557</v>
      </c>
      <c r="C152" s="33" t="s">
        <v>2562</v>
      </c>
      <c r="D152" s="29" t="s">
        <v>2563</v>
      </c>
      <c r="E152" s="34" t="s">
        <v>2564</v>
      </c>
      <c r="F152" s="34"/>
      <c r="G152" s="34"/>
      <c r="H152" s="28" t="s">
        <v>2565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2571</v>
      </c>
      <c r="D153" s="29" t="s">
        <v>2572</v>
      </c>
      <c r="E153" s="34" t="s">
        <v>2573</v>
      </c>
      <c r="F153" s="34"/>
      <c r="G153" s="34"/>
      <c r="H153" s="28" t="s">
        <v>2575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757</v>
      </c>
      <c r="C154" s="32" t="s">
        <v>2580</v>
      </c>
      <c r="D154" s="29" t="s">
        <v>2581</v>
      </c>
      <c r="E154" s="34" t="s">
        <v>2225</v>
      </c>
      <c r="F154" s="34"/>
      <c r="G154" s="34"/>
      <c r="H154" s="27" t="s">
        <v>2583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2587</v>
      </c>
      <c r="C155" s="33" t="s">
        <v>2588</v>
      </c>
      <c r="D155" s="29" t="s">
        <v>2589</v>
      </c>
      <c r="E155" s="34" t="s">
        <v>2590</v>
      </c>
      <c r="F155" s="34"/>
      <c r="G155" s="34"/>
      <c r="H155" s="27" t="s">
        <v>2592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1057</v>
      </c>
      <c r="C156" s="33" t="s">
        <v>2596</v>
      </c>
      <c r="D156" s="29" t="s">
        <v>2597</v>
      </c>
      <c r="E156" s="34" t="s">
        <v>2598</v>
      </c>
      <c r="F156" s="34"/>
      <c r="G156" s="34"/>
      <c r="H156" s="27" t="s">
        <v>2600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881</v>
      </c>
      <c r="C157" s="33" t="s">
        <v>2605</v>
      </c>
      <c r="D157" s="850" t="s">
        <v>2606</v>
      </c>
      <c r="E157" s="34" t="s">
        <v>2607</v>
      </c>
      <c r="F157" s="34"/>
      <c r="G157" s="34"/>
      <c r="H157" s="28" t="s">
        <v>2608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906</v>
      </c>
      <c r="C158" s="33" t="s">
        <v>2611</v>
      </c>
      <c r="D158" s="29" t="s">
        <v>2612</v>
      </c>
      <c r="E158" s="34" t="s">
        <v>2613</v>
      </c>
      <c r="F158" s="34"/>
      <c r="G158" s="34"/>
      <c r="H158" s="27" t="s">
        <v>2615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866</v>
      </c>
      <c r="C159" s="29" t="s">
        <v>2619</v>
      </c>
      <c r="D159" s="29" t="s">
        <v>5277</v>
      </c>
      <c r="E159" s="34" t="s">
        <v>2621</v>
      </c>
      <c r="F159" s="34"/>
      <c r="G159" s="34"/>
      <c r="H159" s="28" t="s">
        <v>2623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2003</v>
      </c>
      <c r="C160" s="26">
        <v>20230003244</v>
      </c>
      <c r="D160" s="29" t="s">
        <v>2626</v>
      </c>
      <c r="E160" s="34" t="s">
        <v>2627</v>
      </c>
      <c r="F160" s="34"/>
      <c r="G160" s="34"/>
      <c r="H160" s="27" t="s">
        <v>2629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1477</v>
      </c>
      <c r="C161" s="26">
        <v>20230003314</v>
      </c>
      <c r="D161" s="29" t="s">
        <v>2632</v>
      </c>
      <c r="E161" s="31" t="s">
        <v>2633</v>
      </c>
      <c r="F161" s="31"/>
      <c r="G161" s="31"/>
      <c r="H161" s="28" t="s">
        <v>2634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1017</v>
      </c>
      <c r="C162" s="33" t="s">
        <v>2637</v>
      </c>
      <c r="D162" s="29" t="s">
        <v>2638</v>
      </c>
      <c r="E162" s="34" t="s">
        <v>2639</v>
      </c>
      <c r="F162" s="34"/>
      <c r="G162" s="34"/>
      <c r="H162" s="27" t="s">
        <v>2641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667</v>
      </c>
      <c r="C163" s="26">
        <v>20230005717</v>
      </c>
      <c r="D163" s="29" t="s">
        <v>2645</v>
      </c>
      <c r="E163" s="34" t="s">
        <v>2646</v>
      </c>
      <c r="F163" s="34"/>
      <c r="G163" s="34"/>
      <c r="H163" s="28" t="s">
        <v>2648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1407</v>
      </c>
      <c r="C164" s="26">
        <v>20230004619</v>
      </c>
      <c r="D164" s="29" t="s">
        <v>2651</v>
      </c>
      <c r="E164" s="26" t="s">
        <v>2652</v>
      </c>
      <c r="F164" s="26"/>
      <c r="G164" s="26"/>
      <c r="H164" s="27" t="s">
        <v>2654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2658</v>
      </c>
      <c r="E165" s="26" t="s">
        <v>2659</v>
      </c>
      <c r="F165" s="26"/>
      <c r="G165" s="26"/>
      <c r="H165" s="28" t="s">
        <v>2660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2348</v>
      </c>
      <c r="C166" s="26">
        <v>20230004337</v>
      </c>
      <c r="D166" s="849" t="s">
        <v>2663</v>
      </c>
      <c r="E166" s="26" t="s">
        <v>2214</v>
      </c>
      <c r="F166" s="26"/>
      <c r="G166" s="26"/>
      <c r="H166" s="27" t="s">
        <v>2664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2666</v>
      </c>
      <c r="E167" s="26" t="s">
        <v>2667</v>
      </c>
      <c r="F167" s="26"/>
      <c r="G167" s="26"/>
      <c r="H167" s="28" t="s">
        <v>2669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541</v>
      </c>
      <c r="C168" s="26">
        <v>20230008557</v>
      </c>
      <c r="D168" s="29" t="s">
        <v>2674</v>
      </c>
      <c r="E168" s="26" t="s">
        <v>2675</v>
      </c>
      <c r="F168" s="26"/>
      <c r="G168" s="26"/>
      <c r="H168" s="27" t="s">
        <v>2677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925</v>
      </c>
      <c r="C169" s="26">
        <v>20230009213</v>
      </c>
      <c r="D169" s="29" t="s">
        <v>2680</v>
      </c>
      <c r="E169" s="25" t="s">
        <v>2681</v>
      </c>
      <c r="F169" s="25"/>
      <c r="G169" s="25"/>
      <c r="H169" s="27" t="s">
        <v>2683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2687</v>
      </c>
      <c r="C170" s="26">
        <v>20240000479</v>
      </c>
      <c r="D170" s="29" t="s">
        <v>2688</v>
      </c>
      <c r="E170" s="26" t="s">
        <v>2689</v>
      </c>
      <c r="F170" s="26"/>
      <c r="G170" s="26"/>
      <c r="H170" s="27" t="s">
        <v>2691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2694</v>
      </c>
      <c r="C171" s="26">
        <v>20230006969</v>
      </c>
      <c r="D171" s="29" t="s">
        <v>2695</v>
      </c>
      <c r="E171" s="26" t="s">
        <v>2696</v>
      </c>
      <c r="F171" s="26"/>
      <c r="G171" s="26"/>
      <c r="H171" s="27" t="s">
        <v>2698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1276</v>
      </c>
      <c r="C172" s="26">
        <v>20230001167</v>
      </c>
      <c r="D172" s="29" t="s">
        <v>5278</v>
      </c>
      <c r="E172" s="25" t="s">
        <v>2749</v>
      </c>
      <c r="F172" s="25"/>
      <c r="G172" s="25"/>
      <c r="H172" s="27" t="s">
        <v>2751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2759</v>
      </c>
      <c r="E173" s="26" t="s">
        <v>2760</v>
      </c>
      <c r="F173" s="26"/>
      <c r="G173" s="26"/>
      <c r="H173" s="27" t="s">
        <v>2761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1316</v>
      </c>
      <c r="C174" s="26">
        <v>20230000833</v>
      </c>
      <c r="D174" s="29" t="s">
        <v>2767</v>
      </c>
      <c r="E174" s="26" t="s">
        <v>2711</v>
      </c>
      <c r="F174" s="26"/>
      <c r="G174" s="26"/>
      <c r="H174" s="28" t="s">
        <v>2769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2089</v>
      </c>
      <c r="C175" s="26">
        <v>20230003652</v>
      </c>
      <c r="D175" s="29" t="s">
        <v>2774</v>
      </c>
      <c r="E175" s="25" t="s">
        <v>2775</v>
      </c>
      <c r="F175" s="25"/>
      <c r="G175" s="25"/>
      <c r="H175" s="27" t="s">
        <v>2777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1382</v>
      </c>
      <c r="C176" s="26">
        <v>20230001094</v>
      </c>
      <c r="D176" s="29" t="s">
        <v>2780</v>
      </c>
      <c r="E176" s="26" t="s">
        <v>2781</v>
      </c>
      <c r="F176" s="26"/>
      <c r="G176" s="26"/>
      <c r="H176" s="28" t="s">
        <v>2783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1245</v>
      </c>
      <c r="C177" s="26">
        <v>20230001270</v>
      </c>
      <c r="D177" s="29" t="s">
        <v>2787</v>
      </c>
      <c r="E177" s="26" t="s">
        <v>2788</v>
      </c>
      <c r="F177" s="26"/>
      <c r="G177" s="26"/>
      <c r="H177" s="27" t="s">
        <v>2790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2796</v>
      </c>
      <c r="C178" s="26">
        <v>20230000205</v>
      </c>
      <c r="D178" s="29" t="s">
        <v>2797</v>
      </c>
      <c r="E178" s="26" t="s">
        <v>2709</v>
      </c>
      <c r="F178" s="26"/>
      <c r="G178" s="26"/>
      <c r="H178" s="27" t="s">
        <v>2798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1368</v>
      </c>
      <c r="C179" s="26">
        <v>20230004214</v>
      </c>
      <c r="D179" s="29" t="s">
        <v>5279</v>
      </c>
      <c r="E179" s="26" t="s">
        <v>2804</v>
      </c>
      <c r="F179" s="26"/>
      <c r="G179" s="26"/>
      <c r="H179" s="27" t="s">
        <v>2806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2003</v>
      </c>
      <c r="C180" s="26">
        <v>20230003251</v>
      </c>
      <c r="D180" s="29" t="s">
        <v>2811</v>
      </c>
      <c r="E180" s="26" t="s">
        <v>2812</v>
      </c>
      <c r="F180" s="26"/>
      <c r="G180" s="26"/>
      <c r="H180" s="28" t="s">
        <v>2814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1033</v>
      </c>
      <c r="C181" s="26">
        <v>20230006106</v>
      </c>
      <c r="D181" s="850" t="s">
        <v>2817</v>
      </c>
      <c r="E181" s="26" t="s">
        <v>2818</v>
      </c>
      <c r="F181" s="26"/>
      <c r="G181" s="26"/>
      <c r="H181" s="27" t="s">
        <v>2819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5280</v>
      </c>
      <c r="E182" s="26" t="s">
        <v>5281</v>
      </c>
      <c r="F182" s="26"/>
      <c r="G182" s="26"/>
      <c r="H182" s="28" t="s">
        <v>2826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1663</v>
      </c>
      <c r="C183" s="26">
        <v>20230004483</v>
      </c>
      <c r="D183" s="29" t="s">
        <v>2829</v>
      </c>
      <c r="E183" s="26" t="s">
        <v>2701</v>
      </c>
      <c r="F183" s="26"/>
      <c r="G183" s="26"/>
      <c r="H183" s="27" t="s">
        <v>2831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686</v>
      </c>
      <c r="C184" s="26">
        <v>20230008382</v>
      </c>
      <c r="D184" s="43" t="s">
        <v>2835</v>
      </c>
      <c r="E184" s="25" t="s">
        <v>2836</v>
      </c>
      <c r="F184" s="25"/>
      <c r="G184" s="25"/>
      <c r="H184" s="28" t="s">
        <v>2838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690</v>
      </c>
      <c r="C185" s="26">
        <v>20230008584</v>
      </c>
      <c r="D185" s="29" t="s">
        <v>2842</v>
      </c>
      <c r="E185" s="26" t="s">
        <v>2843</v>
      </c>
      <c r="F185" s="26"/>
      <c r="G185" s="26"/>
      <c r="H185" s="27" t="s">
        <v>2845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2848</v>
      </c>
      <c r="D186" s="29" t="s">
        <v>2849</v>
      </c>
      <c r="E186" s="31" t="s">
        <v>2850</v>
      </c>
      <c r="F186" s="31"/>
      <c r="G186" s="31"/>
      <c r="H186" s="28" t="s">
        <v>2852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5282</v>
      </c>
      <c r="D187" s="29"/>
      <c r="E187" s="34" t="s">
        <v>2858</v>
      </c>
      <c r="F187" s="34"/>
      <c r="G187" s="34"/>
      <c r="H187" s="27" t="s">
        <v>2859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2861</v>
      </c>
      <c r="D188" s="29" t="s">
        <v>2862</v>
      </c>
      <c r="E188" s="34" t="s">
        <v>2863</v>
      </c>
      <c r="F188" s="34"/>
      <c r="G188" s="34"/>
      <c r="H188" s="28" t="s">
        <v>2865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1260</v>
      </c>
      <c r="C189" s="26">
        <v>20230001739</v>
      </c>
      <c r="D189" s="849" t="s">
        <v>2881</v>
      </c>
      <c r="E189" s="25" t="s">
        <v>2722</v>
      </c>
      <c r="F189" s="25"/>
      <c r="G189" s="25"/>
      <c r="H189" s="28" t="s">
        <v>2882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2809</v>
      </c>
      <c r="C190" s="33" t="s">
        <v>2885</v>
      </c>
      <c r="D190" s="29" t="s">
        <v>2886</v>
      </c>
      <c r="E190" s="31" t="s">
        <v>2887</v>
      </c>
      <c r="F190" s="31"/>
      <c r="G190" s="31"/>
      <c r="H190" s="27" t="s">
        <v>2889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1590</v>
      </c>
      <c r="C191" s="33" t="s">
        <v>2894</v>
      </c>
      <c r="D191" s="29" t="s">
        <v>2895</v>
      </c>
      <c r="E191" s="34" t="s">
        <v>2896</v>
      </c>
      <c r="F191" s="34"/>
      <c r="G191" s="34"/>
      <c r="H191" s="27" t="s">
        <v>2898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1245</v>
      </c>
      <c r="C192" s="26">
        <v>20230001355</v>
      </c>
      <c r="D192" s="29" t="s">
        <v>2904</v>
      </c>
      <c r="E192" s="34" t="s">
        <v>2905</v>
      </c>
      <c r="F192" s="34"/>
      <c r="G192" s="34"/>
      <c r="H192" s="27" t="s">
        <v>2907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1245</v>
      </c>
      <c r="C193" s="33" t="s">
        <v>2913</v>
      </c>
      <c r="D193" s="29" t="s">
        <v>2914</v>
      </c>
      <c r="E193" s="34" t="s">
        <v>2915</v>
      </c>
      <c r="F193" s="34"/>
      <c r="G193" s="34"/>
      <c r="H193" s="28" t="s">
        <v>2916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1824</v>
      </c>
      <c r="C194" s="33" t="s">
        <v>2920</v>
      </c>
      <c r="D194" s="29" t="s">
        <v>2921</v>
      </c>
      <c r="E194" s="31" t="s">
        <v>2922</v>
      </c>
      <c r="F194" s="31"/>
      <c r="G194" s="31"/>
      <c r="H194" s="27" t="s">
        <v>2924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1276</v>
      </c>
      <c r="C195" s="33" t="s">
        <v>2929</v>
      </c>
      <c r="D195" s="43" t="s">
        <v>5283</v>
      </c>
      <c r="E195" s="34" t="s">
        <v>5284</v>
      </c>
      <c r="F195" s="34"/>
      <c r="G195" s="34"/>
      <c r="H195" s="28" t="s">
        <v>2933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2656</v>
      </c>
      <c r="C196" s="33" t="s">
        <v>2938</v>
      </c>
      <c r="D196" s="29" t="s">
        <v>2939</v>
      </c>
      <c r="E196" s="31" t="s">
        <v>2940</v>
      </c>
      <c r="F196" s="31"/>
      <c r="G196" s="31"/>
      <c r="H196" s="27" t="s">
        <v>2942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2947</v>
      </c>
      <c r="C197" s="26">
        <v>20230002570</v>
      </c>
      <c r="D197" s="32" t="s">
        <v>2948</v>
      </c>
      <c r="E197" s="34" t="s">
        <v>2949</v>
      </c>
      <c r="F197" s="34"/>
      <c r="G197" s="34"/>
      <c r="H197" s="28" t="s">
        <v>2951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1344</v>
      </c>
      <c r="C198" s="26">
        <v>20230000856</v>
      </c>
      <c r="D198" s="43" t="s">
        <v>2955</v>
      </c>
      <c r="E198" s="25" t="s">
        <v>2956</v>
      </c>
      <c r="F198" s="25"/>
      <c r="G198" s="25"/>
      <c r="H198" s="27" t="s">
        <v>2958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1245</v>
      </c>
      <c r="C199" s="33" t="s">
        <v>2963</v>
      </c>
      <c r="D199" s="29" t="s">
        <v>2964</v>
      </c>
      <c r="E199" s="34" t="s">
        <v>2965</v>
      </c>
      <c r="F199" s="34"/>
      <c r="G199" s="34"/>
      <c r="H199" s="28" t="s">
        <v>2966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1245</v>
      </c>
      <c r="C200" s="33" t="s">
        <v>2970</v>
      </c>
      <c r="D200" s="849" t="s">
        <v>2971</v>
      </c>
      <c r="E200" s="34" t="s">
        <v>2972</v>
      </c>
      <c r="F200" s="34"/>
      <c r="G200" s="34"/>
      <c r="H200" s="27" t="s">
        <v>2973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2978</v>
      </c>
      <c r="C201" s="33" t="s">
        <v>2979</v>
      </c>
      <c r="D201" s="29" t="s">
        <v>2980</v>
      </c>
      <c r="E201" s="34" t="s">
        <v>2720</v>
      </c>
      <c r="F201" s="34"/>
      <c r="G201" s="34"/>
      <c r="H201" s="28" t="s">
        <v>2982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2833</v>
      </c>
      <c r="C202" s="26">
        <v>20230002599</v>
      </c>
      <c r="D202" s="44" t="s">
        <v>5285</v>
      </c>
      <c r="E202" s="34" t="s">
        <v>2987</v>
      </c>
      <c r="F202" s="34"/>
      <c r="G202" s="34"/>
      <c r="H202" s="27" t="s">
        <v>2989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1824</v>
      </c>
      <c r="C203" s="26">
        <v>20230000302</v>
      </c>
      <c r="D203" s="29" t="s">
        <v>5286</v>
      </c>
      <c r="E203" s="34" t="s">
        <v>5287</v>
      </c>
      <c r="F203" s="34"/>
      <c r="G203" s="34"/>
      <c r="H203" s="27" t="s">
        <v>2997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2529</v>
      </c>
      <c r="C204" s="33" t="s">
        <v>3003</v>
      </c>
      <c r="D204" s="29" t="s">
        <v>3004</v>
      </c>
      <c r="E204" s="26" t="s">
        <v>3005</v>
      </c>
      <c r="F204" s="26"/>
      <c r="G204" s="26"/>
      <c r="H204" s="27" t="s">
        <v>3007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3011</v>
      </c>
      <c r="D205" s="29" t="s">
        <v>3012</v>
      </c>
      <c r="E205" s="34" t="s">
        <v>3013</v>
      </c>
      <c r="F205" s="34"/>
      <c r="G205" s="34"/>
      <c r="H205" s="27" t="s">
        <v>3015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5282</v>
      </c>
      <c r="D206" s="29"/>
      <c r="E206" s="34" t="s">
        <v>3021</v>
      </c>
      <c r="F206" s="34"/>
      <c r="G206" s="34"/>
      <c r="H206" s="27" t="s">
        <v>3022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3034</v>
      </c>
      <c r="C207" s="33" t="s">
        <v>3035</v>
      </c>
      <c r="D207" s="29" t="s">
        <v>3036</v>
      </c>
      <c r="E207" s="26" t="s">
        <v>3037</v>
      </c>
      <c r="F207" s="26"/>
      <c r="G207" s="26"/>
      <c r="H207" s="28" t="s">
        <v>3039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2027</v>
      </c>
      <c r="C208" s="33" t="s">
        <v>3045</v>
      </c>
      <c r="D208" s="29" t="s">
        <v>3046</v>
      </c>
      <c r="E208" s="34" t="s">
        <v>3047</v>
      </c>
      <c r="F208" s="34"/>
      <c r="G208" s="34"/>
      <c r="H208" s="27" t="s">
        <v>3049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1815</v>
      </c>
      <c r="C209" s="33" t="s">
        <v>3052</v>
      </c>
      <c r="D209" s="29" t="s">
        <v>3053</v>
      </c>
      <c r="E209" s="26" t="s">
        <v>3054</v>
      </c>
      <c r="F209" s="26"/>
      <c r="G209" s="26"/>
      <c r="H209" s="28" t="s">
        <v>3056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1428</v>
      </c>
      <c r="C210" s="33" t="s">
        <v>3060</v>
      </c>
      <c r="D210" s="29" t="s">
        <v>5288</v>
      </c>
      <c r="E210" s="26" t="s">
        <v>5289</v>
      </c>
      <c r="F210" s="26"/>
      <c r="G210" s="26"/>
      <c r="H210" s="27" t="s">
        <v>3064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1344</v>
      </c>
      <c r="C211" s="33" t="s">
        <v>3067</v>
      </c>
      <c r="D211" s="29" t="s">
        <v>5290</v>
      </c>
      <c r="E211" s="25" t="s">
        <v>5291</v>
      </c>
      <c r="F211" s="25"/>
      <c r="G211" s="25"/>
      <c r="H211" s="28" t="s">
        <v>3071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3076</v>
      </c>
      <c r="C212" s="33" t="s">
        <v>3077</v>
      </c>
      <c r="D212" s="29" t="s">
        <v>3078</v>
      </c>
      <c r="E212" s="25" t="s">
        <v>3079</v>
      </c>
      <c r="F212" s="25"/>
      <c r="G212" s="25"/>
      <c r="H212" s="27" t="s">
        <v>3081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872</v>
      </c>
      <c r="C213" s="33" t="s">
        <v>3086</v>
      </c>
      <c r="D213" s="29" t="s">
        <v>3087</v>
      </c>
      <c r="E213" s="26" t="s">
        <v>3088</v>
      </c>
      <c r="F213" s="26"/>
      <c r="G213" s="26"/>
      <c r="H213" s="27" t="s">
        <v>3090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1276</v>
      </c>
      <c r="C214" s="33" t="s">
        <v>3095</v>
      </c>
      <c r="D214" s="29" t="s">
        <v>5292</v>
      </c>
      <c r="E214" s="26" t="s">
        <v>3097</v>
      </c>
      <c r="F214" s="26"/>
      <c r="G214" s="26"/>
      <c r="H214" s="27" t="s">
        <v>3098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1382</v>
      </c>
      <c r="C215" s="33" t="s">
        <v>3103</v>
      </c>
      <c r="D215" s="29" t="s">
        <v>3104</v>
      </c>
      <c r="E215" s="26" t="s">
        <v>3105</v>
      </c>
      <c r="F215" s="26"/>
      <c r="G215" s="26"/>
      <c r="H215" s="27" t="s">
        <v>3107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1276</v>
      </c>
      <c r="C216" s="33" t="s">
        <v>3112</v>
      </c>
      <c r="D216" s="29" t="s">
        <v>913</v>
      </c>
      <c r="E216" s="25" t="s">
        <v>3113</v>
      </c>
      <c r="F216" s="25"/>
      <c r="G216" s="25"/>
      <c r="H216" s="27" t="s">
        <v>3115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2301</v>
      </c>
      <c r="C217" s="33" t="s">
        <v>3120</v>
      </c>
      <c r="D217" s="29" t="s">
        <v>3121</v>
      </c>
      <c r="E217" s="26" t="s">
        <v>3122</v>
      </c>
      <c r="F217" s="26"/>
      <c r="G217" s="26"/>
      <c r="H217" s="28" t="s">
        <v>3124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1245</v>
      </c>
      <c r="C218" s="33" t="s">
        <v>3128</v>
      </c>
      <c r="D218" s="29" t="s">
        <v>3129</v>
      </c>
      <c r="E218" s="26" t="s">
        <v>3130</v>
      </c>
      <c r="F218" s="26"/>
      <c r="G218" s="26"/>
      <c r="H218" s="27" t="s">
        <v>3132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1630</v>
      </c>
      <c r="C219" s="33" t="s">
        <v>3137</v>
      </c>
      <c r="D219" s="29" t="s">
        <v>3138</v>
      </c>
      <c r="E219" s="26" t="s">
        <v>2724</v>
      </c>
      <c r="F219" s="26"/>
      <c r="G219" s="26"/>
      <c r="H219" s="28" t="s">
        <v>3140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1535</v>
      </c>
      <c r="C220" s="33" t="s">
        <v>3144</v>
      </c>
      <c r="D220" s="29" t="s">
        <v>5293</v>
      </c>
      <c r="E220" s="26" t="s">
        <v>3146</v>
      </c>
      <c r="F220" s="26"/>
      <c r="G220" s="26"/>
      <c r="H220" s="27" t="s">
        <v>3148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1955</v>
      </c>
      <c r="C221" s="33" t="s">
        <v>3153</v>
      </c>
      <c r="D221" s="850" t="s">
        <v>3154</v>
      </c>
      <c r="E221" s="34" t="s">
        <v>3155</v>
      </c>
      <c r="F221" s="34"/>
      <c r="G221" s="34"/>
      <c r="H221" s="28" t="s">
        <v>3156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2054</v>
      </c>
      <c r="C222" s="33" t="s">
        <v>3158</v>
      </c>
      <c r="D222" s="29" t="s">
        <v>3159</v>
      </c>
      <c r="E222" s="26" t="s">
        <v>3160</v>
      </c>
      <c r="F222" s="26"/>
      <c r="G222" s="26"/>
      <c r="H222" s="27" t="s">
        <v>3162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3165</v>
      </c>
      <c r="D223" s="29" t="s">
        <v>3166</v>
      </c>
      <c r="E223" s="26" t="s">
        <v>3167</v>
      </c>
      <c r="F223" s="26"/>
      <c r="G223" s="26"/>
      <c r="H223" s="28" t="s">
        <v>3169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741</v>
      </c>
      <c r="C224" s="33" t="s">
        <v>3172</v>
      </c>
      <c r="D224" s="849" t="s">
        <v>3173</v>
      </c>
      <c r="E224" s="25" t="s">
        <v>3174</v>
      </c>
      <c r="F224" s="25"/>
      <c r="G224" s="25"/>
      <c r="H224" s="27" t="s">
        <v>3176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498</v>
      </c>
      <c r="E226" s="25" t="s">
        <v>499</v>
      </c>
      <c r="F226" s="25"/>
      <c r="G226" s="49">
        <v>13</v>
      </c>
      <c r="H226" s="29" t="s">
        <v>492</v>
      </c>
      <c r="I226" s="29" t="s">
        <v>500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510</v>
      </c>
      <c r="C227" s="26">
        <v>20230010576</v>
      </c>
      <c r="D227" s="29" t="s">
        <v>512</v>
      </c>
      <c r="E227" s="26" t="s">
        <v>513</v>
      </c>
      <c r="F227" s="26"/>
      <c r="G227" s="49"/>
      <c r="H227" s="29" t="s">
        <v>492</v>
      </c>
      <c r="I227" s="29" t="s">
        <v>514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520</v>
      </c>
      <c r="C228" s="26">
        <v>20240002029</v>
      </c>
      <c r="D228" s="29" t="s">
        <v>521</v>
      </c>
      <c r="E228" s="25" t="s">
        <v>522</v>
      </c>
      <c r="F228" s="25"/>
      <c r="G228" s="49"/>
      <c r="H228" s="29" t="s">
        <v>492</v>
      </c>
      <c r="I228" s="29" t="s">
        <v>523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527</v>
      </c>
      <c r="C229" s="26">
        <v>20230010242</v>
      </c>
      <c r="D229" s="29" t="s">
        <v>529</v>
      </c>
      <c r="E229" s="25" t="s">
        <v>530</v>
      </c>
      <c r="F229" s="25"/>
      <c r="G229" s="49"/>
      <c r="H229" s="29" t="s">
        <v>492</v>
      </c>
      <c r="I229" s="29" t="s">
        <v>531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536</v>
      </c>
      <c r="E230" s="25" t="s">
        <v>537</v>
      </c>
      <c r="F230" s="25"/>
      <c r="G230" s="49"/>
      <c r="H230" s="29" t="s">
        <v>492</v>
      </c>
      <c r="I230" s="29" t="s">
        <v>538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543</v>
      </c>
      <c r="C231" s="26">
        <v>20230009415</v>
      </c>
      <c r="D231" s="29" t="s">
        <v>545</v>
      </c>
      <c r="E231" s="50" t="s">
        <v>546</v>
      </c>
      <c r="F231" s="50"/>
      <c r="G231" s="49"/>
      <c r="H231" s="29" t="s">
        <v>492</v>
      </c>
      <c r="I231" s="29" t="s">
        <v>547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551</v>
      </c>
      <c r="C232" s="26">
        <v>20230010496</v>
      </c>
      <c r="D232" s="29" t="s">
        <v>553</v>
      </c>
      <c r="E232" s="50" t="s">
        <v>554</v>
      </c>
      <c r="F232" s="50"/>
      <c r="G232" s="49"/>
      <c r="H232" s="29" t="s">
        <v>492</v>
      </c>
      <c r="I232" s="29" t="s">
        <v>601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560</v>
      </c>
      <c r="C233" s="26">
        <v>20230008488</v>
      </c>
      <c r="D233" s="29" t="s">
        <v>562</v>
      </c>
      <c r="E233" s="25" t="s">
        <v>563</v>
      </c>
      <c r="F233" s="25"/>
      <c r="G233" s="49"/>
      <c r="H233" s="29" t="s">
        <v>492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570</v>
      </c>
      <c r="E234" s="25" t="s">
        <v>571</v>
      </c>
      <c r="F234" s="25"/>
      <c r="G234" s="49"/>
      <c r="H234" s="29" t="s">
        <v>492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560</v>
      </c>
      <c r="C235" s="26">
        <v>20230008510</v>
      </c>
      <c r="D235" s="29" t="s">
        <v>574</v>
      </c>
      <c r="E235" s="25" t="s">
        <v>575</v>
      </c>
      <c r="F235" s="25"/>
      <c r="G235" s="49"/>
      <c r="H235" s="29" t="s">
        <v>492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582</v>
      </c>
      <c r="C236" s="26">
        <v>2024000115</v>
      </c>
      <c r="D236" s="29" t="s">
        <v>583</v>
      </c>
      <c r="E236" s="51" t="s">
        <v>584</v>
      </c>
      <c r="F236" s="51"/>
      <c r="G236" s="49"/>
      <c r="H236" s="29" t="s">
        <v>585</v>
      </c>
      <c r="I236" s="29" t="s">
        <v>493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582</v>
      </c>
      <c r="C237" s="26">
        <v>2024000116</v>
      </c>
      <c r="D237" s="29" t="s">
        <v>583</v>
      </c>
      <c r="E237" s="51" t="s">
        <v>584</v>
      </c>
      <c r="F237" s="51"/>
      <c r="G237" s="49"/>
      <c r="H237" s="29" t="s">
        <v>585</v>
      </c>
      <c r="I237" s="29" t="s">
        <v>500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621</v>
      </c>
      <c r="E238" s="25" t="s">
        <v>622</v>
      </c>
      <c r="F238" s="25"/>
      <c r="G238" s="49">
        <v>14</v>
      </c>
      <c r="H238" s="26" t="s">
        <v>492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627</v>
      </c>
      <c r="E239" s="25" t="s">
        <v>628</v>
      </c>
      <c r="F239" s="25"/>
      <c r="G239" s="49"/>
      <c r="H239" s="26" t="s">
        <v>492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849" t="s">
        <v>633</v>
      </c>
      <c r="D240" s="850" t="s">
        <v>635</v>
      </c>
      <c r="E240" s="25" t="s">
        <v>5294</v>
      </c>
      <c r="F240" s="25"/>
      <c r="G240" s="49"/>
      <c r="H240" s="26" t="s">
        <v>492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642</v>
      </c>
      <c r="E241" s="25" t="s">
        <v>643</v>
      </c>
      <c r="F241" s="25"/>
      <c r="G241" s="49"/>
      <c r="H241" s="26" t="s">
        <v>492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651</v>
      </c>
      <c r="E242" s="51" t="s">
        <v>652</v>
      </c>
      <c r="F242" s="51"/>
      <c r="G242" s="49"/>
      <c r="H242" s="26" t="s">
        <v>492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656</v>
      </c>
      <c r="C243" s="26">
        <v>20230008648</v>
      </c>
      <c r="D243" s="29" t="s">
        <v>658</v>
      </c>
      <c r="E243" s="25" t="s">
        <v>5295</v>
      </c>
      <c r="F243" s="25"/>
      <c r="G243" s="49"/>
      <c r="H243" s="26" t="s">
        <v>492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664</v>
      </c>
      <c r="E244" s="25" t="s">
        <v>665</v>
      </c>
      <c r="F244" s="25"/>
      <c r="G244" s="49"/>
      <c r="H244" s="26" t="s">
        <v>492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673</v>
      </c>
      <c r="E245" s="52" t="s">
        <v>674</v>
      </c>
      <c r="F245" s="52"/>
      <c r="G245" s="49"/>
      <c r="H245" s="26" t="s">
        <v>492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5272</v>
      </c>
      <c r="D246" s="29" t="s">
        <v>377</v>
      </c>
      <c r="E246" s="53" t="s">
        <v>378</v>
      </c>
      <c r="F246" s="53"/>
      <c r="G246" s="49"/>
      <c r="H246" s="26" t="s">
        <v>492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684</v>
      </c>
      <c r="F247" s="26"/>
      <c r="G247" s="49"/>
      <c r="H247" s="26" t="s">
        <v>492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690</v>
      </c>
      <c r="C248" s="26">
        <v>20230008587</v>
      </c>
      <c r="D248" s="29" t="s">
        <v>692</v>
      </c>
      <c r="E248" s="53" t="s">
        <v>693</v>
      </c>
      <c r="F248" s="53"/>
      <c r="G248" s="49"/>
      <c r="H248" s="26" t="s">
        <v>492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702</v>
      </c>
      <c r="E249" s="51" t="s">
        <v>703</v>
      </c>
      <c r="F249" s="51"/>
      <c r="G249" s="49"/>
      <c r="H249" s="26" t="s">
        <v>492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5272</v>
      </c>
      <c r="D250" s="29" t="s">
        <v>137</v>
      </c>
      <c r="E250" s="25" t="s">
        <v>5296</v>
      </c>
      <c r="F250" s="25"/>
      <c r="G250" s="49"/>
      <c r="H250" s="26" t="s">
        <v>492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712</v>
      </c>
      <c r="C251" s="26">
        <v>20240001898</v>
      </c>
      <c r="D251" s="29" t="s">
        <v>714</v>
      </c>
      <c r="E251" s="26" t="s">
        <v>715</v>
      </c>
      <c r="F251" s="26"/>
      <c r="G251" s="49"/>
      <c r="H251" s="26" t="s">
        <v>492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719</v>
      </c>
      <c r="E252" s="26" t="s">
        <v>720</v>
      </c>
      <c r="F252" s="26"/>
      <c r="G252" s="49"/>
      <c r="H252" s="26" t="s">
        <v>492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723</v>
      </c>
      <c r="E253" s="26" t="s">
        <v>724</v>
      </c>
      <c r="F253" s="26"/>
      <c r="G253" s="49"/>
      <c r="H253" s="26" t="s">
        <v>492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5272</v>
      </c>
      <c r="D254" s="29"/>
      <c r="E254" s="26" t="s">
        <v>727</v>
      </c>
      <c r="F254" s="26"/>
      <c r="G254" s="49"/>
      <c r="H254" s="26" t="s">
        <v>585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731</v>
      </c>
      <c r="F255" s="26"/>
      <c r="G255" s="49"/>
      <c r="H255" s="26" t="s">
        <v>585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5272</v>
      </c>
      <c r="D256" s="29" t="s">
        <v>5297</v>
      </c>
      <c r="E256" s="26" t="s">
        <v>5298</v>
      </c>
      <c r="F256" s="26"/>
      <c r="G256" s="49"/>
      <c r="H256" s="26" t="s">
        <v>585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737</v>
      </c>
      <c r="C257" s="26">
        <v>20230010720</v>
      </c>
      <c r="D257" s="29" t="s">
        <v>739</v>
      </c>
      <c r="E257" s="26" t="s">
        <v>740</v>
      </c>
      <c r="F257" s="26"/>
      <c r="G257" s="49"/>
      <c r="H257" s="26" t="s">
        <v>585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737</v>
      </c>
      <c r="C258" s="26">
        <v>20230010721</v>
      </c>
      <c r="D258" s="29" t="s">
        <v>739</v>
      </c>
      <c r="E258" s="26" t="s">
        <v>740</v>
      </c>
      <c r="F258" s="26"/>
      <c r="G258" s="49"/>
      <c r="H258" s="26" t="s">
        <v>585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850" t="s">
        <v>745</v>
      </c>
      <c r="E259" s="26" t="s">
        <v>746</v>
      </c>
      <c r="F259" s="26"/>
      <c r="G259" s="49"/>
      <c r="H259" s="26" t="s">
        <v>585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748</v>
      </c>
      <c r="E260" s="26" t="s">
        <v>749</v>
      </c>
      <c r="F260" s="26"/>
      <c r="G260" s="49"/>
      <c r="H260" s="26" t="s">
        <v>585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754</v>
      </c>
      <c r="F261" s="26"/>
      <c r="G261" s="49"/>
      <c r="H261" s="26" t="s">
        <v>585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759</v>
      </c>
      <c r="E262" s="26" t="s">
        <v>760</v>
      </c>
      <c r="F262" s="26"/>
      <c r="G262" s="49"/>
      <c r="H262" s="26" t="s">
        <v>585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765</v>
      </c>
      <c r="F263" s="26"/>
      <c r="G263" s="49"/>
      <c r="H263" s="26" t="s">
        <v>585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767</v>
      </c>
      <c r="C264" s="26">
        <v>20240000151</v>
      </c>
      <c r="D264" s="29" t="s">
        <v>768</v>
      </c>
      <c r="E264" s="25" t="s">
        <v>769</v>
      </c>
      <c r="F264" s="25"/>
      <c r="G264" s="49"/>
      <c r="H264" s="26" t="s">
        <v>585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775</v>
      </c>
      <c r="F265" s="25"/>
      <c r="G265" s="49"/>
      <c r="H265" s="26" t="s">
        <v>585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779</v>
      </c>
      <c r="E266" s="26" t="s">
        <v>780</v>
      </c>
      <c r="F266" s="26"/>
      <c r="G266" s="49"/>
      <c r="H266" s="26" t="s">
        <v>585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686</v>
      </c>
      <c r="C267" s="26">
        <v>20230008344</v>
      </c>
      <c r="D267" s="29" t="s">
        <v>786</v>
      </c>
      <c r="E267" s="26" t="s">
        <v>787</v>
      </c>
      <c r="F267" s="26"/>
      <c r="G267" s="49"/>
      <c r="H267" s="26" t="s">
        <v>585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792</v>
      </c>
      <c r="E268" s="25" t="s">
        <v>5299</v>
      </c>
      <c r="F268" s="25"/>
      <c r="G268" s="49"/>
      <c r="H268" s="26" t="s">
        <v>585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798</v>
      </c>
      <c r="C269" s="26">
        <v>20230008933</v>
      </c>
      <c r="D269" s="29"/>
      <c r="E269" s="26" t="s">
        <v>800</v>
      </c>
      <c r="F269" s="26"/>
      <c r="G269" s="49"/>
      <c r="H269" s="26" t="s">
        <v>585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804</v>
      </c>
      <c r="E270" s="26" t="s">
        <v>805</v>
      </c>
      <c r="F270" s="26"/>
      <c r="G270" s="49"/>
      <c r="H270" s="26" t="s">
        <v>585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810</v>
      </c>
      <c r="E271" s="26" t="s">
        <v>811</v>
      </c>
      <c r="F271" s="26"/>
      <c r="G271" s="49" t="s">
        <v>812</v>
      </c>
      <c r="H271" s="26" t="s">
        <v>492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810</v>
      </c>
      <c r="E272" s="26" t="s">
        <v>811</v>
      </c>
      <c r="F272" s="26"/>
      <c r="G272" s="49"/>
      <c r="H272" s="26" t="s">
        <v>492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819</v>
      </c>
      <c r="E273" s="26" t="s">
        <v>820</v>
      </c>
      <c r="F273" s="26"/>
      <c r="G273" s="49"/>
      <c r="H273" s="26" t="s">
        <v>492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827</v>
      </c>
      <c r="E274" s="25" t="s">
        <v>828</v>
      </c>
      <c r="F274" s="25"/>
      <c r="G274" s="49"/>
      <c r="H274" s="26" t="s">
        <v>492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831</v>
      </c>
      <c r="E275" s="25" t="s">
        <v>832</v>
      </c>
      <c r="F275" s="25"/>
      <c r="G275" s="49"/>
      <c r="H275" s="26" t="s">
        <v>492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831</v>
      </c>
      <c r="E276" s="25" t="s">
        <v>837</v>
      </c>
      <c r="F276" s="25"/>
      <c r="G276" s="49"/>
      <c r="H276" s="26" t="s">
        <v>492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840</v>
      </c>
      <c r="F277" s="26"/>
      <c r="G277" s="49"/>
      <c r="H277" s="26" t="s">
        <v>492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845</v>
      </c>
      <c r="E278" s="26" t="s">
        <v>846</v>
      </c>
      <c r="F278" s="26"/>
      <c r="G278" s="49"/>
      <c r="H278" s="26" t="s">
        <v>492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852</v>
      </c>
      <c r="E279" s="26" t="s">
        <v>853</v>
      </c>
      <c r="F279" s="26"/>
      <c r="G279" s="49"/>
      <c r="H279" s="26" t="s">
        <v>585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866</v>
      </c>
      <c r="C280" s="26">
        <v>20230006321</v>
      </c>
      <c r="D280" s="29" t="s">
        <v>868</v>
      </c>
      <c r="E280" s="55" t="s">
        <v>5300</v>
      </c>
      <c r="F280" s="55"/>
      <c r="G280" s="49" t="s">
        <v>870</v>
      </c>
      <c r="H280" s="26" t="s">
        <v>492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866</v>
      </c>
      <c r="C281" s="26">
        <v>20230006321</v>
      </c>
      <c r="D281" s="29" t="s">
        <v>868</v>
      </c>
      <c r="E281" s="55" t="s">
        <v>869</v>
      </c>
      <c r="F281" s="55"/>
      <c r="G281" s="49"/>
      <c r="H281" s="26" t="s">
        <v>492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866</v>
      </c>
      <c r="C282" s="26">
        <v>20230006321</v>
      </c>
      <c r="D282" s="29" t="s">
        <v>868</v>
      </c>
      <c r="E282" s="55" t="s">
        <v>869</v>
      </c>
      <c r="F282" s="55"/>
      <c r="G282" s="49"/>
      <c r="H282" s="26" t="s">
        <v>492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881</v>
      </c>
      <c r="C283" s="26">
        <v>20230006451</v>
      </c>
      <c r="D283" s="29" t="s">
        <v>883</v>
      </c>
      <c r="E283" s="52" t="s">
        <v>884</v>
      </c>
      <c r="F283" s="52"/>
      <c r="G283" s="49"/>
      <c r="H283" s="26" t="s">
        <v>492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656</v>
      </c>
      <c r="C284" s="26">
        <v>20230008712</v>
      </c>
      <c r="D284" s="29" t="s">
        <v>891</v>
      </c>
      <c r="E284" s="51" t="s">
        <v>892</v>
      </c>
      <c r="F284" s="51"/>
      <c r="G284" s="49"/>
      <c r="H284" s="26" t="s">
        <v>492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5272</v>
      </c>
      <c r="D285" s="29" t="s">
        <v>900</v>
      </c>
      <c r="E285" s="30" t="s">
        <v>5301</v>
      </c>
      <c r="F285" s="30"/>
      <c r="G285" s="49"/>
      <c r="H285" s="26" t="s">
        <v>492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686</v>
      </c>
      <c r="C286" s="26">
        <v>20230008395</v>
      </c>
      <c r="D286" s="29" t="s">
        <v>900</v>
      </c>
      <c r="E286" s="30" t="s">
        <v>909</v>
      </c>
      <c r="F286" s="30"/>
      <c r="G286" s="49"/>
      <c r="H286" s="26" t="s">
        <v>492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911</v>
      </c>
      <c r="C287" s="26">
        <v>20230005526</v>
      </c>
      <c r="D287" s="29" t="s">
        <v>913</v>
      </c>
      <c r="E287" s="30" t="s">
        <v>914</v>
      </c>
      <c r="F287" s="30"/>
      <c r="G287" s="49"/>
      <c r="H287" s="26" t="s">
        <v>492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5272</v>
      </c>
      <c r="D288" s="29" t="s">
        <v>920</v>
      </c>
      <c r="E288" s="30" t="s">
        <v>5302</v>
      </c>
      <c r="F288" s="30"/>
      <c r="G288" s="49"/>
      <c r="H288" s="26" t="s">
        <v>492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926</v>
      </c>
      <c r="C289" s="26">
        <v>20230005458</v>
      </c>
      <c r="D289" s="29" t="s">
        <v>928</v>
      </c>
      <c r="E289" s="51" t="s">
        <v>929</v>
      </c>
      <c r="F289" s="51"/>
      <c r="G289" s="49"/>
      <c r="H289" s="26" t="s">
        <v>492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646</v>
      </c>
      <c r="C290" s="26">
        <v>20230008219</v>
      </c>
      <c r="D290" s="29" t="s">
        <v>935</v>
      </c>
      <c r="E290" s="51" t="s">
        <v>936</v>
      </c>
      <c r="F290" s="51"/>
      <c r="G290" s="49"/>
      <c r="H290" s="26" t="s">
        <v>492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646</v>
      </c>
      <c r="C291" s="26">
        <v>20230008224</v>
      </c>
      <c r="D291" s="29" t="s">
        <v>935</v>
      </c>
      <c r="E291" s="51" t="s">
        <v>936</v>
      </c>
      <c r="F291" s="51"/>
      <c r="G291" s="49"/>
      <c r="H291" s="26" t="s">
        <v>492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926</v>
      </c>
      <c r="C292" s="26">
        <v>20230005459</v>
      </c>
      <c r="D292" s="29" t="s">
        <v>928</v>
      </c>
      <c r="E292" s="51" t="s">
        <v>929</v>
      </c>
      <c r="F292" s="51"/>
      <c r="G292" s="49"/>
      <c r="H292" s="26" t="s">
        <v>492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946</v>
      </c>
      <c r="E293" s="30" t="s">
        <v>947</v>
      </c>
      <c r="F293" s="30"/>
      <c r="G293" s="49"/>
      <c r="H293" s="26" t="s">
        <v>492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913</v>
      </c>
      <c r="E294" s="30" t="s">
        <v>914</v>
      </c>
      <c r="F294" s="30"/>
      <c r="G294" s="49"/>
      <c r="H294" s="26" t="s">
        <v>492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900</v>
      </c>
      <c r="E295" s="30" t="s">
        <v>5301</v>
      </c>
      <c r="F295" s="30"/>
      <c r="G295" s="49"/>
      <c r="H295" s="26" t="s">
        <v>492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900</v>
      </c>
      <c r="E296" s="30" t="s">
        <v>5301</v>
      </c>
      <c r="F296" s="30"/>
      <c r="G296" s="49"/>
      <c r="H296" s="26" t="s">
        <v>492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656</v>
      </c>
      <c r="C297" s="26">
        <v>20230008715</v>
      </c>
      <c r="D297" s="29" t="s">
        <v>891</v>
      </c>
      <c r="E297" s="26" t="s">
        <v>961</v>
      </c>
      <c r="F297" s="26"/>
      <c r="G297" s="49"/>
      <c r="H297" s="26" t="s">
        <v>492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963</v>
      </c>
      <c r="C298" s="26">
        <v>20230006187</v>
      </c>
      <c r="D298" s="29" t="s">
        <v>965</v>
      </c>
      <c r="E298" s="51" t="s">
        <v>966</v>
      </c>
      <c r="F298" s="51"/>
      <c r="G298" s="49"/>
      <c r="H298" s="26" t="s">
        <v>492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646</v>
      </c>
      <c r="C299" s="26">
        <v>20230008181</v>
      </c>
      <c r="D299" s="29" t="s">
        <v>970</v>
      </c>
      <c r="E299" s="51" t="s">
        <v>971</v>
      </c>
      <c r="F299" s="51"/>
      <c r="G299" s="49"/>
      <c r="H299" s="26" t="s">
        <v>492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866</v>
      </c>
      <c r="C300" s="26">
        <v>20230006324</v>
      </c>
      <c r="D300" s="29" t="s">
        <v>868</v>
      </c>
      <c r="E300" s="51" t="s">
        <v>869</v>
      </c>
      <c r="F300" s="51"/>
      <c r="G300" s="49"/>
      <c r="H300" s="26" t="s">
        <v>492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866</v>
      </c>
      <c r="C301" s="26">
        <v>20230006324</v>
      </c>
      <c r="D301" s="29" t="s">
        <v>868</v>
      </c>
      <c r="E301" s="25" t="s">
        <v>869</v>
      </c>
      <c r="F301" s="25"/>
      <c r="G301" s="49"/>
      <c r="H301" s="26" t="s">
        <v>492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982</v>
      </c>
      <c r="C302" s="26">
        <v>20230006477</v>
      </c>
      <c r="D302" s="29" t="s">
        <v>768</v>
      </c>
      <c r="E302" s="51" t="s">
        <v>983</v>
      </c>
      <c r="F302" s="51"/>
      <c r="G302" s="49"/>
      <c r="H302" s="26" t="s">
        <v>585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985</v>
      </c>
      <c r="E303" s="26" t="s">
        <v>986</v>
      </c>
      <c r="F303" s="26"/>
      <c r="G303" s="49"/>
      <c r="H303" s="26" t="s">
        <v>585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993</v>
      </c>
      <c r="C304" s="26">
        <v>20240001025</v>
      </c>
      <c r="D304" s="29" t="s">
        <v>994</v>
      </c>
      <c r="E304" s="25" t="s">
        <v>995</v>
      </c>
      <c r="F304" s="25"/>
      <c r="G304" s="49"/>
      <c r="H304" s="26" t="s">
        <v>585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690</v>
      </c>
      <c r="C305" s="26">
        <v>20230008529</v>
      </c>
      <c r="D305" s="29" t="s">
        <v>997</v>
      </c>
      <c r="E305" s="25" t="s">
        <v>998</v>
      </c>
      <c r="F305" s="25"/>
      <c r="G305" s="49"/>
      <c r="H305" s="26" t="s">
        <v>808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1001</v>
      </c>
      <c r="C306" s="26">
        <v>20240002594</v>
      </c>
      <c r="D306" s="29" t="s">
        <v>1002</v>
      </c>
      <c r="E306" s="25" t="s">
        <v>1003</v>
      </c>
      <c r="F306" s="25"/>
      <c r="G306" s="49"/>
      <c r="H306" s="26" t="s">
        <v>808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1008</v>
      </c>
      <c r="C307" s="26">
        <v>20230006201</v>
      </c>
      <c r="D307" s="29" t="s">
        <v>1010</v>
      </c>
      <c r="E307" s="25" t="s">
        <v>5303</v>
      </c>
      <c r="F307" s="25"/>
      <c r="G307" s="49" t="s">
        <v>1012</v>
      </c>
      <c r="H307" s="26" t="s">
        <v>492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1019</v>
      </c>
      <c r="C308" s="26">
        <v>20230006847</v>
      </c>
      <c r="D308" s="29" t="s">
        <v>1021</v>
      </c>
      <c r="E308" s="30" t="s">
        <v>1022</v>
      </c>
      <c r="F308" s="30"/>
      <c r="G308" s="49"/>
      <c r="H308" s="26" t="s">
        <v>492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1019</v>
      </c>
      <c r="C309" s="26">
        <v>20230006849</v>
      </c>
      <c r="D309" s="29" t="s">
        <v>1021</v>
      </c>
      <c r="E309" s="52" t="s">
        <v>5304</v>
      </c>
      <c r="F309" s="52"/>
      <c r="G309" s="49"/>
      <c r="H309" s="26" t="s">
        <v>492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1008</v>
      </c>
      <c r="C310" s="26">
        <v>20230006188</v>
      </c>
      <c r="D310" s="29" t="s">
        <v>1029</v>
      </c>
      <c r="E310" s="30" t="s">
        <v>1030</v>
      </c>
      <c r="F310" s="30"/>
      <c r="G310" s="49"/>
      <c r="H310" s="26" t="s">
        <v>492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1008</v>
      </c>
      <c r="C311" s="26">
        <v>20230006199</v>
      </c>
      <c r="D311" s="29" t="s">
        <v>1035</v>
      </c>
      <c r="E311" s="56" t="s">
        <v>1036</v>
      </c>
      <c r="F311" s="56"/>
      <c r="G311" s="49"/>
      <c r="H311" s="26" t="s">
        <v>492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1040</v>
      </c>
      <c r="C312" s="26">
        <v>20230005506</v>
      </c>
      <c r="D312" s="29" t="s">
        <v>1042</v>
      </c>
      <c r="E312" s="30" t="s">
        <v>1043</v>
      </c>
      <c r="F312" s="30"/>
      <c r="G312" s="49"/>
      <c r="H312" s="26" t="s">
        <v>492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1050</v>
      </c>
      <c r="C313" s="26">
        <v>20230005811</v>
      </c>
      <c r="D313" s="29" t="s">
        <v>1052</v>
      </c>
      <c r="E313" s="25" t="s">
        <v>1053</v>
      </c>
      <c r="F313" s="25"/>
      <c r="G313" s="49"/>
      <c r="H313" s="26" t="s">
        <v>492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1057</v>
      </c>
      <c r="C314" s="26">
        <v>20230005770</v>
      </c>
      <c r="D314" s="29" t="s">
        <v>1059</v>
      </c>
      <c r="E314" s="30" t="s">
        <v>1060</v>
      </c>
      <c r="F314" s="30"/>
      <c r="G314" s="49"/>
      <c r="H314" s="26" t="s">
        <v>492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982</v>
      </c>
      <c r="C315" s="26">
        <v>20230006480</v>
      </c>
      <c r="D315" s="29" t="s">
        <v>1065</v>
      </c>
      <c r="E315" s="30" t="s">
        <v>1066</v>
      </c>
      <c r="F315" s="30"/>
      <c r="G315" s="49"/>
      <c r="H315" s="26" t="s">
        <v>492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1071</v>
      </c>
      <c r="E316" s="30" t="s">
        <v>1072</v>
      </c>
      <c r="F316" s="30"/>
      <c r="G316" s="49"/>
      <c r="H316" s="26" t="s">
        <v>492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5272</v>
      </c>
      <c r="D317" s="29" t="s">
        <v>1094</v>
      </c>
      <c r="E317" s="51" t="s">
        <v>5305</v>
      </c>
      <c r="F317" s="51"/>
      <c r="G317" s="49"/>
      <c r="H317" s="26" t="s">
        <v>492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1083</v>
      </c>
      <c r="C318" s="26">
        <v>20230005679</v>
      </c>
      <c r="D318" s="43" t="s">
        <v>1085</v>
      </c>
      <c r="E318" s="25" t="s">
        <v>5306</v>
      </c>
      <c r="F318" s="25"/>
      <c r="G318" s="49"/>
      <c r="H318" s="26" t="s">
        <v>492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1083</v>
      </c>
      <c r="C319" s="26">
        <v>20230005680</v>
      </c>
      <c r="D319" s="43" t="s">
        <v>1085</v>
      </c>
      <c r="E319" s="25" t="s">
        <v>1091</v>
      </c>
      <c r="F319" s="25"/>
      <c r="G319" s="49"/>
      <c r="H319" s="26" t="s">
        <v>492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5272</v>
      </c>
      <c r="D320" s="29" t="s">
        <v>1094</v>
      </c>
      <c r="E320" s="51" t="s">
        <v>5307</v>
      </c>
      <c r="F320" s="51"/>
      <c r="G320" s="49"/>
      <c r="H320" s="26" t="s">
        <v>492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1083</v>
      </c>
      <c r="C321" s="26">
        <v>20230005699</v>
      </c>
      <c r="D321" s="29" t="s">
        <v>1099</v>
      </c>
      <c r="E321" s="30" t="s">
        <v>1100</v>
      </c>
      <c r="F321" s="30"/>
      <c r="G321" s="49"/>
      <c r="H321" s="26" t="s">
        <v>492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656</v>
      </c>
      <c r="C322" s="26">
        <v>20230008663</v>
      </c>
      <c r="D322" s="29" t="s">
        <v>1105</v>
      </c>
      <c r="E322" s="30" t="s">
        <v>1106</v>
      </c>
      <c r="F322" s="30"/>
      <c r="G322" s="49"/>
      <c r="H322" s="26" t="s">
        <v>492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1110</v>
      </c>
      <c r="C323" s="26">
        <v>20230005464</v>
      </c>
      <c r="D323" s="29" t="s">
        <v>1112</v>
      </c>
      <c r="E323" s="51" t="s">
        <v>1113</v>
      </c>
      <c r="F323" s="51"/>
      <c r="G323" s="49"/>
      <c r="H323" s="26" t="s">
        <v>492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5308</v>
      </c>
      <c r="E324" s="52" t="s">
        <v>1119</v>
      </c>
      <c r="F324" s="52"/>
      <c r="G324" s="49"/>
      <c r="H324" s="26" t="s">
        <v>492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1040</v>
      </c>
      <c r="C325" s="26">
        <v>20230005507</v>
      </c>
      <c r="D325" s="29" t="s">
        <v>1042</v>
      </c>
      <c r="E325" s="51" t="s">
        <v>1124</v>
      </c>
      <c r="F325" s="51"/>
      <c r="G325" s="49"/>
      <c r="H325" s="26" t="s">
        <v>492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1008</v>
      </c>
      <c r="C326" s="26">
        <v>20230006200</v>
      </c>
      <c r="D326" s="29" t="s">
        <v>1035</v>
      </c>
      <c r="E326" s="30" t="s">
        <v>1036</v>
      </c>
      <c r="F326" s="30"/>
      <c r="G326" s="49"/>
      <c r="H326" s="26" t="s">
        <v>492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1008</v>
      </c>
      <c r="C327" s="26">
        <v>20230006190</v>
      </c>
      <c r="D327" s="29" t="s">
        <v>1029</v>
      </c>
      <c r="E327" s="52" t="s">
        <v>1131</v>
      </c>
      <c r="F327" s="52"/>
      <c r="G327" s="49"/>
      <c r="H327" s="26" t="s">
        <v>492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1019</v>
      </c>
      <c r="C328" s="26">
        <v>20230006850</v>
      </c>
      <c r="D328" s="29" t="s">
        <v>1021</v>
      </c>
      <c r="E328" s="51" t="s">
        <v>1022</v>
      </c>
      <c r="F328" s="51"/>
      <c r="G328" s="49"/>
      <c r="H328" s="26" t="s">
        <v>492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1019</v>
      </c>
      <c r="C329" s="26">
        <v>20230006852</v>
      </c>
      <c r="D329" s="29" t="s">
        <v>1021</v>
      </c>
      <c r="E329" s="51" t="s">
        <v>1022</v>
      </c>
      <c r="F329" s="51"/>
      <c r="G329" s="49"/>
      <c r="H329" s="26" t="s">
        <v>492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1008</v>
      </c>
      <c r="C330" s="26">
        <v>20230006202</v>
      </c>
      <c r="D330" s="29" t="s">
        <v>1010</v>
      </c>
      <c r="E330" s="25" t="s">
        <v>1138</v>
      </c>
      <c r="F330" s="25"/>
      <c r="G330" s="49"/>
      <c r="H330" s="26" t="s">
        <v>492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5272</v>
      </c>
      <c r="D331" s="29"/>
      <c r="E331" s="26" t="s">
        <v>1142</v>
      </c>
      <c r="F331" s="26"/>
      <c r="G331" s="49"/>
      <c r="H331" s="26" t="s">
        <v>585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59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5309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5310</v>
      </c>
      <c r="B2" s="5" t="s">
        <v>5311</v>
      </c>
      <c r="C2" s="6" t="s">
        <v>5312</v>
      </c>
      <c r="D2" s="6" t="s">
        <v>5313</v>
      </c>
      <c r="E2" s="6" t="s">
        <v>5314</v>
      </c>
      <c r="F2" s="6" t="s">
        <v>5315</v>
      </c>
      <c r="G2" s="7" t="s">
        <v>5316</v>
      </c>
      <c r="H2" s="7" t="s">
        <v>5317</v>
      </c>
      <c r="J2" s="2" t="s">
        <v>5318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59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5319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2025-01-14T03:51:40Z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