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考勤!$A$5:$AY$11</definedName>
    <definedName name="_xlnm.Print_Area" localSheetId="2">考勤!$A$1:$AZ$30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<sst xmlns="http://schemas.openxmlformats.org/spreadsheetml/2006/main" count="913" uniqueCount="143">
  <si>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</si>
  <si>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</si>
  <si>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</si>
  <si>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</si>
  <si>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</si>
  <si>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</si>
  <si>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</si>
  <si>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</si>
  <si>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</si>
  <si>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</si>
  <si>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</si>
  <si>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</si>
  <si>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</si>
  <si>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</si>
  <si>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</si>
  <si>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</si>
  <si>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</si>
  <si>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</si>
  <si>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</si>
  <si>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</si>
  <si>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</si>
  <si>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</si>
  <si>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</si>
  <si>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</si>
  <si>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</si>
  <si>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</si>
  <si>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</si>
  <si>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新疆通力建设集团股份有限公司</t>
  </si>
  <si>
    <t>新疆通力建设集团股份有限公司2025年2月工资表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</si>
  <si>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</si>
  <si>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</si>
  <si>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</si>
  <si>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</si>
  <si>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</si>
  <si>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</si>
  <si>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</si>
  <si>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</si>
  <si>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</si>
  <si>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</si>
  <si>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</si>
  <si>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</si>
  <si>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</si>
  <si>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</si>
  <si>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</si>
  <si>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</si>
  <si>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张璐燕</t>
  </si>
  <si>
    <t>董事长、总经理</t>
  </si>
  <si>
    <t>A1</t>
  </si>
  <si>
    <t>许宗奎</t>
  </si>
  <si>
    <t>法人、董事长</t>
  </si>
  <si>
    <t>范伟东</t>
  </si>
  <si>
    <t>董事会秘书</t>
  </si>
  <si>
    <t>A3</t>
  </si>
  <si>
    <t>何健</t>
  </si>
  <si>
    <t>集团副总经理</t>
  </si>
  <si>
    <t>社保补差</t>
  </si>
  <si>
    <t>陈七斤</t>
  </si>
  <si>
    <t>事业发展中心总经理</t>
  </si>
  <si>
    <t>A4</t>
  </si>
  <si>
    <t>任霄</t>
  </si>
  <si>
    <t>运营服务中心副总经理</t>
  </si>
  <si>
    <t>A5</t>
  </si>
  <si>
    <t>缺卡3次</t>
  </si>
  <si>
    <t>贺宇</t>
  </si>
  <si>
    <t>工程管理部经理</t>
  </si>
  <si>
    <t>M1</t>
  </si>
  <si>
    <t>缺卡1次</t>
  </si>
  <si>
    <t>冯建辉</t>
  </si>
  <si>
    <t>内控经理</t>
  </si>
  <si>
    <t>马卫明</t>
  </si>
  <si>
    <t>人事行政经理</t>
  </si>
  <si>
    <t>何昱珉</t>
  </si>
  <si>
    <t>能源主管</t>
  </si>
  <si>
    <t>PM</t>
  </si>
  <si>
    <t>屈永涛</t>
  </si>
  <si>
    <t>合同管理</t>
  </si>
  <si>
    <t>张素杰</t>
  </si>
  <si>
    <t>会计</t>
  </si>
  <si>
    <t>PB</t>
  </si>
  <si>
    <t>岳丽</t>
  </si>
  <si>
    <t>缺卡2次</t>
  </si>
  <si>
    <t>张文革</t>
  </si>
  <si>
    <t>出纳</t>
  </si>
  <si>
    <t>冯影</t>
  </si>
  <si>
    <t>综合行政</t>
  </si>
  <si>
    <t>张旭</t>
  </si>
  <si>
    <t>造价工程师</t>
  </si>
  <si>
    <t>王国强</t>
  </si>
  <si>
    <t>路桥工程师</t>
  </si>
  <si>
    <t>吴梦杨</t>
  </si>
  <si>
    <t>李婷</t>
  </si>
  <si>
    <t>徐文彬</t>
  </si>
  <si>
    <t>马思宇</t>
  </si>
  <si>
    <t>人事运营</t>
  </si>
  <si>
    <t>杜义欣</t>
  </si>
  <si>
    <t>合同专员</t>
  </si>
  <si>
    <t>李海涛</t>
  </si>
  <si>
    <t>董事长司机</t>
  </si>
  <si>
    <t>合计</t>
  </si>
  <si>
    <t>注：</t>
  </si>
  <si>
    <t>本月经理级留存15%全额工资，年底发放</t>
  </si>
  <si>
    <t>单位领导：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</si>
  <si>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</si>
  <si>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</si>
  <si>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</si>
  <si>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</si>
  <si>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</si>
  <si>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</si>
  <si>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</si>
  <si>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</si>
  <si>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</si>
  <si>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</si>
  <si>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</si>
  <si>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</si>
  <si>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</si>
  <si>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</si>
  <si>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</si>
  <si>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</si>
  <si>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</si>
  <si>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</si>
  <si>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</si>
  <si>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</si>
  <si>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</si>
  <si>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</si>
  <si>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</si>
  <si>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</si>
  <si>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</si>
  <si>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</si>
  <si>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本月徐文彬事假1天，病假3天；张素杰病假3天；吴梦杨婚假13天；任霄事假1天，马卫明事假0.5天</t>
  </si>
  <si>
    <t>月度应发</t>
  </si>
  <si>
    <t>差额</t>
  </si>
  <si>
    <t>绩效扣款</t>
  </si>
  <si>
    <t>缺卡</t>
  </si>
  <si>
    <t>婚假13天</t>
  </si>
  <si>
    <t>病假3天</t>
  </si>
  <si>
    <t>职务序列</t>
  </si>
  <si>
    <t>月度基本工资比例</t>
  </si>
  <si>
    <t>月度绩效奖金比例</t>
  </si>
  <si>
    <t>年度奖金比例</t>
  </si>
  <si>
    <t>A2</t>
  </si>
  <si>
    <t>M2</t>
  </si>
  <si>
    <t>M3</t>
  </si>
  <si>
    <t>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</si>
</sst>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8"/>
      <name val="Arial"/>
      <charset val="134"/>
    </font>
    <font>
      <sz val="11"/>
      <name val="宋体"/>
      <charset val="134"/>
      <scheme val="minor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8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7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7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7" fillId="0" borderId="0" xfId="52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center" vertical="center" wrapText="1"/>
    </xf>
    <xf numFmtId="0" fontId="5" fillId="2" borderId="9" xfId="50" applyFont="1" applyFill="1" applyBorder="1" applyAlignment="1">
      <alignment horizontal="center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left" vertical="center" wrapText="1"/>
    </xf>
    <xf numFmtId="0" fontId="5" fillId="2" borderId="1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/>
    </xf>
    <xf numFmtId="0" fontId="12" fillId="0" borderId="1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 wrapText="1"/>
    </xf>
    <xf numFmtId="0" fontId="13" fillId="2" borderId="1" xfId="50" applyFont="1" applyFill="1" applyBorder="1" applyAlignment="1">
      <alignment horizontal="center" vertical="center" wrapText="1"/>
    </xf>
    <xf numFmtId="177" fontId="12" fillId="0" borderId="1" xfId="53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7" fillId="0" borderId="0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76" fontId="17" fillId="0" borderId="0" xfId="0" applyNumberFormat="1" applyFont="1" applyAlignment="1">
      <alignment vertical="center"/>
    </xf>
    <xf numFmtId="176" fontId="17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>
        <row r="1">
          <cell r="M1">
            <v>2</v>
          </cell>
        </row>
        <row r="2">
          <cell r="C2" t="str">
            <v>集团公司机关</v>
          </cell>
        </row>
        <row r="2">
          <cell r="AB2" t="str">
            <v>2025年2月4日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X10"/>
  <sheetViews>
    <sheetView tabSelected="1" zoomScale="55" zoomScaleNormal="55" workbookViewId="0">
      <selection activeCell="A4" sqref="A4:W4"/>
    </sheetView>
  </sheetViews>
  <sheetFormatPr defaultColWidth="9" defaultRowHeight="14.5"/>
  <cols>
    <col min="1" max="1" width="49.6238532110092" style="1" customWidth="1"/>
    <col min="2" max="2" width="9" style="1"/>
    <col min="3" max="4" width="11.5045871559633" style="1" customWidth="1"/>
    <col min="5" max="7" width="9.37614678899082" style="1" customWidth="1"/>
    <col min="8" max="9" width="9" style="1"/>
    <col min="10" max="10" width="12.6605504587156" style="1"/>
    <col min="11" max="11" width="9.44036697247706" style="1"/>
    <col min="12" max="12" width="13.7706422018349" style="1"/>
    <col min="13" max="15" width="13.7522935779817" style="1" customWidth="1"/>
    <col min="16" max="16" width="9.37614678899082" style="1" customWidth="1"/>
    <col min="17" max="19" width="9" style="1"/>
    <col min="20" max="20" width="13.7522935779817" style="1" customWidth="1"/>
    <col min="21" max="21" width="9" style="1"/>
    <col min="22" max="22" width="12.6605504587156" style="1"/>
    <col min="23" max="23" width="13" style="1" customWidth="1"/>
    <col min="24" max="16384" width="9" style="1"/>
  </cols>
  <sheetData>
    <row r="2" s="85" customFormat="1" ht="50" customHeight="1" spans="1:24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 t="s">
        <v>2</v>
      </c>
      <c r="N2" s="6"/>
      <c r="O2" s="6"/>
      <c r="P2" s="6"/>
      <c r="Q2" s="6" t="s">
        <v>3</v>
      </c>
      <c r="R2" s="6"/>
      <c r="S2" s="6"/>
      <c r="T2" s="6"/>
      <c r="U2" s="6"/>
      <c r="V2" s="6"/>
      <c r="W2" s="6" t="s">
        <v>4</v>
      </c>
      <c r="X2" s="6" t="s">
        <v>5</v>
      </c>
    </row>
    <row r="3" s="85" customFormat="1" ht="50" customHeight="1" spans="1:24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17</v>
      </c>
      <c r="W3" s="6"/>
      <c r="X3" s="6"/>
    </row>
    <row r="4" s="86" customFormat="1" ht="50" customHeight="1" spans="1:24">
      <c r="A4" s="2" t="s">
        <v>27</v>
      </c>
      <c r="B4" s="2">
        <v>23</v>
      </c>
      <c r="C4" s="2">
        <f>工资表!E28</f>
        <v>327740</v>
      </c>
      <c r="D4" s="2">
        <f>工资表!F28</f>
        <v>19</v>
      </c>
      <c r="E4" s="2">
        <f>工资表!G28</f>
        <v>177357</v>
      </c>
      <c r="F4" s="2">
        <f>工资表!H28</f>
        <v>102533</v>
      </c>
      <c r="G4" s="2">
        <f>工资表!I28</f>
        <v>47850</v>
      </c>
      <c r="H4" s="2">
        <f>工资表!J28</f>
        <v>0</v>
      </c>
      <c r="I4" s="2">
        <f>工资表!K28</f>
        <v>-1553</v>
      </c>
      <c r="J4" s="8">
        <f>工资表!L28</f>
        <v>5204.96842105264</v>
      </c>
      <c r="K4" s="2">
        <f>工资表!M28</f>
        <v>-5217.77</v>
      </c>
      <c r="L4" s="8">
        <f>工资表!N28</f>
        <v>-1565.80157894736</v>
      </c>
      <c r="M4" s="2">
        <f>工资表!O28</f>
        <v>0</v>
      </c>
      <c r="N4" s="2">
        <f>工资表!P28</f>
        <v>0</v>
      </c>
      <c r="O4" s="2">
        <f>工资表!Q28</f>
        <v>0</v>
      </c>
      <c r="P4" s="2">
        <f>工资表!R28</f>
        <v>269230.514210526</v>
      </c>
      <c r="Q4" s="2">
        <f>工资表!S28</f>
        <v>9159.12</v>
      </c>
      <c r="R4" s="2">
        <f>工资表!T28</f>
        <v>572.48</v>
      </c>
      <c r="S4" s="2">
        <f>工资表!U28</f>
        <v>2320.4</v>
      </c>
      <c r="T4" s="2">
        <f>工资表!V28</f>
        <v>568.31</v>
      </c>
      <c r="U4" s="2">
        <f>工资表!W28</f>
        <v>6113.67</v>
      </c>
      <c r="V4" s="8">
        <f>工资表!X28</f>
        <v>18733.98</v>
      </c>
      <c r="W4" s="8">
        <f>工资表!Y28</f>
        <v>250496.534210526</v>
      </c>
      <c r="X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V2"/>
    <mergeCell ref="W2:W3"/>
    <mergeCell ref="X2:X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  <pageSetUpPr fitToPage="1"/>
  </sheetPr>
  <dimension ref="A1:Z30"/>
  <sheetViews>
    <sheetView showZeros="0" zoomScale="10" zoomScaleNormal="10" workbookViewId="0">
      <selection activeCell="BC19" sqref="BC19"/>
    </sheetView>
  </sheetViews>
  <sheetFormatPr defaultColWidth="9" defaultRowHeight="20" customHeight="1"/>
  <cols>
    <col min="1" max="1" width="28.7522935779816" style="1" customWidth="1"/>
    <col min="2" max="2" width="50.7339449541284" style="1" customWidth="1"/>
    <col min="3" max="3" width="90.7064220183486" style="1" customWidth="1"/>
    <col min="4" max="4" width="22.7614678899083" style="1" customWidth="1"/>
    <col min="5" max="5" width="32.7522935779817" style="1" customWidth="1"/>
    <col min="6" max="6" width="22.7614678899083" style="1" customWidth="1"/>
    <col min="7" max="9" width="32.7522935779817" style="1" customWidth="1"/>
    <col min="10" max="10" width="36.7522935779817" style="1" hidden="1" customWidth="1"/>
    <col min="11" max="11" width="36.7522935779817" style="1" customWidth="1"/>
    <col min="12" max="12" width="38.743119266055" style="1" customWidth="1"/>
    <col min="13" max="13" width="48.6146788990826" style="1" customWidth="1"/>
    <col min="14" max="14" width="45.743119266055" style="1" customWidth="1"/>
    <col min="15" max="16" width="55.7339449541284" style="1" customWidth="1"/>
    <col min="17" max="17" width="22.7614678899083" style="1" customWidth="1"/>
    <col min="18" max="18" width="60.7247706422018" style="66" customWidth="1"/>
    <col min="19" max="22" width="36.7522935779817" style="1" customWidth="1"/>
    <col min="23" max="23" width="45.743119266055" style="5" customWidth="1"/>
    <col min="24" max="24" width="40.743119266055" style="1" customWidth="1"/>
    <col min="25" max="25" width="55.7339449541284" style="67" customWidth="1"/>
    <col min="26" max="26" width="100.697247706422" style="1" customWidth="1"/>
    <col min="27" max="16384" width="9" style="1"/>
  </cols>
  <sheetData>
    <row r="1" s="60" customFormat="1" ht="100" customHeight="1" spans="1:26">
      <c r="A1" s="68" t="s">
        <v>28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77"/>
      <c r="S1" s="68"/>
      <c r="T1" s="68"/>
      <c r="U1" s="68"/>
      <c r="V1" s="68"/>
      <c r="W1" s="77"/>
      <c r="X1" s="68"/>
      <c r="Y1" s="68"/>
      <c r="Z1" s="68"/>
    </row>
    <row r="2" s="60" customFormat="1" ht="60" customHeight="1" spans="1:26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7"/>
      <c r="S2" s="68"/>
      <c r="T2" s="68"/>
      <c r="U2" s="68"/>
      <c r="V2" s="68"/>
      <c r="W2" s="77"/>
      <c r="X2" s="68"/>
      <c r="Y2" s="68"/>
      <c r="Z2" s="68"/>
    </row>
    <row r="3" s="61" customFormat="1" ht="130" customHeight="1" spans="1:26">
      <c r="A3" s="69" t="s">
        <v>29</v>
      </c>
      <c r="B3" s="69" t="s">
        <v>0</v>
      </c>
      <c r="C3" s="69"/>
      <c r="D3" s="69"/>
      <c r="E3" s="69"/>
      <c r="F3" s="69"/>
      <c r="G3" s="69"/>
      <c r="H3" s="69"/>
      <c r="I3" s="69"/>
      <c r="J3" s="69" t="s">
        <v>1</v>
      </c>
      <c r="K3" s="69"/>
      <c r="L3" s="69"/>
      <c r="M3" s="69"/>
      <c r="N3" s="69"/>
      <c r="O3" s="69" t="s">
        <v>2</v>
      </c>
      <c r="P3" s="69"/>
      <c r="Q3" s="69"/>
      <c r="R3" s="76"/>
      <c r="S3" s="69" t="s">
        <v>3</v>
      </c>
      <c r="T3" s="69"/>
      <c r="U3" s="69"/>
      <c r="V3" s="69"/>
      <c r="W3" s="76"/>
      <c r="X3" s="69"/>
      <c r="Y3" s="69" t="s">
        <v>4</v>
      </c>
      <c r="Z3" s="69" t="s">
        <v>5</v>
      </c>
    </row>
    <row r="4" s="61" customFormat="1" ht="130" customHeight="1" spans="1:26">
      <c r="A4" s="69"/>
      <c r="B4" s="69" t="s">
        <v>30</v>
      </c>
      <c r="C4" s="69" t="s">
        <v>31</v>
      </c>
      <c r="D4" s="70" t="s">
        <v>32</v>
      </c>
      <c r="E4" s="70" t="s">
        <v>33</v>
      </c>
      <c r="F4" s="70" t="s">
        <v>34</v>
      </c>
      <c r="G4" s="70" t="s">
        <v>35</v>
      </c>
      <c r="H4" s="70" t="s">
        <v>36</v>
      </c>
      <c r="I4" s="70" t="s">
        <v>37</v>
      </c>
      <c r="J4" s="70" t="s">
        <v>38</v>
      </c>
      <c r="K4" s="70" t="s">
        <v>39</v>
      </c>
      <c r="L4" s="70" t="s">
        <v>40</v>
      </c>
      <c r="M4" s="69" t="s">
        <v>16</v>
      </c>
      <c r="N4" s="69" t="s">
        <v>17</v>
      </c>
      <c r="O4" s="70" t="s">
        <v>41</v>
      </c>
      <c r="P4" s="70" t="s">
        <v>42</v>
      </c>
      <c r="Q4" s="70" t="s">
        <v>43</v>
      </c>
      <c r="R4" s="76" t="s">
        <v>21</v>
      </c>
      <c r="S4" s="69" t="s">
        <v>22</v>
      </c>
      <c r="T4" s="69" t="s">
        <v>23</v>
      </c>
      <c r="U4" s="69" t="s">
        <v>24</v>
      </c>
      <c r="V4" s="70" t="s">
        <v>44</v>
      </c>
      <c r="W4" s="76" t="s">
        <v>26</v>
      </c>
      <c r="X4" s="69" t="s">
        <v>17</v>
      </c>
      <c r="Y4" s="69"/>
      <c r="Z4" s="69"/>
    </row>
    <row r="5" s="62" customFormat="1" ht="130" customHeight="1" spans="1:26">
      <c r="A5" s="71">
        <v>1</v>
      </c>
      <c r="B5" s="71" t="s">
        <v>45</v>
      </c>
      <c r="C5" s="71" t="s">
        <v>46</v>
      </c>
      <c r="D5" s="71" t="s">
        <v>47</v>
      </c>
      <c r="E5" s="71">
        <v>5000</v>
      </c>
      <c r="F5" s="71">
        <v>19</v>
      </c>
      <c r="G5" s="71">
        <f>E5*VLOOKUP(D5,职务序列取数!B:E,2,0)</f>
        <v>5000</v>
      </c>
      <c r="H5" s="71">
        <f>E5*VLOOKUP(D5,职务序列取数!B:E,3,0)</f>
        <v>0</v>
      </c>
      <c r="I5" s="71">
        <f>E5*VLOOKUP(D5,职务序列取数!B:E,4,0)</f>
        <v>0</v>
      </c>
      <c r="J5" s="71"/>
      <c r="K5" s="71"/>
      <c r="L5" s="71"/>
      <c r="M5" s="71"/>
      <c r="N5" s="74">
        <f>SUM(J5:M5)</f>
        <v>0</v>
      </c>
      <c r="O5" s="75">
        <f>G5/F5</f>
        <v>263.157894736842</v>
      </c>
      <c r="P5" s="75">
        <f>H5/F5</f>
        <v>0</v>
      </c>
      <c r="Q5" s="78">
        <f>VLOOKUP(B5,考勤!B:AI,34,0)</f>
        <v>19</v>
      </c>
      <c r="R5" s="76">
        <f>(O5*Q5)+(P5*Q5)+N5</f>
        <v>5000</v>
      </c>
      <c r="S5" s="71"/>
      <c r="T5" s="71"/>
      <c r="U5" s="71"/>
      <c r="V5" s="71"/>
      <c r="W5" s="79">
        <v>0</v>
      </c>
      <c r="X5" s="78">
        <f>SUM(S5:W5)</f>
        <v>0</v>
      </c>
      <c r="Y5" s="76">
        <f>R5-X5</f>
        <v>5000</v>
      </c>
      <c r="Z5" s="71"/>
    </row>
    <row r="6" s="62" customFormat="1" ht="130" customHeight="1" spans="1:26">
      <c r="A6" s="71">
        <v>2</v>
      </c>
      <c r="B6" s="71" t="s">
        <v>48</v>
      </c>
      <c r="C6" s="71" t="s">
        <v>49</v>
      </c>
      <c r="D6" s="71" t="s">
        <v>47</v>
      </c>
      <c r="E6" s="71">
        <v>5000</v>
      </c>
      <c r="F6" s="71">
        <v>19</v>
      </c>
      <c r="G6" s="71">
        <f>E6*VLOOKUP(D6,职务序列取数!B:E,2,0)</f>
        <v>5000</v>
      </c>
      <c r="H6" s="71">
        <f>E6*VLOOKUP(D6,职务序列取数!B:E,3,0)</f>
        <v>0</v>
      </c>
      <c r="I6" s="71">
        <f>E6*VLOOKUP(D6,职务序列取数!B:E,4,0)</f>
        <v>0</v>
      </c>
      <c r="J6" s="71"/>
      <c r="K6" s="71"/>
      <c r="L6" s="71"/>
      <c r="M6" s="71"/>
      <c r="N6" s="74">
        <f t="shared" ref="N6:N27" si="0">SUM(J6:M6)</f>
        <v>0</v>
      </c>
      <c r="O6" s="75">
        <f t="shared" ref="O6:O27" si="1">G6/F6</f>
        <v>263.157894736842</v>
      </c>
      <c r="P6" s="75">
        <f t="shared" ref="P6:P27" si="2">H6/F6</f>
        <v>0</v>
      </c>
      <c r="Q6" s="78">
        <f>VLOOKUP(B6,考勤!B:AI,34,0)</f>
        <v>19</v>
      </c>
      <c r="R6" s="76">
        <f t="shared" ref="R6:R27" si="3">(O6*Q6)+(P6*Q6)+N6</f>
        <v>5000</v>
      </c>
      <c r="S6" s="80">
        <v>400</v>
      </c>
      <c r="T6" s="80">
        <v>25</v>
      </c>
      <c r="U6" s="80">
        <v>130.62</v>
      </c>
      <c r="V6" s="80">
        <v>20.83</v>
      </c>
      <c r="W6" s="79">
        <v>0</v>
      </c>
      <c r="X6" s="78">
        <f t="shared" ref="X6:X27" si="4">SUM(S6:W6)</f>
        <v>576.45</v>
      </c>
      <c r="Y6" s="76">
        <f t="shared" ref="Y6:Y27" si="5">R6-X6</f>
        <v>4423.55</v>
      </c>
      <c r="Z6" s="71"/>
    </row>
    <row r="7" s="62" customFormat="1" ht="130" customHeight="1" spans="1:26">
      <c r="A7" s="71">
        <v>3</v>
      </c>
      <c r="B7" s="71" t="s">
        <v>50</v>
      </c>
      <c r="C7" s="71" t="s">
        <v>51</v>
      </c>
      <c r="D7" s="71" t="s">
        <v>52</v>
      </c>
      <c r="E7" s="71">
        <v>60000</v>
      </c>
      <c r="F7" s="71">
        <v>19</v>
      </c>
      <c r="G7" s="71">
        <f>E7*VLOOKUP(D7,职务序列取数!B:E,2,0)</f>
        <v>22500</v>
      </c>
      <c r="H7" s="71">
        <f>E7*VLOOKUP(D7,职务序列取数!B:E,3,0)</f>
        <v>22500</v>
      </c>
      <c r="I7" s="71">
        <f>E7*VLOOKUP(D7,职务序列取数!B:E,4,0)</f>
        <v>15000</v>
      </c>
      <c r="J7" s="71"/>
      <c r="K7" s="71"/>
      <c r="L7" s="71"/>
      <c r="M7" s="71"/>
      <c r="N7" s="74">
        <f t="shared" si="0"/>
        <v>0</v>
      </c>
      <c r="O7" s="75">
        <f t="shared" si="1"/>
        <v>1184.21052631579</v>
      </c>
      <c r="P7" s="75">
        <f t="shared" si="2"/>
        <v>1184.21052631579</v>
      </c>
      <c r="Q7" s="78">
        <f>VLOOKUP(B7,考勤!B:AI,34,0)</f>
        <v>19</v>
      </c>
      <c r="R7" s="76">
        <f t="shared" si="3"/>
        <v>45000</v>
      </c>
      <c r="S7" s="71"/>
      <c r="T7" s="71"/>
      <c r="U7" s="71"/>
      <c r="V7" s="71"/>
      <c r="W7" s="79">
        <v>3582.24</v>
      </c>
      <c r="X7" s="78">
        <f t="shared" si="4"/>
        <v>3582.24</v>
      </c>
      <c r="Y7" s="76">
        <f t="shared" si="5"/>
        <v>41417.76</v>
      </c>
      <c r="Z7" s="71"/>
    </row>
    <row r="8" s="62" customFormat="1" ht="130" customHeight="1" spans="1:26">
      <c r="A8" s="71">
        <v>4</v>
      </c>
      <c r="B8" s="71" t="s">
        <v>53</v>
      </c>
      <c r="C8" s="71" t="s">
        <v>54</v>
      </c>
      <c r="D8" s="71" t="s">
        <v>52</v>
      </c>
      <c r="E8" s="71">
        <v>50000</v>
      </c>
      <c r="F8" s="71">
        <v>19</v>
      </c>
      <c r="G8" s="71">
        <f>E8*VLOOKUP(D8,职务序列取数!B:E,2,0)</f>
        <v>18750</v>
      </c>
      <c r="H8" s="71">
        <f>E8*VLOOKUP(D8,职务序列取数!B:E,3,0)</f>
        <v>18750</v>
      </c>
      <c r="I8" s="71">
        <f>E8*VLOOKUP(D8,职务序列取数!B:E,4,0)</f>
        <v>12500</v>
      </c>
      <c r="J8" s="71"/>
      <c r="K8" s="71"/>
      <c r="L8" s="71"/>
      <c r="M8" s="71">
        <v>-5037.77</v>
      </c>
      <c r="N8" s="74">
        <f t="shared" si="0"/>
        <v>-5037.77</v>
      </c>
      <c r="O8" s="75">
        <f t="shared" si="1"/>
        <v>986.842105263158</v>
      </c>
      <c r="P8" s="75">
        <f t="shared" si="2"/>
        <v>986.842105263158</v>
      </c>
      <c r="Q8" s="78">
        <f>VLOOKUP(B8,考勤!B:AI,34,0)</f>
        <v>19</v>
      </c>
      <c r="R8" s="76">
        <f t="shared" si="3"/>
        <v>32462.23</v>
      </c>
      <c r="S8" s="80">
        <v>1959.68</v>
      </c>
      <c r="T8" s="80">
        <v>122.48</v>
      </c>
      <c r="U8" s="80">
        <v>489.92</v>
      </c>
      <c r="V8" s="80">
        <v>122.48</v>
      </c>
      <c r="W8" s="79">
        <v>743.03</v>
      </c>
      <c r="X8" s="78">
        <f t="shared" si="4"/>
        <v>3437.59</v>
      </c>
      <c r="Y8" s="76">
        <f t="shared" si="5"/>
        <v>29024.64</v>
      </c>
      <c r="Z8" s="71" t="s">
        <v>55</v>
      </c>
    </row>
    <row r="9" s="62" customFormat="1" ht="130" customHeight="1" spans="1:26">
      <c r="A9" s="71">
        <v>5</v>
      </c>
      <c r="B9" s="71" t="s">
        <v>56</v>
      </c>
      <c r="C9" s="71" t="s">
        <v>57</v>
      </c>
      <c r="D9" s="71" t="s">
        <v>58</v>
      </c>
      <c r="E9" s="71">
        <v>30000</v>
      </c>
      <c r="F9" s="71">
        <v>19</v>
      </c>
      <c r="G9" s="71">
        <f>E9*VLOOKUP(D9,职务序列取数!B:E,2,0)</f>
        <v>11250</v>
      </c>
      <c r="H9" s="71">
        <f>E9*VLOOKUP(D9,职务序列取数!B:E,3,0)</f>
        <v>11250</v>
      </c>
      <c r="I9" s="71">
        <f>E9*VLOOKUP(D9,职务序列取数!B:E,4,0)</f>
        <v>7500</v>
      </c>
      <c r="J9" s="71"/>
      <c r="K9" s="71"/>
      <c r="L9" s="71"/>
      <c r="M9" s="71"/>
      <c r="N9" s="74">
        <f t="shared" si="0"/>
        <v>0</v>
      </c>
      <c r="O9" s="75">
        <f t="shared" si="1"/>
        <v>592.105263157895</v>
      </c>
      <c r="P9" s="75">
        <f t="shared" si="2"/>
        <v>592.105263157895</v>
      </c>
      <c r="Q9" s="78">
        <f>VLOOKUP(B9,考勤!B:AI,34,0)</f>
        <v>19</v>
      </c>
      <c r="R9" s="76">
        <f t="shared" si="3"/>
        <v>22500</v>
      </c>
      <c r="S9" s="80">
        <v>400</v>
      </c>
      <c r="T9" s="80">
        <v>25</v>
      </c>
      <c r="U9" s="80">
        <v>100</v>
      </c>
      <c r="V9" s="80">
        <v>25</v>
      </c>
      <c r="W9" s="79">
        <v>163.5</v>
      </c>
      <c r="X9" s="78">
        <f t="shared" si="4"/>
        <v>713.5</v>
      </c>
      <c r="Y9" s="76">
        <f t="shared" si="5"/>
        <v>21786.5</v>
      </c>
      <c r="Z9" s="71"/>
    </row>
    <row r="10" s="62" customFormat="1" ht="130" customHeight="1" spans="1:26">
      <c r="A10" s="71">
        <v>6</v>
      </c>
      <c r="B10" s="71" t="s">
        <v>59</v>
      </c>
      <c r="C10" s="71" t="s">
        <v>60</v>
      </c>
      <c r="D10" s="71" t="s">
        <v>61</v>
      </c>
      <c r="E10" s="71">
        <v>25000</v>
      </c>
      <c r="F10" s="71">
        <v>19</v>
      </c>
      <c r="G10" s="71">
        <f>E10*VLOOKUP(D10,职务序列取数!B:E,2,0)</f>
        <v>9375</v>
      </c>
      <c r="H10" s="71">
        <f>E10*VLOOKUP(D10,职务序列取数!B:E,3,0)</f>
        <v>9375</v>
      </c>
      <c r="I10" s="71">
        <f>E10*VLOOKUP(D10,职务序列取数!B:E,4,0)</f>
        <v>6250</v>
      </c>
      <c r="J10" s="71"/>
      <c r="K10" s="71">
        <v>-1553</v>
      </c>
      <c r="L10" s="71"/>
      <c r="M10" s="71">
        <v>-60</v>
      </c>
      <c r="N10" s="74">
        <f t="shared" si="0"/>
        <v>-1613</v>
      </c>
      <c r="O10" s="75">
        <f t="shared" si="1"/>
        <v>493.421052631579</v>
      </c>
      <c r="P10" s="75">
        <f t="shared" si="2"/>
        <v>493.421052631579</v>
      </c>
      <c r="Q10" s="78">
        <f>VLOOKUP(B10,考勤!B:AI,34,0)</f>
        <v>18</v>
      </c>
      <c r="R10" s="76">
        <f t="shared" si="3"/>
        <v>16150.1578947368</v>
      </c>
      <c r="S10" s="80">
        <v>400</v>
      </c>
      <c r="T10" s="80">
        <v>25</v>
      </c>
      <c r="U10" s="80">
        <v>100</v>
      </c>
      <c r="V10" s="80">
        <v>25</v>
      </c>
      <c r="W10" s="79">
        <v>318</v>
      </c>
      <c r="X10" s="78">
        <f t="shared" si="4"/>
        <v>868</v>
      </c>
      <c r="Y10" s="76">
        <f t="shared" si="5"/>
        <v>15282.1578947368</v>
      </c>
      <c r="Z10" s="71" t="s">
        <v>62</v>
      </c>
    </row>
    <row r="11" s="62" customFormat="1" ht="130" customHeight="1" spans="1:26">
      <c r="A11" s="71">
        <v>7</v>
      </c>
      <c r="B11" s="71" t="s">
        <v>63</v>
      </c>
      <c r="C11" s="71" t="s">
        <v>64</v>
      </c>
      <c r="D11" s="71" t="s">
        <v>65</v>
      </c>
      <c r="E11" s="71">
        <v>24000</v>
      </c>
      <c r="F11" s="71">
        <v>19</v>
      </c>
      <c r="G11" s="71">
        <f>E11*VLOOKUP(D11,职务序列取数!B:E,2,0)</f>
        <v>12240</v>
      </c>
      <c r="H11" s="71">
        <f>E11*VLOOKUP(D11,职务序列取数!B:E,3,0)</f>
        <v>8160</v>
      </c>
      <c r="I11" s="71">
        <f>E11*VLOOKUP(D11,职务序列取数!B:E,4,0)</f>
        <v>3600</v>
      </c>
      <c r="J11" s="71"/>
      <c r="K11" s="71"/>
      <c r="L11" s="71"/>
      <c r="M11" s="71">
        <v>-20</v>
      </c>
      <c r="N11" s="74">
        <f t="shared" si="0"/>
        <v>-20</v>
      </c>
      <c r="O11" s="75">
        <f t="shared" si="1"/>
        <v>644.210526315789</v>
      </c>
      <c r="P11" s="75">
        <f t="shared" si="2"/>
        <v>429.473684210526</v>
      </c>
      <c r="Q11" s="78">
        <f>VLOOKUP(B11,考勤!B:AI,34,0)</f>
        <v>19</v>
      </c>
      <c r="R11" s="76">
        <f t="shared" si="3"/>
        <v>20380</v>
      </c>
      <c r="S11" s="80">
        <v>400</v>
      </c>
      <c r="T11" s="80">
        <v>25</v>
      </c>
      <c r="U11" s="80">
        <v>100</v>
      </c>
      <c r="V11" s="80">
        <v>25</v>
      </c>
      <c r="W11" s="79">
        <v>444.9</v>
      </c>
      <c r="X11" s="78">
        <f t="shared" si="4"/>
        <v>994.9</v>
      </c>
      <c r="Y11" s="76">
        <f t="shared" si="5"/>
        <v>19385.1</v>
      </c>
      <c r="Z11" s="71" t="s">
        <v>66</v>
      </c>
    </row>
    <row r="12" s="62" customFormat="1" ht="130" customHeight="1" spans="1:26">
      <c r="A12" s="71">
        <v>8</v>
      </c>
      <c r="B12" s="71" t="s">
        <v>67</v>
      </c>
      <c r="C12" s="71" t="s">
        <v>68</v>
      </c>
      <c r="D12" s="71" t="s">
        <v>65</v>
      </c>
      <c r="E12" s="71">
        <v>20000</v>
      </c>
      <c r="F12" s="71">
        <v>19</v>
      </c>
      <c r="G12" s="71">
        <f>E12*VLOOKUP(D12,职务序列取数!B:E,2,0)</f>
        <v>10200</v>
      </c>
      <c r="H12" s="71">
        <f>E12*VLOOKUP(D12,职务序列取数!B:E,3,0)</f>
        <v>6800</v>
      </c>
      <c r="I12" s="71">
        <f>E12*VLOOKUP(D12,职务序列取数!B:E,4,0)</f>
        <v>3000</v>
      </c>
      <c r="J12" s="71"/>
      <c r="K12" s="71"/>
      <c r="L12" s="71"/>
      <c r="M12" s="71"/>
      <c r="N12" s="74">
        <f t="shared" si="0"/>
        <v>0</v>
      </c>
      <c r="O12" s="75">
        <f t="shared" si="1"/>
        <v>536.842105263158</v>
      </c>
      <c r="P12" s="75">
        <f t="shared" si="2"/>
        <v>357.894736842105</v>
      </c>
      <c r="Q12" s="78">
        <f>VLOOKUP(B12,考勤!B:AI,34,0)</f>
        <v>19</v>
      </c>
      <c r="R12" s="76">
        <f t="shared" si="3"/>
        <v>17000</v>
      </c>
      <c r="S12" s="80">
        <v>400</v>
      </c>
      <c r="T12" s="80">
        <v>25</v>
      </c>
      <c r="U12" s="80">
        <v>100</v>
      </c>
      <c r="V12" s="80">
        <v>25</v>
      </c>
      <c r="W12" s="79">
        <v>343.5</v>
      </c>
      <c r="X12" s="78">
        <f t="shared" si="4"/>
        <v>893.5</v>
      </c>
      <c r="Y12" s="76">
        <f t="shared" si="5"/>
        <v>16106.5</v>
      </c>
      <c r="Z12" s="71"/>
    </row>
    <row r="13" s="62" customFormat="1" ht="130" customHeight="1" spans="1:26">
      <c r="A13" s="71">
        <v>9</v>
      </c>
      <c r="B13" s="71" t="s">
        <v>69</v>
      </c>
      <c r="C13" s="71" t="s">
        <v>70</v>
      </c>
      <c r="D13" s="71" t="s">
        <v>65</v>
      </c>
      <c r="E13" s="71">
        <v>12000</v>
      </c>
      <c r="F13" s="71">
        <v>19</v>
      </c>
      <c r="G13" s="71">
        <f>E13*0.6</f>
        <v>7200</v>
      </c>
      <c r="H13" s="71">
        <f>E13*0.4</f>
        <v>4800</v>
      </c>
      <c r="I13" s="71">
        <v>0</v>
      </c>
      <c r="J13" s="71"/>
      <c r="K13" s="71"/>
      <c r="L13" s="71"/>
      <c r="M13" s="71"/>
      <c r="N13" s="74">
        <f t="shared" si="0"/>
        <v>0</v>
      </c>
      <c r="O13" s="75">
        <f t="shared" si="1"/>
        <v>378.947368421053</v>
      </c>
      <c r="P13" s="75">
        <f t="shared" si="2"/>
        <v>252.631578947368</v>
      </c>
      <c r="Q13" s="78">
        <f>VLOOKUP(B13,考勤!B:AI,34,0)</f>
        <v>18.5</v>
      </c>
      <c r="R13" s="76">
        <f t="shared" si="3"/>
        <v>11684.2105263158</v>
      </c>
      <c r="S13" s="80">
        <v>400</v>
      </c>
      <c r="T13" s="80">
        <v>25</v>
      </c>
      <c r="U13" s="80">
        <v>100</v>
      </c>
      <c r="V13" s="80">
        <v>25</v>
      </c>
      <c r="W13" s="79">
        <v>139.03</v>
      </c>
      <c r="X13" s="78">
        <f t="shared" si="4"/>
        <v>689.03</v>
      </c>
      <c r="Y13" s="76">
        <f t="shared" si="5"/>
        <v>10995.1805263158</v>
      </c>
      <c r="Z13" s="71"/>
    </row>
    <row r="14" s="62" customFormat="1" ht="130" customHeight="1" spans="1:26">
      <c r="A14" s="71">
        <v>10</v>
      </c>
      <c r="B14" s="71" t="s">
        <v>71</v>
      </c>
      <c r="C14" s="71" t="s">
        <v>72</v>
      </c>
      <c r="D14" s="71" t="s">
        <v>73</v>
      </c>
      <c r="E14" s="71">
        <v>7500</v>
      </c>
      <c r="F14" s="71">
        <v>19</v>
      </c>
      <c r="G14" s="71">
        <f>E14*VLOOKUP(D14,职务序列取数!B:E,2,0)</f>
        <v>5250</v>
      </c>
      <c r="H14" s="71">
        <f>E14*VLOOKUP(D14,职务序列取数!B:E,3,0)</f>
        <v>2250</v>
      </c>
      <c r="I14" s="71">
        <f>E14*VLOOKUP(D14,职务序列取数!B:E,4,0)</f>
        <v>0</v>
      </c>
      <c r="J14" s="71"/>
      <c r="K14" s="71"/>
      <c r="L14" s="71"/>
      <c r="M14" s="71">
        <v>-20</v>
      </c>
      <c r="N14" s="74">
        <f t="shared" si="0"/>
        <v>-20</v>
      </c>
      <c r="O14" s="75">
        <f t="shared" si="1"/>
        <v>276.315789473684</v>
      </c>
      <c r="P14" s="75">
        <f t="shared" si="2"/>
        <v>118.421052631579</v>
      </c>
      <c r="Q14" s="78">
        <f>VLOOKUP(B14,考勤!B:AI,34,0)</f>
        <v>19</v>
      </c>
      <c r="R14" s="76">
        <f t="shared" si="3"/>
        <v>7480</v>
      </c>
      <c r="S14" s="80">
        <v>399.92</v>
      </c>
      <c r="T14" s="80">
        <v>25</v>
      </c>
      <c r="U14" s="80">
        <v>99.98</v>
      </c>
      <c r="V14" s="80">
        <v>25</v>
      </c>
      <c r="W14" s="79">
        <v>58.22</v>
      </c>
      <c r="X14" s="78">
        <f t="shared" si="4"/>
        <v>608.12</v>
      </c>
      <c r="Y14" s="76">
        <f t="shared" si="5"/>
        <v>6871.88</v>
      </c>
      <c r="Z14" s="71" t="s">
        <v>66</v>
      </c>
    </row>
    <row r="15" s="62" customFormat="1" ht="130" customHeight="1" spans="1:26">
      <c r="A15" s="71">
        <v>11</v>
      </c>
      <c r="B15" s="71" t="s">
        <v>74</v>
      </c>
      <c r="C15" s="71" t="s">
        <v>75</v>
      </c>
      <c r="D15" s="71" t="s">
        <v>73</v>
      </c>
      <c r="E15" s="71">
        <v>8000</v>
      </c>
      <c r="F15" s="71">
        <v>19</v>
      </c>
      <c r="G15" s="71">
        <f>E15*VLOOKUP(D15,职务序列取数!B:E,2,0)</f>
        <v>5600</v>
      </c>
      <c r="H15" s="71">
        <f>E15*VLOOKUP(D15,职务序列取数!B:E,3,0)</f>
        <v>2400</v>
      </c>
      <c r="I15" s="71">
        <f>E15*VLOOKUP(D15,职务序列取数!B:E,4,0)</f>
        <v>0</v>
      </c>
      <c r="J15" s="71"/>
      <c r="K15" s="71"/>
      <c r="L15" s="71"/>
      <c r="M15" s="71"/>
      <c r="N15" s="74">
        <f t="shared" si="0"/>
        <v>0</v>
      </c>
      <c r="O15" s="75">
        <f t="shared" si="1"/>
        <v>294.736842105263</v>
      </c>
      <c r="P15" s="75">
        <f t="shared" si="2"/>
        <v>126.315789473684</v>
      </c>
      <c r="Q15" s="78">
        <f>VLOOKUP(B15,考勤!B:AI,34,0)</f>
        <v>19</v>
      </c>
      <c r="R15" s="76">
        <f t="shared" si="3"/>
        <v>7999.99999999999</v>
      </c>
      <c r="S15" s="80">
        <v>400</v>
      </c>
      <c r="T15" s="80">
        <v>25</v>
      </c>
      <c r="U15" s="80">
        <v>100</v>
      </c>
      <c r="V15" s="80">
        <v>25</v>
      </c>
      <c r="W15" s="79">
        <v>73.5</v>
      </c>
      <c r="X15" s="78">
        <f t="shared" si="4"/>
        <v>623.5</v>
      </c>
      <c r="Y15" s="76">
        <f t="shared" si="5"/>
        <v>7376.49999999999</v>
      </c>
      <c r="Z15" s="71"/>
    </row>
    <row r="16" s="62" customFormat="1" ht="130" customHeight="1" spans="1:26">
      <c r="A16" s="71">
        <v>12</v>
      </c>
      <c r="B16" s="71" t="s">
        <v>76</v>
      </c>
      <c r="C16" s="71" t="s">
        <v>77</v>
      </c>
      <c r="D16" s="71" t="s">
        <v>78</v>
      </c>
      <c r="E16" s="71">
        <v>7510</v>
      </c>
      <c r="F16" s="71">
        <v>19</v>
      </c>
      <c r="G16" s="71">
        <f>E16*VLOOKUP(D16,职务序列取数!B:E,2,0)</f>
        <v>6008</v>
      </c>
      <c r="H16" s="71">
        <f>E16*VLOOKUP(D16,职务序列取数!B:E,3,0)</f>
        <v>1502</v>
      </c>
      <c r="I16" s="71">
        <f>E16*VLOOKUP(D16,职务序列取数!B:E,4,0)</f>
        <v>0</v>
      </c>
      <c r="J16" s="71"/>
      <c r="K16" s="71"/>
      <c r="L16" s="75">
        <f>O16*3*60%</f>
        <v>569.178947368421</v>
      </c>
      <c r="M16" s="71"/>
      <c r="N16" s="74">
        <f t="shared" si="0"/>
        <v>569.178947368421</v>
      </c>
      <c r="O16" s="75">
        <f t="shared" si="1"/>
        <v>316.210526315789</v>
      </c>
      <c r="P16" s="75">
        <f t="shared" si="2"/>
        <v>79.0526315789474</v>
      </c>
      <c r="Q16" s="78">
        <f>VLOOKUP(B16,考勤!B:AI,34,0)</f>
        <v>16</v>
      </c>
      <c r="R16" s="76">
        <f t="shared" si="3"/>
        <v>6893.3894736842</v>
      </c>
      <c r="S16" s="71"/>
      <c r="T16" s="71"/>
      <c r="U16" s="71"/>
      <c r="V16" s="71"/>
      <c r="W16" s="79">
        <v>11.8</v>
      </c>
      <c r="X16" s="78">
        <f t="shared" si="4"/>
        <v>11.8</v>
      </c>
      <c r="Y16" s="76">
        <f t="shared" si="5"/>
        <v>6881.5894736842</v>
      </c>
      <c r="Z16" s="71"/>
    </row>
    <row r="17" s="62" customFormat="1" ht="130" customHeight="1" spans="1:26">
      <c r="A17" s="71">
        <v>13</v>
      </c>
      <c r="B17" s="71" t="s">
        <v>79</v>
      </c>
      <c r="C17" s="71" t="s">
        <v>77</v>
      </c>
      <c r="D17" s="71" t="s">
        <v>78</v>
      </c>
      <c r="E17" s="71">
        <v>6330</v>
      </c>
      <c r="F17" s="71">
        <v>19</v>
      </c>
      <c r="G17" s="71">
        <f>E17*VLOOKUP(D17,职务序列取数!B:E,2,0)</f>
        <v>5064</v>
      </c>
      <c r="H17" s="71">
        <f>E17*VLOOKUP(D17,职务序列取数!B:E,3,0)</f>
        <v>1266</v>
      </c>
      <c r="I17" s="71">
        <f>E17*VLOOKUP(D17,职务序列取数!B:E,4,0)</f>
        <v>0</v>
      </c>
      <c r="J17" s="71"/>
      <c r="K17" s="71"/>
      <c r="L17" s="71"/>
      <c r="M17" s="71">
        <v>-40</v>
      </c>
      <c r="N17" s="74">
        <f t="shared" si="0"/>
        <v>-40</v>
      </c>
      <c r="O17" s="75">
        <f t="shared" si="1"/>
        <v>266.526315789474</v>
      </c>
      <c r="P17" s="75">
        <f t="shared" si="2"/>
        <v>66.6315789473684</v>
      </c>
      <c r="Q17" s="78">
        <f>VLOOKUP(B17,考勤!B:AI,34,0)</f>
        <v>19</v>
      </c>
      <c r="R17" s="76">
        <f t="shared" si="3"/>
        <v>6290.00000000001</v>
      </c>
      <c r="S17" s="80">
        <v>400</v>
      </c>
      <c r="T17" s="80">
        <v>25</v>
      </c>
      <c r="U17" s="80">
        <v>100</v>
      </c>
      <c r="V17" s="80">
        <v>25</v>
      </c>
      <c r="W17" s="79">
        <v>22.2</v>
      </c>
      <c r="X17" s="78">
        <f t="shared" si="4"/>
        <v>572.2</v>
      </c>
      <c r="Y17" s="76">
        <f t="shared" si="5"/>
        <v>5717.80000000001</v>
      </c>
      <c r="Z17" s="71" t="s">
        <v>80</v>
      </c>
    </row>
    <row r="18" s="62" customFormat="1" ht="130" customHeight="1" spans="1:26">
      <c r="A18" s="71">
        <v>14</v>
      </c>
      <c r="B18" s="71" t="s">
        <v>81</v>
      </c>
      <c r="C18" s="71" t="s">
        <v>82</v>
      </c>
      <c r="D18" s="71" t="s">
        <v>78</v>
      </c>
      <c r="E18" s="71">
        <v>5500</v>
      </c>
      <c r="F18" s="71">
        <v>19</v>
      </c>
      <c r="G18" s="71">
        <f>E18*VLOOKUP(D18,职务序列取数!B:E,2,0)</f>
        <v>4400</v>
      </c>
      <c r="H18" s="71">
        <f>E18*VLOOKUP(D18,职务序列取数!B:E,3,0)</f>
        <v>1100</v>
      </c>
      <c r="I18" s="71">
        <f>E18*VLOOKUP(D18,职务序列取数!B:E,4,0)</f>
        <v>0</v>
      </c>
      <c r="J18" s="71"/>
      <c r="K18" s="71"/>
      <c r="L18" s="71"/>
      <c r="M18" s="71">
        <v>-20</v>
      </c>
      <c r="N18" s="74">
        <f t="shared" si="0"/>
        <v>-20</v>
      </c>
      <c r="O18" s="75">
        <f t="shared" si="1"/>
        <v>231.578947368421</v>
      </c>
      <c r="P18" s="75">
        <f t="shared" si="2"/>
        <v>57.8947368421053</v>
      </c>
      <c r="Q18" s="78">
        <f>VLOOKUP(B18,考勤!B:AI,34,0)</f>
        <v>19</v>
      </c>
      <c r="R18" s="76">
        <f t="shared" si="3"/>
        <v>5480</v>
      </c>
      <c r="S18" s="71"/>
      <c r="T18" s="71"/>
      <c r="U18" s="71"/>
      <c r="V18" s="71"/>
      <c r="W18" s="79">
        <v>14.4</v>
      </c>
      <c r="X18" s="78">
        <f t="shared" si="4"/>
        <v>14.4</v>
      </c>
      <c r="Y18" s="76">
        <f t="shared" si="5"/>
        <v>5465.6</v>
      </c>
      <c r="Z18" s="71" t="s">
        <v>66</v>
      </c>
    </row>
    <row r="19" s="62" customFormat="1" ht="130" customHeight="1" spans="1:26">
      <c r="A19" s="71">
        <v>15</v>
      </c>
      <c r="B19" s="71" t="s">
        <v>83</v>
      </c>
      <c r="C19" s="71" t="s">
        <v>84</v>
      </c>
      <c r="D19" s="71" t="s">
        <v>78</v>
      </c>
      <c r="E19" s="71">
        <v>5500</v>
      </c>
      <c r="F19" s="71">
        <v>19</v>
      </c>
      <c r="G19" s="71">
        <f>E19*VLOOKUP(D19,职务序列取数!B:E,2,0)</f>
        <v>4400</v>
      </c>
      <c r="H19" s="71">
        <f>E19*VLOOKUP(D19,职务序列取数!B:E,3,0)</f>
        <v>1100</v>
      </c>
      <c r="I19" s="71">
        <f>E19*VLOOKUP(D19,职务序列取数!B:E,4,0)</f>
        <v>0</v>
      </c>
      <c r="J19" s="71"/>
      <c r="K19" s="71"/>
      <c r="L19" s="71"/>
      <c r="M19" s="71"/>
      <c r="N19" s="74">
        <f t="shared" si="0"/>
        <v>0</v>
      </c>
      <c r="O19" s="75">
        <f t="shared" si="1"/>
        <v>231.578947368421</v>
      </c>
      <c r="P19" s="75">
        <f t="shared" si="2"/>
        <v>57.8947368421053</v>
      </c>
      <c r="Q19" s="78">
        <f>VLOOKUP(B19,考勤!B:AI,34,0)</f>
        <v>19</v>
      </c>
      <c r="R19" s="76">
        <f t="shared" si="3"/>
        <v>5500</v>
      </c>
      <c r="S19" s="80">
        <v>399.92</v>
      </c>
      <c r="T19" s="80">
        <v>25</v>
      </c>
      <c r="U19" s="80">
        <v>99.98</v>
      </c>
      <c r="V19" s="80">
        <v>25</v>
      </c>
      <c r="W19" s="79">
        <v>0</v>
      </c>
      <c r="X19" s="78">
        <f t="shared" si="4"/>
        <v>549.9</v>
      </c>
      <c r="Y19" s="76">
        <f t="shared" si="5"/>
        <v>4950.1</v>
      </c>
      <c r="Z19" s="71"/>
    </row>
    <row r="20" s="62" customFormat="1" ht="130" customHeight="1" spans="1:26">
      <c r="A20" s="71">
        <v>16</v>
      </c>
      <c r="B20" s="71" t="s">
        <v>85</v>
      </c>
      <c r="C20" s="71" t="s">
        <v>86</v>
      </c>
      <c r="D20" s="71" t="s">
        <v>78</v>
      </c>
      <c r="E20" s="71">
        <v>7800</v>
      </c>
      <c r="F20" s="71">
        <v>19</v>
      </c>
      <c r="G20" s="71">
        <f>E20*VLOOKUP(D20,职务序列取数!B:E,2,0)</f>
        <v>6240</v>
      </c>
      <c r="H20" s="71">
        <f>E20*VLOOKUP(D20,职务序列取数!B:E,3,0)</f>
        <v>1560</v>
      </c>
      <c r="I20" s="71">
        <f>E20*VLOOKUP(D20,职务序列取数!B:E,4,0)</f>
        <v>0</v>
      </c>
      <c r="J20" s="71"/>
      <c r="K20" s="71"/>
      <c r="L20" s="71"/>
      <c r="M20" s="71"/>
      <c r="N20" s="74">
        <f t="shared" si="0"/>
        <v>0</v>
      </c>
      <c r="O20" s="75">
        <f t="shared" si="1"/>
        <v>328.421052631579</v>
      </c>
      <c r="P20" s="75">
        <f t="shared" si="2"/>
        <v>82.1052631578947</v>
      </c>
      <c r="Q20" s="78">
        <f>VLOOKUP(B20,考勤!B:AI,34,0)</f>
        <v>19</v>
      </c>
      <c r="R20" s="76">
        <f t="shared" si="3"/>
        <v>7800</v>
      </c>
      <c r="S20" s="80">
        <v>400</v>
      </c>
      <c r="T20" s="80">
        <v>25</v>
      </c>
      <c r="U20" s="80">
        <v>100</v>
      </c>
      <c r="V20" s="80">
        <v>25</v>
      </c>
      <c r="W20" s="79">
        <v>67.5</v>
      </c>
      <c r="X20" s="78">
        <f t="shared" si="4"/>
        <v>617.5</v>
      </c>
      <c r="Y20" s="76">
        <f t="shared" si="5"/>
        <v>7182.5</v>
      </c>
      <c r="Z20" s="71"/>
    </row>
    <row r="21" s="62" customFormat="1" ht="130" customHeight="1" spans="1:26">
      <c r="A21" s="71">
        <v>17</v>
      </c>
      <c r="B21" s="71" t="s">
        <v>87</v>
      </c>
      <c r="C21" s="71" t="s">
        <v>88</v>
      </c>
      <c r="D21" s="71" t="s">
        <v>78</v>
      </c>
      <c r="E21" s="71">
        <v>7600</v>
      </c>
      <c r="F21" s="71">
        <v>19</v>
      </c>
      <c r="G21" s="71">
        <f>E21*VLOOKUP(D21,职务序列取数!B:E,2,0)</f>
        <v>6080</v>
      </c>
      <c r="H21" s="71">
        <f>E21*VLOOKUP(D21,职务序列取数!B:E,3,0)</f>
        <v>1520</v>
      </c>
      <c r="I21" s="71">
        <f>E21*VLOOKUP(D21,职务序列取数!B:E,4,0)</f>
        <v>0</v>
      </c>
      <c r="J21" s="71"/>
      <c r="K21" s="71"/>
      <c r="L21" s="71"/>
      <c r="M21" s="71"/>
      <c r="N21" s="74">
        <f t="shared" si="0"/>
        <v>0</v>
      </c>
      <c r="O21" s="75">
        <f t="shared" si="1"/>
        <v>320</v>
      </c>
      <c r="P21" s="75">
        <f t="shared" si="2"/>
        <v>80</v>
      </c>
      <c r="Q21" s="78">
        <f>VLOOKUP(B21,考勤!B:AI,34,0)</f>
        <v>19</v>
      </c>
      <c r="R21" s="76">
        <f t="shared" si="3"/>
        <v>7600</v>
      </c>
      <c r="S21" s="80">
        <v>400</v>
      </c>
      <c r="T21" s="80">
        <v>25</v>
      </c>
      <c r="U21" s="80">
        <v>100</v>
      </c>
      <c r="V21" s="80">
        <v>25</v>
      </c>
      <c r="W21" s="79">
        <v>61.5</v>
      </c>
      <c r="X21" s="78">
        <f t="shared" si="4"/>
        <v>611.5</v>
      </c>
      <c r="Y21" s="76">
        <f t="shared" si="5"/>
        <v>6988.5</v>
      </c>
      <c r="Z21" s="71"/>
    </row>
    <row r="22" s="62" customFormat="1" ht="130" customHeight="1" spans="1:26">
      <c r="A22" s="71">
        <v>18</v>
      </c>
      <c r="B22" s="71" t="s">
        <v>89</v>
      </c>
      <c r="C22" s="71" t="s">
        <v>86</v>
      </c>
      <c r="D22" s="71" t="s">
        <v>78</v>
      </c>
      <c r="E22" s="71">
        <v>7500</v>
      </c>
      <c r="F22" s="71">
        <v>19</v>
      </c>
      <c r="G22" s="71">
        <f>E22*VLOOKUP(D22,职务序列取数!B:E,2,0)</f>
        <v>6000</v>
      </c>
      <c r="H22" s="71">
        <f>E22*VLOOKUP(D22,职务序列取数!B:E,3,0)</f>
        <v>1500</v>
      </c>
      <c r="I22" s="71">
        <f>E22*VLOOKUP(D22,职务序列取数!B:E,4,0)</f>
        <v>0</v>
      </c>
      <c r="J22" s="71"/>
      <c r="K22" s="71"/>
      <c r="L22" s="75">
        <f>O22*13</f>
        <v>4105.26315789474</v>
      </c>
      <c r="M22" s="71"/>
      <c r="N22" s="74">
        <f t="shared" si="0"/>
        <v>4105.26315789474</v>
      </c>
      <c r="O22" s="75">
        <f t="shared" si="1"/>
        <v>315.789473684211</v>
      </c>
      <c r="P22" s="75">
        <f t="shared" si="2"/>
        <v>78.9473684210526</v>
      </c>
      <c r="Q22" s="78">
        <f>VLOOKUP(B22,考勤!B:AI,34,0)</f>
        <v>6</v>
      </c>
      <c r="R22" s="76">
        <f t="shared" si="3"/>
        <v>6473.68421052632</v>
      </c>
      <c r="S22" s="80">
        <v>400</v>
      </c>
      <c r="T22" s="80">
        <v>25</v>
      </c>
      <c r="U22" s="80">
        <v>100</v>
      </c>
      <c r="V22" s="80">
        <v>25</v>
      </c>
      <c r="W22" s="79">
        <v>27.71</v>
      </c>
      <c r="X22" s="78">
        <f t="shared" si="4"/>
        <v>577.71</v>
      </c>
      <c r="Y22" s="76">
        <f t="shared" si="5"/>
        <v>5895.97421052632</v>
      </c>
      <c r="Z22" s="71"/>
    </row>
    <row r="23" s="62" customFormat="1" ht="130" customHeight="1" spans="1:26">
      <c r="A23" s="71">
        <v>19</v>
      </c>
      <c r="B23" s="71" t="s">
        <v>90</v>
      </c>
      <c r="C23" s="71" t="s">
        <v>86</v>
      </c>
      <c r="D23" s="71" t="s">
        <v>78</v>
      </c>
      <c r="E23" s="71">
        <v>7500</v>
      </c>
      <c r="F23" s="71">
        <v>19</v>
      </c>
      <c r="G23" s="71">
        <f>E23*VLOOKUP(D23,职务序列取数!B:E,2,0)</f>
        <v>6000</v>
      </c>
      <c r="H23" s="71">
        <f>E23*VLOOKUP(D23,职务序列取数!B:E,3,0)</f>
        <v>1500</v>
      </c>
      <c r="I23" s="71">
        <f>E23*VLOOKUP(D23,职务序列取数!B:E,4,0)</f>
        <v>0</v>
      </c>
      <c r="J23" s="71"/>
      <c r="K23" s="71"/>
      <c r="L23" s="71"/>
      <c r="M23" s="71"/>
      <c r="N23" s="74">
        <f t="shared" si="0"/>
        <v>0</v>
      </c>
      <c r="O23" s="75">
        <f t="shared" si="1"/>
        <v>315.789473684211</v>
      </c>
      <c r="P23" s="75">
        <f t="shared" si="2"/>
        <v>78.9473684210526</v>
      </c>
      <c r="Q23" s="78">
        <f>VLOOKUP(B23,考勤!B:AI,34,0)</f>
        <v>19</v>
      </c>
      <c r="R23" s="76">
        <f t="shared" si="3"/>
        <v>7500.00000000001</v>
      </c>
      <c r="S23" s="80">
        <v>399.92</v>
      </c>
      <c r="T23" s="80">
        <v>25</v>
      </c>
      <c r="U23" s="80">
        <v>99.98</v>
      </c>
      <c r="V23" s="80">
        <v>25</v>
      </c>
      <c r="W23" s="79">
        <v>0</v>
      </c>
      <c r="X23" s="78">
        <f t="shared" si="4"/>
        <v>549.9</v>
      </c>
      <c r="Y23" s="76">
        <f t="shared" si="5"/>
        <v>6950.10000000001</v>
      </c>
      <c r="Z23" s="71"/>
    </row>
    <row r="24" s="62" customFormat="1" ht="130" customHeight="1" spans="1:26">
      <c r="A24" s="71">
        <v>20</v>
      </c>
      <c r="B24" s="71" t="s">
        <v>91</v>
      </c>
      <c r="C24" s="71" t="s">
        <v>77</v>
      </c>
      <c r="D24" s="71" t="s">
        <v>78</v>
      </c>
      <c r="E24" s="71">
        <v>7000</v>
      </c>
      <c r="F24" s="71">
        <v>19</v>
      </c>
      <c r="G24" s="71">
        <f>E24*VLOOKUP(D24,职务序列取数!B:E,2,0)</f>
        <v>5600</v>
      </c>
      <c r="H24" s="71">
        <f>E24*VLOOKUP(D24,职务序列取数!B:E,3,0)</f>
        <v>1400</v>
      </c>
      <c r="I24" s="71">
        <f>E24*VLOOKUP(D24,职务序列取数!B:E,4,0)</f>
        <v>0</v>
      </c>
      <c r="J24" s="71"/>
      <c r="K24" s="71"/>
      <c r="L24" s="75">
        <f>O24*3*60%</f>
        <v>530.526315789474</v>
      </c>
      <c r="M24" s="71">
        <v>-20</v>
      </c>
      <c r="N24" s="74">
        <f t="shared" si="0"/>
        <v>510.526315789474</v>
      </c>
      <c r="O24" s="75">
        <f t="shared" si="1"/>
        <v>294.736842105263</v>
      </c>
      <c r="P24" s="75">
        <f t="shared" si="2"/>
        <v>73.6842105263158</v>
      </c>
      <c r="Q24" s="78">
        <f>VLOOKUP(B24,考勤!B:AI,34,0)</f>
        <v>15</v>
      </c>
      <c r="R24" s="76">
        <f t="shared" si="3"/>
        <v>6036.84210526316</v>
      </c>
      <c r="S24" s="80">
        <v>399.92</v>
      </c>
      <c r="T24" s="80">
        <v>25</v>
      </c>
      <c r="U24" s="80">
        <v>99.98</v>
      </c>
      <c r="V24" s="80">
        <v>25</v>
      </c>
      <c r="W24" s="79">
        <v>0</v>
      </c>
      <c r="X24" s="78">
        <f t="shared" si="4"/>
        <v>549.9</v>
      </c>
      <c r="Y24" s="76">
        <f t="shared" si="5"/>
        <v>5486.94210526316</v>
      </c>
      <c r="Z24" s="71" t="s">
        <v>66</v>
      </c>
    </row>
    <row r="25" s="62" customFormat="1" ht="130" customHeight="1" spans="1:26">
      <c r="A25" s="71">
        <v>21</v>
      </c>
      <c r="B25" s="71" t="s">
        <v>92</v>
      </c>
      <c r="C25" s="71" t="s">
        <v>93</v>
      </c>
      <c r="D25" s="71" t="s">
        <v>78</v>
      </c>
      <c r="E25" s="71">
        <v>6000</v>
      </c>
      <c r="F25" s="71">
        <v>19</v>
      </c>
      <c r="G25" s="71">
        <f>E25*VLOOKUP(D25,职务序列取数!B:E,2,0)</f>
        <v>4800</v>
      </c>
      <c r="H25" s="71">
        <f>E25*VLOOKUP(D25,职务序列取数!B:E,3,0)</f>
        <v>1200</v>
      </c>
      <c r="I25" s="71">
        <f>E25*VLOOKUP(D25,职务序列取数!B:E,4,0)</f>
        <v>0</v>
      </c>
      <c r="J25" s="71"/>
      <c r="K25" s="71"/>
      <c r="L25" s="71"/>
      <c r="M25" s="71"/>
      <c r="N25" s="74">
        <f t="shared" si="0"/>
        <v>0</v>
      </c>
      <c r="O25" s="75">
        <f t="shared" si="1"/>
        <v>252.631578947368</v>
      </c>
      <c r="P25" s="75">
        <f t="shared" si="2"/>
        <v>63.1578947368421</v>
      </c>
      <c r="Q25" s="78">
        <f>VLOOKUP(B25,考勤!B:AI,34,0)</f>
        <v>19</v>
      </c>
      <c r="R25" s="76">
        <f t="shared" si="3"/>
        <v>5999.99999999999</v>
      </c>
      <c r="S25" s="80">
        <v>399.92</v>
      </c>
      <c r="T25" s="80">
        <v>25</v>
      </c>
      <c r="U25" s="80">
        <v>99.98</v>
      </c>
      <c r="V25" s="80">
        <v>25</v>
      </c>
      <c r="W25" s="79">
        <v>13.82</v>
      </c>
      <c r="X25" s="78">
        <f t="shared" si="4"/>
        <v>563.72</v>
      </c>
      <c r="Y25" s="76">
        <f t="shared" si="5"/>
        <v>5436.27999999999</v>
      </c>
      <c r="Z25" s="71"/>
    </row>
    <row r="26" s="62" customFormat="1" ht="130" customHeight="1" spans="1:26">
      <c r="A26" s="71">
        <v>22</v>
      </c>
      <c r="B26" s="71" t="s">
        <v>94</v>
      </c>
      <c r="C26" s="71" t="s">
        <v>95</v>
      </c>
      <c r="D26" s="71" t="s">
        <v>78</v>
      </c>
      <c r="E26" s="71">
        <v>6500</v>
      </c>
      <c r="F26" s="71">
        <v>19</v>
      </c>
      <c r="G26" s="71">
        <f>E26*VLOOKUP(D26,职务序列取数!B:E,2,0)</f>
        <v>5200</v>
      </c>
      <c r="H26" s="71">
        <f>E26*VLOOKUP(D26,职务序列取数!B:E,3,0)</f>
        <v>1300</v>
      </c>
      <c r="I26" s="71">
        <f>E26*VLOOKUP(D26,职务序列取数!B:E,4,0)</f>
        <v>0</v>
      </c>
      <c r="J26" s="71"/>
      <c r="K26" s="71"/>
      <c r="L26" s="71"/>
      <c r="M26" s="71"/>
      <c r="N26" s="74">
        <f t="shared" si="0"/>
        <v>0</v>
      </c>
      <c r="O26" s="75">
        <f t="shared" si="1"/>
        <v>273.684210526316</v>
      </c>
      <c r="P26" s="75">
        <f t="shared" si="2"/>
        <v>68.4210526315789</v>
      </c>
      <c r="Q26" s="78">
        <f>VLOOKUP(B26,考勤!B:AI,34,0)</f>
        <v>19</v>
      </c>
      <c r="R26" s="76">
        <f t="shared" si="3"/>
        <v>6500</v>
      </c>
      <c r="S26" s="80">
        <v>399.92</v>
      </c>
      <c r="T26" s="80">
        <v>25</v>
      </c>
      <c r="U26" s="80">
        <v>99.98</v>
      </c>
      <c r="V26" s="80">
        <v>25</v>
      </c>
      <c r="W26" s="79">
        <v>0</v>
      </c>
      <c r="X26" s="78">
        <f t="shared" si="4"/>
        <v>549.9</v>
      </c>
      <c r="Y26" s="76">
        <f t="shared" si="5"/>
        <v>5950.1</v>
      </c>
      <c r="Z26" s="71"/>
    </row>
    <row r="27" s="62" customFormat="1" ht="130" customHeight="1" spans="1:26">
      <c r="A27" s="71">
        <v>23</v>
      </c>
      <c r="B27" s="71" t="s">
        <v>96</v>
      </c>
      <c r="C27" s="71" t="s">
        <v>97</v>
      </c>
      <c r="D27" s="71" t="s">
        <v>78</v>
      </c>
      <c r="E27" s="71">
        <v>6500</v>
      </c>
      <c r="F27" s="71">
        <v>19</v>
      </c>
      <c r="G27" s="71">
        <f>E27*VLOOKUP(D27,职务序列取数!B:E,2,0)</f>
        <v>5200</v>
      </c>
      <c r="H27" s="71">
        <f>E27*VLOOKUP(D27,职务序列取数!B:E,3,0)</f>
        <v>1300</v>
      </c>
      <c r="I27" s="71">
        <f>E27*VLOOKUP(D27,职务序列取数!B:E,4,0)</f>
        <v>0</v>
      </c>
      <c r="J27" s="71"/>
      <c r="K27" s="71"/>
      <c r="L27" s="71"/>
      <c r="M27" s="71"/>
      <c r="N27" s="74">
        <f t="shared" si="0"/>
        <v>0</v>
      </c>
      <c r="O27" s="75">
        <f t="shared" si="1"/>
        <v>273.684210526316</v>
      </c>
      <c r="P27" s="75">
        <f t="shared" si="2"/>
        <v>68.4210526315789</v>
      </c>
      <c r="Q27" s="78">
        <f>VLOOKUP(B27,考勤!B:AI,34,0)</f>
        <v>19</v>
      </c>
      <c r="R27" s="76">
        <f t="shared" si="3"/>
        <v>6500</v>
      </c>
      <c r="S27" s="80">
        <v>399.92</v>
      </c>
      <c r="T27" s="80">
        <v>25</v>
      </c>
      <c r="U27" s="80">
        <v>99.98</v>
      </c>
      <c r="V27" s="80">
        <v>25</v>
      </c>
      <c r="W27" s="79">
        <v>28.82</v>
      </c>
      <c r="X27" s="78">
        <f t="shared" si="4"/>
        <v>578.72</v>
      </c>
      <c r="Y27" s="76">
        <f t="shared" si="5"/>
        <v>5921.28</v>
      </c>
      <c r="Z27" s="71"/>
    </row>
    <row r="28" s="63" customFormat="1" ht="130" customHeight="1" spans="1:26">
      <c r="A28" s="69"/>
      <c r="B28" s="72" t="s">
        <v>98</v>
      </c>
      <c r="C28" s="73"/>
      <c r="D28" s="69"/>
      <c r="E28" s="69">
        <f t="shared" ref="E28:I28" si="6">SUM(E5:E27)</f>
        <v>327740</v>
      </c>
      <c r="F28" s="69">
        <v>19</v>
      </c>
      <c r="G28" s="69">
        <f t="shared" si="6"/>
        <v>177357</v>
      </c>
      <c r="H28" s="69">
        <f t="shared" si="6"/>
        <v>102533</v>
      </c>
      <c r="I28" s="69">
        <f t="shared" si="6"/>
        <v>47850</v>
      </c>
      <c r="J28" s="69">
        <f t="shared" ref="J28:Z28" si="7">SUM(J5:J27)</f>
        <v>0</v>
      </c>
      <c r="K28" s="69">
        <f t="shared" si="7"/>
        <v>-1553</v>
      </c>
      <c r="L28" s="76">
        <f t="shared" si="7"/>
        <v>5204.96842105264</v>
      </c>
      <c r="M28" s="76">
        <f t="shared" si="7"/>
        <v>-5217.77</v>
      </c>
      <c r="N28" s="76">
        <f t="shared" si="7"/>
        <v>-1565.80157894736</v>
      </c>
      <c r="O28" s="69"/>
      <c r="P28" s="69"/>
      <c r="Q28" s="69"/>
      <c r="R28" s="76">
        <f t="shared" si="7"/>
        <v>269230.514210526</v>
      </c>
      <c r="S28" s="69">
        <f t="shared" si="7"/>
        <v>9159.12</v>
      </c>
      <c r="T28" s="69">
        <f t="shared" si="7"/>
        <v>572.48</v>
      </c>
      <c r="U28" s="69">
        <f t="shared" si="7"/>
        <v>2320.4</v>
      </c>
      <c r="V28" s="69">
        <f t="shared" si="7"/>
        <v>568.31</v>
      </c>
      <c r="W28" s="76">
        <f t="shared" si="7"/>
        <v>6113.67</v>
      </c>
      <c r="X28" s="69">
        <f t="shared" si="7"/>
        <v>18733.98</v>
      </c>
      <c r="Y28" s="76">
        <f t="shared" si="7"/>
        <v>250496.534210526</v>
      </c>
      <c r="Z28" s="69"/>
    </row>
    <row r="29" s="64" customFormat="1" ht="300" customHeight="1" spans="1:23">
      <c r="A29" s="64" t="s">
        <v>99</v>
      </c>
      <c r="B29" s="64" t="s">
        <v>100</v>
      </c>
      <c r="R29" s="81"/>
      <c r="W29" s="81"/>
    </row>
    <row r="30" s="65" customFormat="1" ht="150" customHeight="1" spans="2:25">
      <c r="B30" s="65" t="s">
        <v>101</v>
      </c>
      <c r="N30" s="65" t="s">
        <v>102</v>
      </c>
      <c r="R30" s="82"/>
      <c r="V30" s="65" t="s">
        <v>103</v>
      </c>
      <c r="W30" s="83"/>
      <c r="Y30" s="84"/>
    </row>
  </sheetData>
  <mergeCells count="9">
    <mergeCell ref="A1:Z1"/>
    <mergeCell ref="B3:I3"/>
    <mergeCell ref="J3:N3"/>
    <mergeCell ref="O3:R3"/>
    <mergeCell ref="S3:X3"/>
    <mergeCell ref="B28:C28"/>
    <mergeCell ref="A3:A4"/>
    <mergeCell ref="Y3:Y4"/>
    <mergeCell ref="Z3:Z4"/>
  </mergeCells>
  <pageMargins left="0.7" right="0.7" top="0.75" bottom="0.75" header="0.3" footer="0.3"/>
  <pageSetup paperSize="9" scale="12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31"/>
  <sheetViews>
    <sheetView showZeros="0" view="pageBreakPreview" zoomScale="85" zoomScaleNormal="115" workbookViewId="0">
      <pane xSplit="3" ySplit="5" topLeftCell="D15" activePane="bottomRight" state="frozen"/>
      <selection/>
      <selection pane="topRight"/>
      <selection pane="bottomLeft"/>
      <selection pane="bottomRight" activeCell="W38" sqref="W38"/>
    </sheetView>
  </sheetViews>
  <sheetFormatPr defaultColWidth="2.88073394495413" defaultRowHeight="15" customHeight="1"/>
  <cols>
    <col min="1" max="1" width="4.8348623853211" style="10" customWidth="1"/>
    <col min="2" max="2" width="7" style="10" customWidth="1"/>
    <col min="3" max="3" width="15.6697247706422" style="10" customWidth="1"/>
    <col min="4" max="5" width="4.11009174311927" style="12" customWidth="1"/>
    <col min="6" max="10" width="4.11009174311927" style="10" customWidth="1"/>
    <col min="11" max="14" width="4.11009174311927" style="12" customWidth="1"/>
    <col min="15" max="17" width="4.11009174311927" style="10" customWidth="1"/>
    <col min="18" max="19" width="4.11009174311927" style="12" customWidth="1"/>
    <col min="20" max="24" width="4.11009174311927" style="10" customWidth="1"/>
    <col min="25" max="26" width="4.11009174311927" style="12" customWidth="1"/>
    <col min="27" max="31" width="4.11009174311927" style="10" customWidth="1"/>
    <col min="32" max="33" width="4.11009174311927" style="12" customWidth="1"/>
    <col min="34" max="34" width="4.11009174311927" style="10" customWidth="1"/>
    <col min="35" max="35" width="4.24770642201835" style="10" customWidth="1"/>
    <col min="36" max="36" width="2.88073394495413" style="10" customWidth="1"/>
    <col min="37" max="37" width="5" style="10"/>
    <col min="38" max="39" width="3.22018348623853" style="10"/>
    <col min="40" max="40" width="3" style="10" customWidth="1"/>
    <col min="41" max="41" width="5" style="10" customWidth="1"/>
    <col min="42" max="44" width="3" style="10" customWidth="1"/>
    <col min="45" max="47" width="3.12844036697248" style="10" customWidth="1"/>
    <col min="48" max="48" width="3.22018348623853" style="10" customWidth="1"/>
    <col min="49" max="51" width="3.12844036697248" style="10" customWidth="1"/>
    <col min="52" max="52" width="8.63302752293578" style="10" customWidth="1"/>
    <col min="53" max="255" width="2.88073394495413" style="10"/>
    <col min="256" max="16384" width="2.88073394495413" style="13"/>
  </cols>
  <sheetData>
    <row r="1" ht="34.5" customHeight="1" spans="1:52">
      <c r="A1" s="14" t="str">
        <f>[1]封面!A10</f>
        <v>2025年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f>[1]工资表!M1</f>
        <v>2</v>
      </c>
      <c r="W1" s="15"/>
      <c r="X1" s="39" t="s">
        <v>104</v>
      </c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</row>
    <row r="2" customHeight="1" spans="1:51">
      <c r="A2" s="16"/>
      <c r="B2" s="17" t="s">
        <v>105</v>
      </c>
      <c r="C2" s="16" t="str">
        <f>[1]工资表!C2</f>
        <v>集团公司机关</v>
      </c>
      <c r="D2" s="16"/>
      <c r="E2" s="16"/>
      <c r="F2" s="16"/>
      <c r="G2" s="16"/>
      <c r="H2" s="16"/>
      <c r="I2" s="16"/>
      <c r="J2" s="37"/>
      <c r="K2" s="38"/>
      <c r="L2" s="38"/>
      <c r="M2" s="38"/>
      <c r="N2" s="38"/>
      <c r="O2" s="37"/>
      <c r="P2" s="37"/>
      <c r="Q2" s="37"/>
      <c r="R2" s="38"/>
      <c r="S2" s="38"/>
      <c r="T2" s="37"/>
      <c r="U2" s="37"/>
      <c r="V2" s="37"/>
      <c r="W2" s="37"/>
      <c r="X2" s="37"/>
      <c r="Y2" s="38"/>
      <c r="Z2" s="38"/>
      <c r="AA2" s="37"/>
      <c r="AB2" s="37"/>
      <c r="AC2" s="37"/>
      <c r="AD2" s="37"/>
      <c r="AE2" s="37"/>
      <c r="AF2" s="38"/>
      <c r="AG2" s="38"/>
      <c r="AH2" s="37"/>
      <c r="AI2" s="37"/>
      <c r="AJ2" s="42"/>
      <c r="AK2" s="43" t="str">
        <f>[1]工资表!AB2</f>
        <v>2025年2月4日</v>
      </c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</row>
    <row r="3" s="9" customFormat="1" ht="30" customHeight="1" spans="1:255">
      <c r="A3" s="18" t="s">
        <v>29</v>
      </c>
      <c r="B3" s="18" t="s">
        <v>30</v>
      </c>
      <c r="C3" s="18" t="s">
        <v>106</v>
      </c>
      <c r="D3" s="19" t="s">
        <v>107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44"/>
      <c r="AI3" s="18" t="s">
        <v>20</v>
      </c>
      <c r="AJ3" s="18" t="s">
        <v>108</v>
      </c>
      <c r="AK3" s="45" t="s">
        <v>109</v>
      </c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18" t="s">
        <v>110</v>
      </c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</row>
    <row r="4" s="9" customFormat="1" ht="20.1" customHeight="1" spans="1:255">
      <c r="A4" s="21"/>
      <c r="B4" s="21"/>
      <c r="C4" s="21"/>
      <c r="D4" s="22">
        <f>V1</f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40" t="s">
        <v>111</v>
      </c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7"/>
      <c r="AI4" s="21"/>
      <c r="AJ4" s="21"/>
      <c r="AK4" s="48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21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</row>
    <row r="5" s="9" customFormat="1" ht="78" customHeight="1" spans="1:255">
      <c r="A5" s="24"/>
      <c r="B5" s="24"/>
      <c r="C5" s="24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5">
        <v>11</v>
      </c>
      <c r="O5" s="25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25">
        <v>22</v>
      </c>
      <c r="Z5" s="25">
        <v>23</v>
      </c>
      <c r="AA5" s="25">
        <v>24</v>
      </c>
      <c r="AB5" s="25">
        <v>25</v>
      </c>
      <c r="AC5" s="25">
        <v>26</v>
      </c>
      <c r="AD5" s="25">
        <v>27</v>
      </c>
      <c r="AE5" s="25">
        <v>28</v>
      </c>
      <c r="AF5" s="25">
        <v>29</v>
      </c>
      <c r="AG5" s="25">
        <v>30</v>
      </c>
      <c r="AH5" s="25">
        <v>31</v>
      </c>
      <c r="AI5" s="24"/>
      <c r="AJ5" s="24"/>
      <c r="AK5" s="87" t="s">
        <v>112</v>
      </c>
      <c r="AL5" s="50" t="s">
        <v>113</v>
      </c>
      <c r="AM5" s="50" t="s">
        <v>114</v>
      </c>
      <c r="AN5" s="50" t="s">
        <v>115</v>
      </c>
      <c r="AO5" s="50" t="s">
        <v>116</v>
      </c>
      <c r="AP5" s="50" t="s">
        <v>117</v>
      </c>
      <c r="AQ5" s="50" t="s">
        <v>118</v>
      </c>
      <c r="AR5" s="50" t="s">
        <v>119</v>
      </c>
      <c r="AS5" s="55" t="s">
        <v>120</v>
      </c>
      <c r="AT5" s="55" t="s">
        <v>121</v>
      </c>
      <c r="AU5" s="55" t="s">
        <v>122</v>
      </c>
      <c r="AV5" s="55" t="s">
        <v>123</v>
      </c>
      <c r="AW5" s="55" t="s">
        <v>124</v>
      </c>
      <c r="AX5" s="55" t="s">
        <v>125</v>
      </c>
      <c r="AY5" s="55" t="s">
        <v>126</v>
      </c>
      <c r="AZ5" s="24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</row>
    <row r="6" s="10" customFormat="1" ht="32" customHeight="1" spans="1:52">
      <c r="A6" s="26">
        <v>1</v>
      </c>
      <c r="B6" s="27" t="s">
        <v>45</v>
      </c>
      <c r="C6" s="28" t="s">
        <v>46</v>
      </c>
      <c r="D6" s="29" t="s">
        <v>114</v>
      </c>
      <c r="E6" s="29" t="s">
        <v>114</v>
      </c>
      <c r="F6" s="29" t="s">
        <v>114</v>
      </c>
      <c r="G6" s="29" t="s">
        <v>114</v>
      </c>
      <c r="H6" s="30" t="s">
        <v>127</v>
      </c>
      <c r="I6" s="30" t="s">
        <v>127</v>
      </c>
      <c r="J6" s="30" t="s">
        <v>127</v>
      </c>
      <c r="K6" s="30" t="s">
        <v>127</v>
      </c>
      <c r="L6" s="29" t="s">
        <v>114</v>
      </c>
      <c r="M6" s="30" t="s">
        <v>127</v>
      </c>
      <c r="N6" s="30" t="s">
        <v>127</v>
      </c>
      <c r="O6" s="30" t="s">
        <v>127</v>
      </c>
      <c r="P6" s="30" t="s">
        <v>127</v>
      </c>
      <c r="Q6" s="30" t="s">
        <v>127</v>
      </c>
      <c r="R6" s="29" t="s">
        <v>114</v>
      </c>
      <c r="S6" s="29" t="s">
        <v>114</v>
      </c>
      <c r="T6" s="30" t="s">
        <v>127</v>
      </c>
      <c r="U6" s="30" t="s">
        <v>127</v>
      </c>
      <c r="V6" s="30" t="s">
        <v>127</v>
      </c>
      <c r="W6" s="30" t="s">
        <v>127</v>
      </c>
      <c r="X6" s="30" t="s">
        <v>127</v>
      </c>
      <c r="Y6" s="29" t="s">
        <v>114</v>
      </c>
      <c r="Z6" s="29" t="s">
        <v>114</v>
      </c>
      <c r="AA6" s="30" t="s">
        <v>127</v>
      </c>
      <c r="AB6" s="30" t="s">
        <v>127</v>
      </c>
      <c r="AC6" s="30" t="s">
        <v>127</v>
      </c>
      <c r="AD6" s="30" t="s">
        <v>127</v>
      </c>
      <c r="AE6" s="30" t="s">
        <v>127</v>
      </c>
      <c r="AF6" s="30"/>
      <c r="AG6" s="30"/>
      <c r="AH6" s="30"/>
      <c r="AI6" s="51">
        <f t="shared" ref="AI6:AI28" si="0">AK6+AL6+AR6</f>
        <v>19</v>
      </c>
      <c r="AJ6" s="51">
        <f t="shared" ref="AJ6:AJ28" si="1">AM6</f>
        <v>9</v>
      </c>
      <c r="AK6" s="52">
        <f t="shared" ref="AK6:AK28" si="2">COUNTIF($D6:$AH6,"√")</f>
        <v>19</v>
      </c>
      <c r="AL6" s="52">
        <f t="shared" ref="AL6:AL28" si="3">COUNTIF($D6:$AH6,"出差")</f>
        <v>0</v>
      </c>
      <c r="AM6" s="52">
        <f t="shared" ref="AM6:AM28" si="4">COUNTIF($D6:$AH6,"公休")</f>
        <v>9</v>
      </c>
      <c r="AN6" s="52">
        <f t="shared" ref="AN6:AN28" si="5">COUNTIF($D6:$AH6,"病假")</f>
        <v>0</v>
      </c>
      <c r="AO6" s="52">
        <f t="shared" ref="AO6:AO28" si="6">COUNTIF($D6:$AH6,"事假")</f>
        <v>0</v>
      </c>
      <c r="AP6" s="52">
        <f t="shared" ref="AP6:AP28" si="7">COUNTIF($D6:$AH6,"旷工")</f>
        <v>0</v>
      </c>
      <c r="AQ6" s="52">
        <f t="shared" ref="AQ6:AQ28" si="8">COUNTIF($D6:$AH6,"工伤")</f>
        <v>0</v>
      </c>
      <c r="AR6" s="52">
        <f t="shared" ref="AR6:AR28" si="9">COUNTIF($D6:$AH6,"培训")</f>
        <v>0</v>
      </c>
      <c r="AS6" s="52">
        <f t="shared" ref="AS6:AS28" si="10">COUNTIF($D6:$AH6,"冬休")</f>
        <v>0</v>
      </c>
      <c r="AT6" s="52">
        <f t="shared" ref="AT6:AT28" si="11">COUNTIF($D6:$AH6,"休假")</f>
        <v>0</v>
      </c>
      <c r="AU6" s="52">
        <f t="shared" ref="AU6:AU28" si="12">COUNTIF($D6:$AH6,"探亲")</f>
        <v>0</v>
      </c>
      <c r="AV6" s="52">
        <f t="shared" ref="AV6:AV28" si="13">COUNTIF($D6:$AH6,"产假")</f>
        <v>0</v>
      </c>
      <c r="AW6" s="52">
        <f t="shared" ref="AW6:AW28" si="14">COUNTIF($D6:$AH6,"陪护假")</f>
        <v>0</v>
      </c>
      <c r="AX6" s="52">
        <f t="shared" ref="AX6:AX28" si="15">COUNTIF($D6:$AH6,"婚丧假")</f>
        <v>0</v>
      </c>
      <c r="AY6" s="52">
        <f t="shared" ref="AY6:AY28" si="16">COUNTIF($D6:$AH6,"待岗")</f>
        <v>0</v>
      </c>
      <c r="AZ6" s="58"/>
    </row>
    <row r="7" s="10" customFormat="1" ht="32" customHeight="1" spans="1:52">
      <c r="A7" s="26">
        <v>2</v>
      </c>
      <c r="B7" s="27" t="s">
        <v>48</v>
      </c>
      <c r="C7" s="28" t="s">
        <v>49</v>
      </c>
      <c r="D7" s="29" t="s">
        <v>114</v>
      </c>
      <c r="E7" s="29" t="s">
        <v>114</v>
      </c>
      <c r="F7" s="29" t="s">
        <v>114</v>
      </c>
      <c r="G7" s="29" t="s">
        <v>114</v>
      </c>
      <c r="H7" s="30" t="s">
        <v>127</v>
      </c>
      <c r="I7" s="30" t="s">
        <v>127</v>
      </c>
      <c r="J7" s="30" t="s">
        <v>127</v>
      </c>
      <c r="K7" s="30" t="s">
        <v>127</v>
      </c>
      <c r="L7" s="29" t="s">
        <v>114</v>
      </c>
      <c r="M7" s="30" t="s">
        <v>127</v>
      </c>
      <c r="N7" s="30" t="s">
        <v>127</v>
      </c>
      <c r="O7" s="30" t="s">
        <v>127</v>
      </c>
      <c r="P7" s="30" t="s">
        <v>127</v>
      </c>
      <c r="Q7" s="30" t="s">
        <v>127</v>
      </c>
      <c r="R7" s="29" t="s">
        <v>114</v>
      </c>
      <c r="S7" s="29" t="s">
        <v>114</v>
      </c>
      <c r="T7" s="30" t="s">
        <v>127</v>
      </c>
      <c r="U7" s="30" t="s">
        <v>127</v>
      </c>
      <c r="V7" s="30" t="s">
        <v>127</v>
      </c>
      <c r="W7" s="30" t="s">
        <v>127</v>
      </c>
      <c r="X7" s="30" t="s">
        <v>127</v>
      </c>
      <c r="Y7" s="29" t="s">
        <v>114</v>
      </c>
      <c r="Z7" s="29" t="s">
        <v>114</v>
      </c>
      <c r="AA7" s="30" t="s">
        <v>127</v>
      </c>
      <c r="AB7" s="30" t="s">
        <v>127</v>
      </c>
      <c r="AC7" s="30" t="s">
        <v>127</v>
      </c>
      <c r="AD7" s="30" t="s">
        <v>127</v>
      </c>
      <c r="AE7" s="30" t="s">
        <v>127</v>
      </c>
      <c r="AF7" s="30"/>
      <c r="AG7" s="30"/>
      <c r="AH7" s="30"/>
      <c r="AI7" s="51">
        <f t="shared" si="0"/>
        <v>19</v>
      </c>
      <c r="AJ7" s="51">
        <f t="shared" si="1"/>
        <v>9</v>
      </c>
      <c r="AK7" s="52">
        <f t="shared" si="2"/>
        <v>19</v>
      </c>
      <c r="AL7" s="52">
        <f t="shared" si="3"/>
        <v>0</v>
      </c>
      <c r="AM7" s="52">
        <f t="shared" si="4"/>
        <v>9</v>
      </c>
      <c r="AN7" s="52">
        <f t="shared" si="5"/>
        <v>0</v>
      </c>
      <c r="AO7" s="52">
        <f t="shared" si="6"/>
        <v>0</v>
      </c>
      <c r="AP7" s="52">
        <f t="shared" si="7"/>
        <v>0</v>
      </c>
      <c r="AQ7" s="52">
        <f t="shared" si="8"/>
        <v>0</v>
      </c>
      <c r="AR7" s="52">
        <f t="shared" si="9"/>
        <v>0</v>
      </c>
      <c r="AS7" s="52">
        <f t="shared" si="10"/>
        <v>0</v>
      </c>
      <c r="AT7" s="52">
        <f t="shared" si="11"/>
        <v>0</v>
      </c>
      <c r="AU7" s="52">
        <f t="shared" si="12"/>
        <v>0</v>
      </c>
      <c r="AV7" s="52">
        <f t="shared" si="13"/>
        <v>0</v>
      </c>
      <c r="AW7" s="52">
        <f t="shared" si="14"/>
        <v>0</v>
      </c>
      <c r="AX7" s="52">
        <f t="shared" si="15"/>
        <v>0</v>
      </c>
      <c r="AY7" s="52">
        <f t="shared" si="16"/>
        <v>0</v>
      </c>
      <c r="AZ7" s="58"/>
    </row>
    <row r="8" s="10" customFormat="1" ht="32" customHeight="1" spans="1:52">
      <c r="A8" s="26">
        <v>3</v>
      </c>
      <c r="B8" s="31" t="s">
        <v>50</v>
      </c>
      <c r="C8" s="28" t="s">
        <v>51</v>
      </c>
      <c r="D8" s="29" t="s">
        <v>114</v>
      </c>
      <c r="E8" s="29" t="s">
        <v>114</v>
      </c>
      <c r="F8" s="29" t="s">
        <v>114</v>
      </c>
      <c r="G8" s="29" t="s">
        <v>114</v>
      </c>
      <c r="H8" s="30" t="s">
        <v>127</v>
      </c>
      <c r="I8" s="30" t="s">
        <v>127</v>
      </c>
      <c r="J8" s="30" t="s">
        <v>127</v>
      </c>
      <c r="K8" s="30" t="s">
        <v>127</v>
      </c>
      <c r="L8" s="29" t="s">
        <v>114</v>
      </c>
      <c r="M8" s="30" t="s">
        <v>127</v>
      </c>
      <c r="N8" s="30" t="s">
        <v>127</v>
      </c>
      <c r="O8" s="30" t="s">
        <v>127</v>
      </c>
      <c r="P8" s="30" t="s">
        <v>127</v>
      </c>
      <c r="Q8" s="30" t="s">
        <v>127</v>
      </c>
      <c r="R8" s="29" t="s">
        <v>114</v>
      </c>
      <c r="S8" s="29" t="s">
        <v>114</v>
      </c>
      <c r="T8" s="30" t="s">
        <v>127</v>
      </c>
      <c r="U8" s="30" t="s">
        <v>127</v>
      </c>
      <c r="V8" s="30" t="s">
        <v>127</v>
      </c>
      <c r="W8" s="30" t="s">
        <v>127</v>
      </c>
      <c r="X8" s="30" t="s">
        <v>127</v>
      </c>
      <c r="Y8" s="29" t="s">
        <v>114</v>
      </c>
      <c r="Z8" s="29" t="s">
        <v>114</v>
      </c>
      <c r="AA8" s="30" t="s">
        <v>127</v>
      </c>
      <c r="AB8" s="30" t="s">
        <v>127</v>
      </c>
      <c r="AC8" s="30" t="s">
        <v>127</v>
      </c>
      <c r="AD8" s="30" t="s">
        <v>127</v>
      </c>
      <c r="AE8" s="30" t="s">
        <v>127</v>
      </c>
      <c r="AF8" s="30"/>
      <c r="AG8" s="30"/>
      <c r="AH8" s="30"/>
      <c r="AI8" s="51">
        <f t="shared" si="0"/>
        <v>19</v>
      </c>
      <c r="AJ8" s="51">
        <f t="shared" si="1"/>
        <v>9</v>
      </c>
      <c r="AK8" s="52">
        <f t="shared" si="2"/>
        <v>19</v>
      </c>
      <c r="AL8" s="52">
        <f t="shared" si="3"/>
        <v>0</v>
      </c>
      <c r="AM8" s="52">
        <f t="shared" si="4"/>
        <v>9</v>
      </c>
      <c r="AN8" s="52">
        <f t="shared" si="5"/>
        <v>0</v>
      </c>
      <c r="AO8" s="52">
        <f t="shared" si="6"/>
        <v>0</v>
      </c>
      <c r="AP8" s="52">
        <f t="shared" si="7"/>
        <v>0</v>
      </c>
      <c r="AQ8" s="52">
        <f t="shared" si="8"/>
        <v>0</v>
      </c>
      <c r="AR8" s="52">
        <f t="shared" si="9"/>
        <v>0</v>
      </c>
      <c r="AS8" s="52">
        <f t="shared" si="10"/>
        <v>0</v>
      </c>
      <c r="AT8" s="52">
        <f t="shared" si="11"/>
        <v>0</v>
      </c>
      <c r="AU8" s="52">
        <f t="shared" si="12"/>
        <v>0</v>
      </c>
      <c r="AV8" s="52">
        <f t="shared" si="13"/>
        <v>0</v>
      </c>
      <c r="AW8" s="52">
        <f t="shared" si="14"/>
        <v>0</v>
      </c>
      <c r="AX8" s="52">
        <f t="shared" si="15"/>
        <v>0</v>
      </c>
      <c r="AY8" s="52">
        <f t="shared" si="16"/>
        <v>0</v>
      </c>
      <c r="AZ8" s="58"/>
    </row>
    <row r="9" s="10" customFormat="1" ht="32" customHeight="1" spans="1:52">
      <c r="A9" s="26">
        <v>4</v>
      </c>
      <c r="B9" s="31" t="s">
        <v>53</v>
      </c>
      <c r="C9" s="28" t="s">
        <v>54</v>
      </c>
      <c r="D9" s="29"/>
      <c r="E9" s="29"/>
      <c r="F9" s="29"/>
      <c r="G9" s="29"/>
      <c r="H9" s="30" t="s">
        <v>127</v>
      </c>
      <c r="I9" s="30" t="s">
        <v>127</v>
      </c>
      <c r="J9" s="30" t="s">
        <v>127</v>
      </c>
      <c r="K9" s="30" t="s">
        <v>127</v>
      </c>
      <c r="L9" s="29" t="s">
        <v>114</v>
      </c>
      <c r="M9" s="30" t="s">
        <v>127</v>
      </c>
      <c r="N9" s="30" t="s">
        <v>127</v>
      </c>
      <c r="O9" s="30" t="s">
        <v>127</v>
      </c>
      <c r="P9" s="30" t="s">
        <v>127</v>
      </c>
      <c r="Q9" s="30" t="s">
        <v>127</v>
      </c>
      <c r="R9" s="29" t="s">
        <v>114</v>
      </c>
      <c r="S9" s="29" t="s">
        <v>114</v>
      </c>
      <c r="T9" s="30" t="s">
        <v>127</v>
      </c>
      <c r="U9" s="30" t="s">
        <v>127</v>
      </c>
      <c r="V9" s="30" t="s">
        <v>127</v>
      </c>
      <c r="W9" s="30" t="s">
        <v>127</v>
      </c>
      <c r="X9" s="30" t="s">
        <v>127</v>
      </c>
      <c r="Y9" s="29" t="s">
        <v>114</v>
      </c>
      <c r="Z9" s="29" t="s">
        <v>114</v>
      </c>
      <c r="AA9" s="30" t="s">
        <v>127</v>
      </c>
      <c r="AB9" s="30" t="s">
        <v>127</v>
      </c>
      <c r="AC9" s="30" t="s">
        <v>127</v>
      </c>
      <c r="AD9" s="30" t="s">
        <v>127</v>
      </c>
      <c r="AE9" s="30" t="s">
        <v>127</v>
      </c>
      <c r="AF9" s="30"/>
      <c r="AG9" s="30"/>
      <c r="AH9" s="30"/>
      <c r="AI9" s="51">
        <f t="shared" si="0"/>
        <v>19</v>
      </c>
      <c r="AJ9" s="51">
        <f t="shared" si="1"/>
        <v>5</v>
      </c>
      <c r="AK9" s="52">
        <f t="shared" si="2"/>
        <v>19</v>
      </c>
      <c r="AL9" s="52">
        <f t="shared" si="3"/>
        <v>0</v>
      </c>
      <c r="AM9" s="52">
        <f t="shared" si="4"/>
        <v>5</v>
      </c>
      <c r="AN9" s="52">
        <f t="shared" si="5"/>
        <v>0</v>
      </c>
      <c r="AO9" s="52">
        <f t="shared" si="6"/>
        <v>0</v>
      </c>
      <c r="AP9" s="52">
        <f t="shared" si="7"/>
        <v>0</v>
      </c>
      <c r="AQ9" s="52">
        <f t="shared" si="8"/>
        <v>0</v>
      </c>
      <c r="AR9" s="52">
        <f t="shared" si="9"/>
        <v>0</v>
      </c>
      <c r="AS9" s="52">
        <f t="shared" si="10"/>
        <v>0</v>
      </c>
      <c r="AT9" s="52">
        <f t="shared" si="11"/>
        <v>0</v>
      </c>
      <c r="AU9" s="52">
        <f t="shared" si="12"/>
        <v>0</v>
      </c>
      <c r="AV9" s="52">
        <f t="shared" si="13"/>
        <v>0</v>
      </c>
      <c r="AW9" s="52">
        <f t="shared" si="14"/>
        <v>0</v>
      </c>
      <c r="AX9" s="52">
        <f t="shared" si="15"/>
        <v>0</v>
      </c>
      <c r="AY9" s="52">
        <f t="shared" si="16"/>
        <v>0</v>
      </c>
      <c r="AZ9" s="58"/>
    </row>
    <row r="10" s="10" customFormat="1" ht="32" customHeight="1" spans="1:52">
      <c r="A10" s="26">
        <v>5</v>
      </c>
      <c r="B10" s="31" t="s">
        <v>56</v>
      </c>
      <c r="C10" s="28" t="s">
        <v>57</v>
      </c>
      <c r="D10" s="29" t="s">
        <v>114</v>
      </c>
      <c r="E10" s="29" t="s">
        <v>114</v>
      </c>
      <c r="F10" s="29" t="s">
        <v>114</v>
      </c>
      <c r="G10" s="29" t="s">
        <v>114</v>
      </c>
      <c r="H10" s="30" t="s">
        <v>127</v>
      </c>
      <c r="I10" s="30" t="s">
        <v>127</v>
      </c>
      <c r="J10" s="30" t="s">
        <v>127</v>
      </c>
      <c r="K10" s="30" t="s">
        <v>127</v>
      </c>
      <c r="L10" s="29" t="s">
        <v>114</v>
      </c>
      <c r="M10" s="30" t="s">
        <v>127</v>
      </c>
      <c r="N10" s="30" t="s">
        <v>127</v>
      </c>
      <c r="O10" s="30" t="s">
        <v>127</v>
      </c>
      <c r="P10" s="30" t="s">
        <v>127</v>
      </c>
      <c r="Q10" s="30" t="s">
        <v>127</v>
      </c>
      <c r="R10" s="29" t="s">
        <v>114</v>
      </c>
      <c r="S10" s="29" t="s">
        <v>114</v>
      </c>
      <c r="T10" s="30" t="s">
        <v>127</v>
      </c>
      <c r="U10" s="30" t="s">
        <v>127</v>
      </c>
      <c r="V10" s="30" t="s">
        <v>127</v>
      </c>
      <c r="W10" s="30" t="s">
        <v>127</v>
      </c>
      <c r="X10" s="30" t="s">
        <v>127</v>
      </c>
      <c r="Y10" s="29" t="s">
        <v>114</v>
      </c>
      <c r="Z10" s="29" t="s">
        <v>114</v>
      </c>
      <c r="AA10" s="30" t="s">
        <v>127</v>
      </c>
      <c r="AB10" s="30" t="s">
        <v>127</v>
      </c>
      <c r="AC10" s="30" t="s">
        <v>127</v>
      </c>
      <c r="AD10" s="30" t="s">
        <v>127</v>
      </c>
      <c r="AE10" s="30" t="s">
        <v>127</v>
      </c>
      <c r="AF10" s="30"/>
      <c r="AG10" s="30"/>
      <c r="AH10" s="30"/>
      <c r="AI10" s="51">
        <f t="shared" si="0"/>
        <v>19</v>
      </c>
      <c r="AJ10" s="51">
        <f t="shared" si="1"/>
        <v>9</v>
      </c>
      <c r="AK10" s="52">
        <f t="shared" si="2"/>
        <v>19</v>
      </c>
      <c r="AL10" s="52">
        <f t="shared" si="3"/>
        <v>0</v>
      </c>
      <c r="AM10" s="52">
        <f t="shared" si="4"/>
        <v>9</v>
      </c>
      <c r="AN10" s="52">
        <f t="shared" si="5"/>
        <v>0</v>
      </c>
      <c r="AO10" s="52">
        <f t="shared" si="6"/>
        <v>0</v>
      </c>
      <c r="AP10" s="52">
        <f t="shared" si="7"/>
        <v>0</v>
      </c>
      <c r="AQ10" s="52">
        <f t="shared" si="8"/>
        <v>0</v>
      </c>
      <c r="AR10" s="52">
        <f t="shared" si="9"/>
        <v>0</v>
      </c>
      <c r="AS10" s="52">
        <f t="shared" si="10"/>
        <v>0</v>
      </c>
      <c r="AT10" s="52">
        <f t="shared" si="11"/>
        <v>0</v>
      </c>
      <c r="AU10" s="52">
        <f t="shared" si="12"/>
        <v>0</v>
      </c>
      <c r="AV10" s="52">
        <f t="shared" si="13"/>
        <v>0</v>
      </c>
      <c r="AW10" s="52">
        <f t="shared" si="14"/>
        <v>0</v>
      </c>
      <c r="AX10" s="52">
        <f t="shared" si="15"/>
        <v>0</v>
      </c>
      <c r="AY10" s="52">
        <f t="shared" si="16"/>
        <v>0</v>
      </c>
      <c r="AZ10" s="58"/>
    </row>
    <row r="11" s="10" customFormat="1" ht="32" customHeight="1" spans="1:52">
      <c r="A11" s="26">
        <v>6</v>
      </c>
      <c r="B11" s="31" t="s">
        <v>59</v>
      </c>
      <c r="C11" s="28" t="s">
        <v>60</v>
      </c>
      <c r="D11" s="29" t="s">
        <v>114</v>
      </c>
      <c r="E11" s="29" t="s">
        <v>114</v>
      </c>
      <c r="F11" s="29" t="s">
        <v>114</v>
      </c>
      <c r="G11" s="29" t="s">
        <v>114</v>
      </c>
      <c r="H11" s="29" t="s">
        <v>116</v>
      </c>
      <c r="I11" s="30" t="s">
        <v>127</v>
      </c>
      <c r="J11" s="30" t="s">
        <v>127</v>
      </c>
      <c r="K11" s="30" t="s">
        <v>127</v>
      </c>
      <c r="L11" s="29" t="s">
        <v>114</v>
      </c>
      <c r="M11" s="30" t="s">
        <v>127</v>
      </c>
      <c r="N11" s="30" t="s">
        <v>127</v>
      </c>
      <c r="O11" s="30" t="s">
        <v>127</v>
      </c>
      <c r="P11" s="30" t="s">
        <v>127</v>
      </c>
      <c r="Q11" s="30" t="s">
        <v>127</v>
      </c>
      <c r="R11" s="29" t="s">
        <v>114</v>
      </c>
      <c r="S11" s="29" t="s">
        <v>114</v>
      </c>
      <c r="T11" s="30" t="s">
        <v>127</v>
      </c>
      <c r="U11" s="30" t="s">
        <v>127</v>
      </c>
      <c r="V11" s="30" t="s">
        <v>127</v>
      </c>
      <c r="W11" s="30" t="s">
        <v>127</v>
      </c>
      <c r="X11" s="30" t="s">
        <v>127</v>
      </c>
      <c r="Y11" s="29" t="s">
        <v>114</v>
      </c>
      <c r="Z11" s="29" t="s">
        <v>114</v>
      </c>
      <c r="AA11" s="30" t="s">
        <v>127</v>
      </c>
      <c r="AB11" s="30" t="s">
        <v>127</v>
      </c>
      <c r="AC11" s="30" t="s">
        <v>127</v>
      </c>
      <c r="AD11" s="30" t="s">
        <v>127</v>
      </c>
      <c r="AE11" s="30" t="s">
        <v>127</v>
      </c>
      <c r="AF11" s="30"/>
      <c r="AG11" s="30"/>
      <c r="AH11" s="30"/>
      <c r="AI11" s="51">
        <f t="shared" si="0"/>
        <v>18</v>
      </c>
      <c r="AJ11" s="51">
        <f t="shared" si="1"/>
        <v>9</v>
      </c>
      <c r="AK11" s="52">
        <f t="shared" si="2"/>
        <v>18</v>
      </c>
      <c r="AL11" s="52">
        <f t="shared" si="3"/>
        <v>0</v>
      </c>
      <c r="AM11" s="52">
        <f t="shared" si="4"/>
        <v>9</v>
      </c>
      <c r="AN11" s="52">
        <f t="shared" si="5"/>
        <v>0</v>
      </c>
      <c r="AO11" s="52">
        <f t="shared" si="6"/>
        <v>1</v>
      </c>
      <c r="AP11" s="52">
        <f t="shared" si="7"/>
        <v>0</v>
      </c>
      <c r="AQ11" s="52">
        <f t="shared" si="8"/>
        <v>0</v>
      </c>
      <c r="AR11" s="52">
        <f t="shared" si="9"/>
        <v>0</v>
      </c>
      <c r="AS11" s="52">
        <f t="shared" si="10"/>
        <v>0</v>
      </c>
      <c r="AT11" s="52">
        <f t="shared" si="11"/>
        <v>0</v>
      </c>
      <c r="AU11" s="52">
        <f t="shared" si="12"/>
        <v>0</v>
      </c>
      <c r="AV11" s="52">
        <f t="shared" si="13"/>
        <v>0</v>
      </c>
      <c r="AW11" s="52">
        <f t="shared" si="14"/>
        <v>0</v>
      </c>
      <c r="AX11" s="52">
        <f t="shared" si="15"/>
        <v>0</v>
      </c>
      <c r="AY11" s="52">
        <f t="shared" si="16"/>
        <v>0</v>
      </c>
      <c r="AZ11" s="58"/>
    </row>
    <row r="12" s="10" customFormat="1" ht="32" customHeight="1" spans="1:52">
      <c r="A12" s="26">
        <v>7</v>
      </c>
      <c r="B12" s="31" t="s">
        <v>63</v>
      </c>
      <c r="C12" s="28" t="s">
        <v>64</v>
      </c>
      <c r="D12" s="29" t="s">
        <v>114</v>
      </c>
      <c r="E12" s="29" t="s">
        <v>114</v>
      </c>
      <c r="F12" s="29" t="s">
        <v>114</v>
      </c>
      <c r="G12" s="29" t="s">
        <v>114</v>
      </c>
      <c r="H12" s="30" t="s">
        <v>127</v>
      </c>
      <c r="I12" s="30" t="s">
        <v>127</v>
      </c>
      <c r="J12" s="30" t="s">
        <v>127</v>
      </c>
      <c r="K12" s="30" t="s">
        <v>127</v>
      </c>
      <c r="L12" s="29" t="s">
        <v>114</v>
      </c>
      <c r="M12" s="30" t="s">
        <v>127</v>
      </c>
      <c r="N12" s="30" t="s">
        <v>127</v>
      </c>
      <c r="O12" s="30" t="s">
        <v>127</v>
      </c>
      <c r="P12" s="30" t="s">
        <v>127</v>
      </c>
      <c r="Q12" s="30" t="s">
        <v>127</v>
      </c>
      <c r="R12" s="29" t="s">
        <v>114</v>
      </c>
      <c r="S12" s="29" t="s">
        <v>114</v>
      </c>
      <c r="T12" s="30" t="s">
        <v>127</v>
      </c>
      <c r="U12" s="30" t="s">
        <v>127</v>
      </c>
      <c r="V12" s="30" t="s">
        <v>127</v>
      </c>
      <c r="W12" s="30" t="s">
        <v>127</v>
      </c>
      <c r="X12" s="30" t="s">
        <v>127</v>
      </c>
      <c r="Y12" s="29" t="s">
        <v>114</v>
      </c>
      <c r="Z12" s="29" t="s">
        <v>114</v>
      </c>
      <c r="AA12" s="30" t="s">
        <v>127</v>
      </c>
      <c r="AB12" s="30" t="s">
        <v>127</v>
      </c>
      <c r="AC12" s="30" t="s">
        <v>127</v>
      </c>
      <c r="AD12" s="30" t="s">
        <v>127</v>
      </c>
      <c r="AE12" s="30" t="s">
        <v>127</v>
      </c>
      <c r="AF12" s="30"/>
      <c r="AG12" s="30"/>
      <c r="AH12" s="30"/>
      <c r="AI12" s="51">
        <f t="shared" si="0"/>
        <v>19</v>
      </c>
      <c r="AJ12" s="51">
        <f t="shared" si="1"/>
        <v>9</v>
      </c>
      <c r="AK12" s="52">
        <f t="shared" si="2"/>
        <v>19</v>
      </c>
      <c r="AL12" s="52">
        <f t="shared" si="3"/>
        <v>0</v>
      </c>
      <c r="AM12" s="52">
        <f t="shared" si="4"/>
        <v>9</v>
      </c>
      <c r="AN12" s="52">
        <f t="shared" si="5"/>
        <v>0</v>
      </c>
      <c r="AO12" s="52">
        <f t="shared" si="6"/>
        <v>0</v>
      </c>
      <c r="AP12" s="52">
        <f t="shared" si="7"/>
        <v>0</v>
      </c>
      <c r="AQ12" s="52">
        <f t="shared" si="8"/>
        <v>0</v>
      </c>
      <c r="AR12" s="52">
        <f t="shared" si="9"/>
        <v>0</v>
      </c>
      <c r="AS12" s="52">
        <f t="shared" si="10"/>
        <v>0</v>
      </c>
      <c r="AT12" s="52">
        <f t="shared" si="11"/>
        <v>0</v>
      </c>
      <c r="AU12" s="52">
        <f t="shared" si="12"/>
        <v>0</v>
      </c>
      <c r="AV12" s="52">
        <f t="shared" si="13"/>
        <v>0</v>
      </c>
      <c r="AW12" s="52">
        <f t="shared" si="14"/>
        <v>0</v>
      </c>
      <c r="AX12" s="52">
        <f t="shared" si="15"/>
        <v>0</v>
      </c>
      <c r="AY12" s="52">
        <f t="shared" si="16"/>
        <v>0</v>
      </c>
      <c r="AZ12" s="58"/>
    </row>
    <row r="13" s="10" customFormat="1" ht="32" customHeight="1" spans="1:52">
      <c r="A13" s="26">
        <v>8</v>
      </c>
      <c r="B13" s="31" t="s">
        <v>67</v>
      </c>
      <c r="C13" s="28" t="s">
        <v>68</v>
      </c>
      <c r="D13" s="29" t="s">
        <v>114</v>
      </c>
      <c r="E13" s="29" t="s">
        <v>114</v>
      </c>
      <c r="F13" s="29" t="s">
        <v>114</v>
      </c>
      <c r="G13" s="29" t="s">
        <v>114</v>
      </c>
      <c r="H13" s="30" t="s">
        <v>127</v>
      </c>
      <c r="I13" s="30" t="s">
        <v>127</v>
      </c>
      <c r="J13" s="30" t="s">
        <v>127</v>
      </c>
      <c r="K13" s="30" t="s">
        <v>127</v>
      </c>
      <c r="L13" s="29" t="s">
        <v>114</v>
      </c>
      <c r="M13" s="30" t="s">
        <v>127</v>
      </c>
      <c r="N13" s="30" t="s">
        <v>127</v>
      </c>
      <c r="O13" s="30" t="s">
        <v>127</v>
      </c>
      <c r="P13" s="30" t="s">
        <v>127</v>
      </c>
      <c r="Q13" s="30" t="s">
        <v>127</v>
      </c>
      <c r="R13" s="29" t="s">
        <v>114</v>
      </c>
      <c r="S13" s="29" t="s">
        <v>114</v>
      </c>
      <c r="T13" s="30" t="s">
        <v>127</v>
      </c>
      <c r="U13" s="30" t="s">
        <v>127</v>
      </c>
      <c r="V13" s="30" t="s">
        <v>127</v>
      </c>
      <c r="W13" s="30" t="s">
        <v>127</v>
      </c>
      <c r="X13" s="30" t="s">
        <v>127</v>
      </c>
      <c r="Y13" s="29" t="s">
        <v>114</v>
      </c>
      <c r="Z13" s="29" t="s">
        <v>114</v>
      </c>
      <c r="AA13" s="30" t="s">
        <v>127</v>
      </c>
      <c r="AB13" s="30" t="s">
        <v>127</v>
      </c>
      <c r="AC13" s="30" t="s">
        <v>127</v>
      </c>
      <c r="AD13" s="30" t="s">
        <v>127</v>
      </c>
      <c r="AE13" s="30" t="s">
        <v>127</v>
      </c>
      <c r="AF13" s="30"/>
      <c r="AG13" s="30"/>
      <c r="AH13" s="30"/>
      <c r="AI13" s="51">
        <f t="shared" si="0"/>
        <v>19</v>
      </c>
      <c r="AJ13" s="51">
        <f t="shared" si="1"/>
        <v>9</v>
      </c>
      <c r="AK13" s="52">
        <f t="shared" si="2"/>
        <v>19</v>
      </c>
      <c r="AL13" s="52">
        <f t="shared" si="3"/>
        <v>0</v>
      </c>
      <c r="AM13" s="52">
        <f t="shared" si="4"/>
        <v>9</v>
      </c>
      <c r="AN13" s="52">
        <f t="shared" si="5"/>
        <v>0</v>
      </c>
      <c r="AO13" s="52">
        <f t="shared" si="6"/>
        <v>0</v>
      </c>
      <c r="AP13" s="52">
        <f t="shared" si="7"/>
        <v>0</v>
      </c>
      <c r="AQ13" s="52">
        <f t="shared" si="8"/>
        <v>0</v>
      </c>
      <c r="AR13" s="52">
        <f t="shared" si="9"/>
        <v>0</v>
      </c>
      <c r="AS13" s="52">
        <f t="shared" si="10"/>
        <v>0</v>
      </c>
      <c r="AT13" s="52">
        <f t="shared" si="11"/>
        <v>0</v>
      </c>
      <c r="AU13" s="52">
        <f t="shared" si="12"/>
        <v>0</v>
      </c>
      <c r="AV13" s="52">
        <f t="shared" si="13"/>
        <v>0</v>
      </c>
      <c r="AW13" s="52">
        <f t="shared" si="14"/>
        <v>0</v>
      </c>
      <c r="AX13" s="52">
        <f t="shared" si="15"/>
        <v>0</v>
      </c>
      <c r="AY13" s="52">
        <f t="shared" si="16"/>
        <v>0</v>
      </c>
      <c r="AZ13" s="58"/>
    </row>
    <row r="14" s="10" customFormat="1" ht="32" customHeight="1" spans="1:52">
      <c r="A14" s="26">
        <v>9</v>
      </c>
      <c r="B14" s="31" t="s">
        <v>69</v>
      </c>
      <c r="C14" s="28" t="s">
        <v>70</v>
      </c>
      <c r="D14" s="29" t="s">
        <v>114</v>
      </c>
      <c r="E14" s="29" t="s">
        <v>114</v>
      </c>
      <c r="F14" s="29" t="s">
        <v>114</v>
      </c>
      <c r="G14" s="29" t="s">
        <v>114</v>
      </c>
      <c r="H14" s="30" t="s">
        <v>127</v>
      </c>
      <c r="I14" s="30" t="s">
        <v>127</v>
      </c>
      <c r="J14" s="30" t="s">
        <v>127</v>
      </c>
      <c r="K14" s="30" t="s">
        <v>127</v>
      </c>
      <c r="L14" s="29" t="s">
        <v>114</v>
      </c>
      <c r="M14" s="30" t="s">
        <v>127</v>
      </c>
      <c r="N14" s="30" t="s">
        <v>127</v>
      </c>
      <c r="O14" s="30" t="s">
        <v>127</v>
      </c>
      <c r="P14" s="30" t="s">
        <v>127</v>
      </c>
      <c r="Q14" s="30" t="s">
        <v>127</v>
      </c>
      <c r="R14" s="29" t="s">
        <v>114</v>
      </c>
      <c r="S14" s="29" t="s">
        <v>114</v>
      </c>
      <c r="T14" s="30" t="s">
        <v>127</v>
      </c>
      <c r="U14" s="30" t="s">
        <v>127</v>
      </c>
      <c r="V14" s="30" t="s">
        <v>127</v>
      </c>
      <c r="W14" s="30" t="s">
        <v>127</v>
      </c>
      <c r="X14" s="30" t="s">
        <v>127</v>
      </c>
      <c r="Y14" s="29" t="s">
        <v>114</v>
      </c>
      <c r="Z14" s="29" t="s">
        <v>114</v>
      </c>
      <c r="AA14" s="30" t="s">
        <v>127</v>
      </c>
      <c r="AB14" s="30" t="s">
        <v>127</v>
      </c>
      <c r="AC14" s="29" t="s">
        <v>116</v>
      </c>
      <c r="AD14" s="30" t="s">
        <v>127</v>
      </c>
      <c r="AE14" s="30" t="s">
        <v>127</v>
      </c>
      <c r="AF14" s="30"/>
      <c r="AG14" s="30"/>
      <c r="AH14" s="30"/>
      <c r="AI14" s="51">
        <f t="shared" si="0"/>
        <v>18.5</v>
      </c>
      <c r="AJ14" s="51">
        <f t="shared" si="1"/>
        <v>9</v>
      </c>
      <c r="AK14" s="52">
        <f>18.5</f>
        <v>18.5</v>
      </c>
      <c r="AL14" s="52">
        <f t="shared" si="3"/>
        <v>0</v>
      </c>
      <c r="AM14" s="52">
        <f t="shared" si="4"/>
        <v>9</v>
      </c>
      <c r="AN14" s="52">
        <f t="shared" si="5"/>
        <v>0</v>
      </c>
      <c r="AO14" s="56">
        <v>0.5</v>
      </c>
      <c r="AP14" s="52">
        <f t="shared" si="7"/>
        <v>0</v>
      </c>
      <c r="AQ14" s="52">
        <f t="shared" si="8"/>
        <v>0</v>
      </c>
      <c r="AR14" s="52">
        <f t="shared" si="9"/>
        <v>0</v>
      </c>
      <c r="AS14" s="52">
        <f t="shared" si="10"/>
        <v>0</v>
      </c>
      <c r="AT14" s="52">
        <f t="shared" si="11"/>
        <v>0</v>
      </c>
      <c r="AU14" s="52">
        <f t="shared" si="12"/>
        <v>0</v>
      </c>
      <c r="AV14" s="52">
        <f t="shared" si="13"/>
        <v>0</v>
      </c>
      <c r="AW14" s="52">
        <f t="shared" si="14"/>
        <v>0</v>
      </c>
      <c r="AX14" s="52">
        <f t="shared" si="15"/>
        <v>0</v>
      </c>
      <c r="AY14" s="52">
        <f t="shared" si="16"/>
        <v>0</v>
      </c>
      <c r="AZ14" s="58"/>
    </row>
    <row r="15" s="10" customFormat="1" ht="32" customHeight="1" spans="1:52">
      <c r="A15" s="26">
        <v>10</v>
      </c>
      <c r="B15" s="31" t="s">
        <v>71</v>
      </c>
      <c r="C15" s="28" t="s">
        <v>72</v>
      </c>
      <c r="D15" s="29" t="s">
        <v>114</v>
      </c>
      <c r="E15" s="29" t="s">
        <v>114</v>
      </c>
      <c r="F15" s="29" t="s">
        <v>114</v>
      </c>
      <c r="G15" s="29" t="s">
        <v>114</v>
      </c>
      <c r="H15" s="30" t="s">
        <v>127</v>
      </c>
      <c r="I15" s="30" t="s">
        <v>127</v>
      </c>
      <c r="J15" s="30" t="s">
        <v>127</v>
      </c>
      <c r="K15" s="30" t="s">
        <v>127</v>
      </c>
      <c r="L15" s="29" t="s">
        <v>114</v>
      </c>
      <c r="M15" s="30" t="s">
        <v>127</v>
      </c>
      <c r="N15" s="30" t="s">
        <v>127</v>
      </c>
      <c r="O15" s="30" t="s">
        <v>127</v>
      </c>
      <c r="P15" s="30" t="s">
        <v>127</v>
      </c>
      <c r="Q15" s="30" t="s">
        <v>127</v>
      </c>
      <c r="R15" s="29" t="s">
        <v>114</v>
      </c>
      <c r="S15" s="29" t="s">
        <v>114</v>
      </c>
      <c r="T15" s="30" t="s">
        <v>127</v>
      </c>
      <c r="U15" s="30" t="s">
        <v>127</v>
      </c>
      <c r="V15" s="30" t="s">
        <v>127</v>
      </c>
      <c r="W15" s="30" t="s">
        <v>127</v>
      </c>
      <c r="X15" s="30" t="s">
        <v>127</v>
      </c>
      <c r="Y15" s="29" t="s">
        <v>114</v>
      </c>
      <c r="Z15" s="29" t="s">
        <v>114</v>
      </c>
      <c r="AA15" s="30" t="s">
        <v>127</v>
      </c>
      <c r="AB15" s="30" t="s">
        <v>127</v>
      </c>
      <c r="AC15" s="30" t="s">
        <v>127</v>
      </c>
      <c r="AD15" s="30" t="s">
        <v>127</v>
      </c>
      <c r="AE15" s="30" t="s">
        <v>127</v>
      </c>
      <c r="AF15" s="30"/>
      <c r="AG15" s="30"/>
      <c r="AH15" s="30"/>
      <c r="AI15" s="51">
        <f t="shared" si="0"/>
        <v>19</v>
      </c>
      <c r="AJ15" s="51">
        <f t="shared" si="1"/>
        <v>9</v>
      </c>
      <c r="AK15" s="52">
        <f t="shared" si="2"/>
        <v>19</v>
      </c>
      <c r="AL15" s="52">
        <f t="shared" si="3"/>
        <v>0</v>
      </c>
      <c r="AM15" s="52">
        <f t="shared" si="4"/>
        <v>9</v>
      </c>
      <c r="AN15" s="52">
        <f t="shared" si="5"/>
        <v>0</v>
      </c>
      <c r="AO15" s="52">
        <f t="shared" si="6"/>
        <v>0</v>
      </c>
      <c r="AP15" s="52">
        <f t="shared" si="7"/>
        <v>0</v>
      </c>
      <c r="AQ15" s="52">
        <f t="shared" si="8"/>
        <v>0</v>
      </c>
      <c r="AR15" s="52">
        <f t="shared" si="9"/>
        <v>0</v>
      </c>
      <c r="AS15" s="52">
        <f t="shared" si="10"/>
        <v>0</v>
      </c>
      <c r="AT15" s="52">
        <f t="shared" si="11"/>
        <v>0</v>
      </c>
      <c r="AU15" s="52">
        <f t="shared" si="12"/>
        <v>0</v>
      </c>
      <c r="AV15" s="52">
        <f t="shared" si="13"/>
        <v>0</v>
      </c>
      <c r="AW15" s="52">
        <f t="shared" si="14"/>
        <v>0</v>
      </c>
      <c r="AX15" s="52">
        <f t="shared" si="15"/>
        <v>0</v>
      </c>
      <c r="AY15" s="52">
        <f t="shared" si="16"/>
        <v>0</v>
      </c>
      <c r="AZ15" s="58"/>
    </row>
    <row r="16" s="10" customFormat="1" ht="32" customHeight="1" spans="1:52">
      <c r="A16" s="26">
        <v>11</v>
      </c>
      <c r="B16" s="31" t="s">
        <v>74</v>
      </c>
      <c r="C16" s="28" t="s">
        <v>75</v>
      </c>
      <c r="D16" s="29" t="s">
        <v>114</v>
      </c>
      <c r="E16" s="29" t="s">
        <v>114</v>
      </c>
      <c r="F16" s="29" t="s">
        <v>114</v>
      </c>
      <c r="G16" s="29" t="s">
        <v>114</v>
      </c>
      <c r="H16" s="30" t="s">
        <v>127</v>
      </c>
      <c r="I16" s="30" t="s">
        <v>127</v>
      </c>
      <c r="J16" s="30" t="s">
        <v>127</v>
      </c>
      <c r="K16" s="30" t="s">
        <v>127</v>
      </c>
      <c r="L16" s="29" t="s">
        <v>114</v>
      </c>
      <c r="M16" s="30" t="s">
        <v>127</v>
      </c>
      <c r="N16" s="30" t="s">
        <v>127</v>
      </c>
      <c r="O16" s="30" t="s">
        <v>127</v>
      </c>
      <c r="P16" s="30" t="s">
        <v>127</v>
      </c>
      <c r="Q16" s="30" t="s">
        <v>127</v>
      </c>
      <c r="R16" s="29" t="s">
        <v>114</v>
      </c>
      <c r="S16" s="29" t="s">
        <v>114</v>
      </c>
      <c r="T16" s="30" t="s">
        <v>127</v>
      </c>
      <c r="U16" s="30" t="s">
        <v>127</v>
      </c>
      <c r="V16" s="30" t="s">
        <v>127</v>
      </c>
      <c r="W16" s="30" t="s">
        <v>127</v>
      </c>
      <c r="X16" s="30" t="s">
        <v>127</v>
      </c>
      <c r="Y16" s="29" t="s">
        <v>114</v>
      </c>
      <c r="Z16" s="29" t="s">
        <v>114</v>
      </c>
      <c r="AA16" s="30" t="s">
        <v>127</v>
      </c>
      <c r="AB16" s="30" t="s">
        <v>127</v>
      </c>
      <c r="AC16" s="30" t="s">
        <v>127</v>
      </c>
      <c r="AD16" s="30" t="s">
        <v>127</v>
      </c>
      <c r="AE16" s="30" t="s">
        <v>127</v>
      </c>
      <c r="AF16" s="30"/>
      <c r="AG16" s="30"/>
      <c r="AH16" s="30"/>
      <c r="AI16" s="51">
        <f t="shared" si="0"/>
        <v>19</v>
      </c>
      <c r="AJ16" s="51">
        <f t="shared" si="1"/>
        <v>9</v>
      </c>
      <c r="AK16" s="52">
        <f t="shared" si="2"/>
        <v>19</v>
      </c>
      <c r="AL16" s="52">
        <f t="shared" si="3"/>
        <v>0</v>
      </c>
      <c r="AM16" s="52">
        <f t="shared" si="4"/>
        <v>9</v>
      </c>
      <c r="AN16" s="52">
        <f t="shared" si="5"/>
        <v>0</v>
      </c>
      <c r="AO16" s="52">
        <f t="shared" si="6"/>
        <v>0</v>
      </c>
      <c r="AP16" s="52">
        <f t="shared" si="7"/>
        <v>0</v>
      </c>
      <c r="AQ16" s="52">
        <f t="shared" si="8"/>
        <v>0</v>
      </c>
      <c r="AR16" s="52">
        <f t="shared" si="9"/>
        <v>0</v>
      </c>
      <c r="AS16" s="52">
        <f t="shared" si="10"/>
        <v>0</v>
      </c>
      <c r="AT16" s="52">
        <f t="shared" si="11"/>
        <v>0</v>
      </c>
      <c r="AU16" s="52">
        <f t="shared" si="12"/>
        <v>0</v>
      </c>
      <c r="AV16" s="52">
        <f t="shared" si="13"/>
        <v>0</v>
      </c>
      <c r="AW16" s="52">
        <f t="shared" si="14"/>
        <v>0</v>
      </c>
      <c r="AX16" s="52">
        <f t="shared" si="15"/>
        <v>0</v>
      </c>
      <c r="AY16" s="52">
        <f t="shared" si="16"/>
        <v>0</v>
      </c>
      <c r="AZ16" s="58"/>
    </row>
    <row r="17" s="10" customFormat="1" ht="32" customHeight="1" spans="1:52">
      <c r="A17" s="26">
        <v>12</v>
      </c>
      <c r="B17" s="31" t="s">
        <v>76</v>
      </c>
      <c r="C17" s="28" t="s">
        <v>77</v>
      </c>
      <c r="D17" s="29" t="s">
        <v>114</v>
      </c>
      <c r="E17" s="29" t="s">
        <v>114</v>
      </c>
      <c r="F17" s="29" t="s">
        <v>114</v>
      </c>
      <c r="G17" s="29" t="s">
        <v>114</v>
      </c>
      <c r="H17" s="29" t="s">
        <v>115</v>
      </c>
      <c r="I17" s="29" t="s">
        <v>115</v>
      </c>
      <c r="J17" s="29" t="s">
        <v>115</v>
      </c>
      <c r="K17" s="30" t="s">
        <v>127</v>
      </c>
      <c r="L17" s="29" t="s">
        <v>114</v>
      </c>
      <c r="M17" s="30" t="s">
        <v>127</v>
      </c>
      <c r="N17" s="30" t="s">
        <v>127</v>
      </c>
      <c r="O17" s="30" t="s">
        <v>127</v>
      </c>
      <c r="P17" s="30" t="s">
        <v>127</v>
      </c>
      <c r="Q17" s="30" t="s">
        <v>127</v>
      </c>
      <c r="R17" s="29" t="s">
        <v>114</v>
      </c>
      <c r="S17" s="29" t="s">
        <v>114</v>
      </c>
      <c r="T17" s="30" t="s">
        <v>127</v>
      </c>
      <c r="U17" s="30" t="s">
        <v>127</v>
      </c>
      <c r="V17" s="30" t="s">
        <v>127</v>
      </c>
      <c r="W17" s="30" t="s">
        <v>127</v>
      </c>
      <c r="X17" s="30" t="s">
        <v>127</v>
      </c>
      <c r="Y17" s="29" t="s">
        <v>114</v>
      </c>
      <c r="Z17" s="29" t="s">
        <v>114</v>
      </c>
      <c r="AA17" s="30" t="s">
        <v>127</v>
      </c>
      <c r="AB17" s="30" t="s">
        <v>127</v>
      </c>
      <c r="AC17" s="30" t="s">
        <v>127</v>
      </c>
      <c r="AD17" s="30" t="s">
        <v>127</v>
      </c>
      <c r="AE17" s="30" t="s">
        <v>127</v>
      </c>
      <c r="AF17" s="30"/>
      <c r="AG17" s="30"/>
      <c r="AH17" s="30"/>
      <c r="AI17" s="51">
        <f t="shared" si="0"/>
        <v>16</v>
      </c>
      <c r="AJ17" s="51">
        <f t="shared" si="1"/>
        <v>9</v>
      </c>
      <c r="AK17" s="52">
        <f t="shared" si="2"/>
        <v>16</v>
      </c>
      <c r="AL17" s="52">
        <f t="shared" si="3"/>
        <v>0</v>
      </c>
      <c r="AM17" s="52">
        <f t="shared" si="4"/>
        <v>9</v>
      </c>
      <c r="AN17" s="52">
        <f t="shared" si="5"/>
        <v>3</v>
      </c>
      <c r="AO17" s="52">
        <f t="shared" si="6"/>
        <v>0</v>
      </c>
      <c r="AP17" s="52">
        <f t="shared" si="7"/>
        <v>0</v>
      </c>
      <c r="AQ17" s="52">
        <f t="shared" si="8"/>
        <v>0</v>
      </c>
      <c r="AR17" s="52">
        <f t="shared" si="9"/>
        <v>0</v>
      </c>
      <c r="AS17" s="52">
        <f t="shared" si="10"/>
        <v>0</v>
      </c>
      <c r="AT17" s="52">
        <f t="shared" si="11"/>
        <v>0</v>
      </c>
      <c r="AU17" s="52">
        <f t="shared" si="12"/>
        <v>0</v>
      </c>
      <c r="AV17" s="52">
        <f t="shared" si="13"/>
        <v>0</v>
      </c>
      <c r="AW17" s="52">
        <f t="shared" si="14"/>
        <v>0</v>
      </c>
      <c r="AX17" s="52">
        <f t="shared" si="15"/>
        <v>0</v>
      </c>
      <c r="AY17" s="52">
        <f t="shared" si="16"/>
        <v>0</v>
      </c>
      <c r="AZ17" s="58"/>
    </row>
    <row r="18" s="10" customFormat="1" ht="32" customHeight="1" spans="1:52">
      <c r="A18" s="26">
        <v>13</v>
      </c>
      <c r="B18" s="31" t="s">
        <v>79</v>
      </c>
      <c r="C18" s="28" t="s">
        <v>77</v>
      </c>
      <c r="D18" s="29" t="s">
        <v>114</v>
      </c>
      <c r="E18" s="29" t="s">
        <v>114</v>
      </c>
      <c r="F18" s="29" t="s">
        <v>114</v>
      </c>
      <c r="G18" s="29" t="s">
        <v>114</v>
      </c>
      <c r="H18" s="30" t="s">
        <v>127</v>
      </c>
      <c r="I18" s="30" t="s">
        <v>127</v>
      </c>
      <c r="J18" s="30" t="s">
        <v>127</v>
      </c>
      <c r="K18" s="30" t="s">
        <v>127</v>
      </c>
      <c r="L18" s="29" t="s">
        <v>114</v>
      </c>
      <c r="M18" s="30" t="s">
        <v>127</v>
      </c>
      <c r="N18" s="30" t="s">
        <v>127</v>
      </c>
      <c r="O18" s="30" t="s">
        <v>127</v>
      </c>
      <c r="P18" s="30" t="s">
        <v>127</v>
      </c>
      <c r="Q18" s="30" t="s">
        <v>127</v>
      </c>
      <c r="R18" s="29" t="s">
        <v>114</v>
      </c>
      <c r="S18" s="29" t="s">
        <v>114</v>
      </c>
      <c r="T18" s="30" t="s">
        <v>127</v>
      </c>
      <c r="U18" s="30" t="s">
        <v>127</v>
      </c>
      <c r="V18" s="30" t="s">
        <v>127</v>
      </c>
      <c r="W18" s="30" t="s">
        <v>127</v>
      </c>
      <c r="X18" s="30" t="s">
        <v>127</v>
      </c>
      <c r="Y18" s="29" t="s">
        <v>114</v>
      </c>
      <c r="Z18" s="29" t="s">
        <v>114</v>
      </c>
      <c r="AA18" s="30" t="s">
        <v>127</v>
      </c>
      <c r="AB18" s="30" t="s">
        <v>127</v>
      </c>
      <c r="AC18" s="30" t="s">
        <v>127</v>
      </c>
      <c r="AD18" s="30" t="s">
        <v>127</v>
      </c>
      <c r="AE18" s="30" t="s">
        <v>127</v>
      </c>
      <c r="AF18" s="30"/>
      <c r="AG18" s="30"/>
      <c r="AH18" s="30"/>
      <c r="AI18" s="51">
        <f t="shared" si="0"/>
        <v>19</v>
      </c>
      <c r="AJ18" s="51">
        <f t="shared" si="1"/>
        <v>9</v>
      </c>
      <c r="AK18" s="52">
        <f t="shared" si="2"/>
        <v>19</v>
      </c>
      <c r="AL18" s="52">
        <f t="shared" si="3"/>
        <v>0</v>
      </c>
      <c r="AM18" s="52">
        <f t="shared" si="4"/>
        <v>9</v>
      </c>
      <c r="AN18" s="52">
        <f t="shared" si="5"/>
        <v>0</v>
      </c>
      <c r="AO18" s="52">
        <f t="shared" si="6"/>
        <v>0</v>
      </c>
      <c r="AP18" s="52">
        <f t="shared" si="7"/>
        <v>0</v>
      </c>
      <c r="AQ18" s="52">
        <f t="shared" si="8"/>
        <v>0</v>
      </c>
      <c r="AR18" s="52">
        <f t="shared" si="9"/>
        <v>0</v>
      </c>
      <c r="AS18" s="52">
        <f t="shared" si="10"/>
        <v>0</v>
      </c>
      <c r="AT18" s="52">
        <f t="shared" si="11"/>
        <v>0</v>
      </c>
      <c r="AU18" s="52">
        <f t="shared" si="12"/>
        <v>0</v>
      </c>
      <c r="AV18" s="52">
        <f t="shared" si="13"/>
        <v>0</v>
      </c>
      <c r="AW18" s="52">
        <f t="shared" si="14"/>
        <v>0</v>
      </c>
      <c r="AX18" s="52">
        <f t="shared" si="15"/>
        <v>0</v>
      </c>
      <c r="AY18" s="52">
        <f t="shared" si="16"/>
        <v>0</v>
      </c>
      <c r="AZ18" s="58"/>
    </row>
    <row r="19" s="10" customFormat="1" ht="32" customHeight="1" spans="1:52">
      <c r="A19" s="26">
        <v>14</v>
      </c>
      <c r="B19" s="31" t="s">
        <v>81</v>
      </c>
      <c r="C19" s="28" t="s">
        <v>82</v>
      </c>
      <c r="D19" s="29" t="s">
        <v>114</v>
      </c>
      <c r="E19" s="29" t="s">
        <v>114</v>
      </c>
      <c r="F19" s="29" t="s">
        <v>114</v>
      </c>
      <c r="G19" s="29" t="s">
        <v>114</v>
      </c>
      <c r="H19" s="30" t="s">
        <v>127</v>
      </c>
      <c r="I19" s="30" t="s">
        <v>127</v>
      </c>
      <c r="J19" s="30" t="s">
        <v>127</v>
      </c>
      <c r="K19" s="30" t="s">
        <v>127</v>
      </c>
      <c r="L19" s="29" t="s">
        <v>114</v>
      </c>
      <c r="M19" s="30" t="s">
        <v>127</v>
      </c>
      <c r="N19" s="30" t="s">
        <v>127</v>
      </c>
      <c r="O19" s="30" t="s">
        <v>127</v>
      </c>
      <c r="P19" s="30" t="s">
        <v>127</v>
      </c>
      <c r="Q19" s="30" t="s">
        <v>127</v>
      </c>
      <c r="R19" s="29" t="s">
        <v>114</v>
      </c>
      <c r="S19" s="29" t="s">
        <v>114</v>
      </c>
      <c r="T19" s="30" t="s">
        <v>127</v>
      </c>
      <c r="U19" s="30" t="s">
        <v>127</v>
      </c>
      <c r="V19" s="30" t="s">
        <v>127</v>
      </c>
      <c r="W19" s="30" t="s">
        <v>127</v>
      </c>
      <c r="X19" s="30" t="s">
        <v>127</v>
      </c>
      <c r="Y19" s="29" t="s">
        <v>114</v>
      </c>
      <c r="Z19" s="29" t="s">
        <v>114</v>
      </c>
      <c r="AA19" s="30" t="s">
        <v>127</v>
      </c>
      <c r="AB19" s="30" t="s">
        <v>127</v>
      </c>
      <c r="AC19" s="30" t="s">
        <v>127</v>
      </c>
      <c r="AD19" s="30" t="s">
        <v>127</v>
      </c>
      <c r="AE19" s="30" t="s">
        <v>127</v>
      </c>
      <c r="AF19" s="30"/>
      <c r="AG19" s="30"/>
      <c r="AH19" s="30"/>
      <c r="AI19" s="51">
        <f t="shared" si="0"/>
        <v>19</v>
      </c>
      <c r="AJ19" s="51">
        <f t="shared" si="1"/>
        <v>9</v>
      </c>
      <c r="AK19" s="52">
        <f t="shared" si="2"/>
        <v>19</v>
      </c>
      <c r="AL19" s="52">
        <f t="shared" si="3"/>
        <v>0</v>
      </c>
      <c r="AM19" s="52">
        <f t="shared" si="4"/>
        <v>9</v>
      </c>
      <c r="AN19" s="52">
        <f t="shared" si="5"/>
        <v>0</v>
      </c>
      <c r="AO19" s="52">
        <f t="shared" si="6"/>
        <v>0</v>
      </c>
      <c r="AP19" s="52">
        <f t="shared" si="7"/>
        <v>0</v>
      </c>
      <c r="AQ19" s="52">
        <f t="shared" si="8"/>
        <v>0</v>
      </c>
      <c r="AR19" s="52">
        <f t="shared" si="9"/>
        <v>0</v>
      </c>
      <c r="AS19" s="52">
        <f t="shared" si="10"/>
        <v>0</v>
      </c>
      <c r="AT19" s="52">
        <f t="shared" si="11"/>
        <v>0</v>
      </c>
      <c r="AU19" s="52">
        <f t="shared" si="12"/>
        <v>0</v>
      </c>
      <c r="AV19" s="52">
        <f t="shared" si="13"/>
        <v>0</v>
      </c>
      <c r="AW19" s="52">
        <f t="shared" si="14"/>
        <v>0</v>
      </c>
      <c r="AX19" s="52">
        <f t="shared" si="15"/>
        <v>0</v>
      </c>
      <c r="AY19" s="52">
        <f t="shared" si="16"/>
        <v>0</v>
      </c>
      <c r="AZ19" s="58"/>
    </row>
    <row r="20" s="10" customFormat="1" ht="32" customHeight="1" spans="1:52">
      <c r="A20" s="26">
        <v>15</v>
      </c>
      <c r="B20" s="31" t="s">
        <v>83</v>
      </c>
      <c r="C20" s="28" t="s">
        <v>84</v>
      </c>
      <c r="D20" s="29" t="s">
        <v>114</v>
      </c>
      <c r="E20" s="29" t="s">
        <v>114</v>
      </c>
      <c r="F20" s="29" t="s">
        <v>114</v>
      </c>
      <c r="G20" s="29" t="s">
        <v>114</v>
      </c>
      <c r="H20" s="30" t="s">
        <v>127</v>
      </c>
      <c r="I20" s="30" t="s">
        <v>127</v>
      </c>
      <c r="J20" s="30" t="s">
        <v>127</v>
      </c>
      <c r="K20" s="30" t="s">
        <v>127</v>
      </c>
      <c r="L20" s="29" t="s">
        <v>114</v>
      </c>
      <c r="M20" s="30" t="s">
        <v>127</v>
      </c>
      <c r="N20" s="30" t="s">
        <v>127</v>
      </c>
      <c r="O20" s="30" t="s">
        <v>127</v>
      </c>
      <c r="P20" s="30" t="s">
        <v>127</v>
      </c>
      <c r="Q20" s="30" t="s">
        <v>127</v>
      </c>
      <c r="R20" s="29" t="s">
        <v>114</v>
      </c>
      <c r="S20" s="29" t="s">
        <v>114</v>
      </c>
      <c r="T20" s="30" t="s">
        <v>127</v>
      </c>
      <c r="U20" s="30" t="s">
        <v>127</v>
      </c>
      <c r="V20" s="30" t="s">
        <v>127</v>
      </c>
      <c r="W20" s="30" t="s">
        <v>127</v>
      </c>
      <c r="X20" s="30" t="s">
        <v>127</v>
      </c>
      <c r="Y20" s="29" t="s">
        <v>114</v>
      </c>
      <c r="Z20" s="29" t="s">
        <v>114</v>
      </c>
      <c r="AA20" s="30" t="s">
        <v>127</v>
      </c>
      <c r="AB20" s="30" t="s">
        <v>127</v>
      </c>
      <c r="AC20" s="30" t="s">
        <v>127</v>
      </c>
      <c r="AD20" s="30" t="s">
        <v>127</v>
      </c>
      <c r="AE20" s="30" t="s">
        <v>127</v>
      </c>
      <c r="AF20" s="30"/>
      <c r="AG20" s="30"/>
      <c r="AH20" s="30"/>
      <c r="AI20" s="51">
        <f t="shared" si="0"/>
        <v>19</v>
      </c>
      <c r="AJ20" s="51">
        <f t="shared" si="1"/>
        <v>9</v>
      </c>
      <c r="AK20" s="52">
        <f t="shared" si="2"/>
        <v>19</v>
      </c>
      <c r="AL20" s="52">
        <f t="shared" si="3"/>
        <v>0</v>
      </c>
      <c r="AM20" s="52">
        <f t="shared" si="4"/>
        <v>9</v>
      </c>
      <c r="AN20" s="52">
        <f t="shared" si="5"/>
        <v>0</v>
      </c>
      <c r="AO20" s="52">
        <f t="shared" si="6"/>
        <v>0</v>
      </c>
      <c r="AP20" s="52">
        <f t="shared" si="7"/>
        <v>0</v>
      </c>
      <c r="AQ20" s="52">
        <f t="shared" si="8"/>
        <v>0</v>
      </c>
      <c r="AR20" s="52">
        <f t="shared" si="9"/>
        <v>0</v>
      </c>
      <c r="AS20" s="52">
        <f t="shared" si="10"/>
        <v>0</v>
      </c>
      <c r="AT20" s="52">
        <f t="shared" si="11"/>
        <v>0</v>
      </c>
      <c r="AU20" s="52">
        <f t="shared" si="12"/>
        <v>0</v>
      </c>
      <c r="AV20" s="52">
        <f t="shared" si="13"/>
        <v>0</v>
      </c>
      <c r="AW20" s="52">
        <f t="shared" si="14"/>
        <v>0</v>
      </c>
      <c r="AX20" s="52">
        <f t="shared" si="15"/>
        <v>0</v>
      </c>
      <c r="AY20" s="52">
        <f t="shared" si="16"/>
        <v>0</v>
      </c>
      <c r="AZ20" s="58"/>
    </row>
    <row r="21" s="10" customFormat="1" ht="32" customHeight="1" spans="1:52">
      <c r="A21" s="26">
        <v>16</v>
      </c>
      <c r="B21" s="31" t="s">
        <v>85</v>
      </c>
      <c r="C21" s="28" t="s">
        <v>86</v>
      </c>
      <c r="D21" s="29" t="s">
        <v>114</v>
      </c>
      <c r="E21" s="29" t="s">
        <v>114</v>
      </c>
      <c r="F21" s="29" t="s">
        <v>114</v>
      </c>
      <c r="G21" s="29" t="s">
        <v>114</v>
      </c>
      <c r="H21" s="30" t="s">
        <v>127</v>
      </c>
      <c r="I21" s="30" t="s">
        <v>127</v>
      </c>
      <c r="J21" s="30" t="s">
        <v>127</v>
      </c>
      <c r="K21" s="30" t="s">
        <v>127</v>
      </c>
      <c r="L21" s="29" t="s">
        <v>114</v>
      </c>
      <c r="M21" s="30" t="s">
        <v>127</v>
      </c>
      <c r="N21" s="30" t="s">
        <v>127</v>
      </c>
      <c r="O21" s="30" t="s">
        <v>127</v>
      </c>
      <c r="P21" s="30" t="s">
        <v>127</v>
      </c>
      <c r="Q21" s="30" t="s">
        <v>127</v>
      </c>
      <c r="R21" s="29" t="s">
        <v>114</v>
      </c>
      <c r="S21" s="29" t="s">
        <v>114</v>
      </c>
      <c r="T21" s="30" t="s">
        <v>127</v>
      </c>
      <c r="U21" s="30" t="s">
        <v>127</v>
      </c>
      <c r="V21" s="30" t="s">
        <v>127</v>
      </c>
      <c r="W21" s="30" t="s">
        <v>127</v>
      </c>
      <c r="X21" s="30" t="s">
        <v>127</v>
      </c>
      <c r="Y21" s="29" t="s">
        <v>114</v>
      </c>
      <c r="Z21" s="29" t="s">
        <v>114</v>
      </c>
      <c r="AA21" s="30" t="s">
        <v>127</v>
      </c>
      <c r="AB21" s="30" t="s">
        <v>127</v>
      </c>
      <c r="AC21" s="30" t="s">
        <v>127</v>
      </c>
      <c r="AD21" s="30" t="s">
        <v>127</v>
      </c>
      <c r="AE21" s="30" t="s">
        <v>127</v>
      </c>
      <c r="AF21" s="30"/>
      <c r="AG21" s="30"/>
      <c r="AH21" s="30"/>
      <c r="AI21" s="51">
        <f t="shared" si="0"/>
        <v>19</v>
      </c>
      <c r="AJ21" s="51">
        <f t="shared" si="1"/>
        <v>9</v>
      </c>
      <c r="AK21" s="52">
        <f t="shared" si="2"/>
        <v>19</v>
      </c>
      <c r="AL21" s="52">
        <f t="shared" si="3"/>
        <v>0</v>
      </c>
      <c r="AM21" s="52">
        <f t="shared" si="4"/>
        <v>9</v>
      </c>
      <c r="AN21" s="52">
        <f t="shared" si="5"/>
        <v>0</v>
      </c>
      <c r="AO21" s="52">
        <f t="shared" si="6"/>
        <v>0</v>
      </c>
      <c r="AP21" s="52">
        <f t="shared" si="7"/>
        <v>0</v>
      </c>
      <c r="AQ21" s="52">
        <f t="shared" si="8"/>
        <v>0</v>
      </c>
      <c r="AR21" s="52">
        <f t="shared" si="9"/>
        <v>0</v>
      </c>
      <c r="AS21" s="52">
        <f t="shared" si="10"/>
        <v>0</v>
      </c>
      <c r="AT21" s="52">
        <f t="shared" si="11"/>
        <v>0</v>
      </c>
      <c r="AU21" s="52">
        <f t="shared" si="12"/>
        <v>0</v>
      </c>
      <c r="AV21" s="52">
        <f t="shared" si="13"/>
        <v>0</v>
      </c>
      <c r="AW21" s="52">
        <f t="shared" si="14"/>
        <v>0</v>
      </c>
      <c r="AX21" s="52">
        <f t="shared" si="15"/>
        <v>0</v>
      </c>
      <c r="AY21" s="52">
        <f t="shared" si="16"/>
        <v>0</v>
      </c>
      <c r="AZ21" s="58"/>
    </row>
    <row r="22" s="10" customFormat="1" ht="32" customHeight="1" spans="1:52">
      <c r="A22" s="26">
        <v>17</v>
      </c>
      <c r="B22" s="31" t="s">
        <v>87</v>
      </c>
      <c r="C22" s="28" t="s">
        <v>88</v>
      </c>
      <c r="D22" s="29" t="s">
        <v>114</v>
      </c>
      <c r="E22" s="29" t="s">
        <v>114</v>
      </c>
      <c r="F22" s="29" t="s">
        <v>114</v>
      </c>
      <c r="G22" s="29" t="s">
        <v>114</v>
      </c>
      <c r="H22" s="30" t="s">
        <v>127</v>
      </c>
      <c r="I22" s="30" t="s">
        <v>127</v>
      </c>
      <c r="J22" s="30" t="s">
        <v>127</v>
      </c>
      <c r="K22" s="30" t="s">
        <v>127</v>
      </c>
      <c r="L22" s="29" t="s">
        <v>114</v>
      </c>
      <c r="M22" s="30" t="s">
        <v>127</v>
      </c>
      <c r="N22" s="30" t="s">
        <v>127</v>
      </c>
      <c r="O22" s="30" t="s">
        <v>127</v>
      </c>
      <c r="P22" s="30" t="s">
        <v>127</v>
      </c>
      <c r="Q22" s="30" t="s">
        <v>127</v>
      </c>
      <c r="R22" s="29" t="s">
        <v>114</v>
      </c>
      <c r="S22" s="29" t="s">
        <v>114</v>
      </c>
      <c r="T22" s="30" t="s">
        <v>127</v>
      </c>
      <c r="U22" s="30" t="s">
        <v>127</v>
      </c>
      <c r="V22" s="30" t="s">
        <v>127</v>
      </c>
      <c r="W22" s="30" t="s">
        <v>127</v>
      </c>
      <c r="X22" s="30" t="s">
        <v>127</v>
      </c>
      <c r="Y22" s="29" t="s">
        <v>114</v>
      </c>
      <c r="Z22" s="29" t="s">
        <v>114</v>
      </c>
      <c r="AA22" s="30" t="s">
        <v>127</v>
      </c>
      <c r="AB22" s="30" t="s">
        <v>127</v>
      </c>
      <c r="AC22" s="30" t="s">
        <v>127</v>
      </c>
      <c r="AD22" s="30" t="s">
        <v>127</v>
      </c>
      <c r="AE22" s="30" t="s">
        <v>127</v>
      </c>
      <c r="AF22" s="30"/>
      <c r="AG22" s="30"/>
      <c r="AH22" s="30"/>
      <c r="AI22" s="51">
        <f t="shared" si="0"/>
        <v>19</v>
      </c>
      <c r="AJ22" s="51">
        <f t="shared" si="1"/>
        <v>9</v>
      </c>
      <c r="AK22" s="52">
        <f t="shared" si="2"/>
        <v>19</v>
      </c>
      <c r="AL22" s="52">
        <f t="shared" si="3"/>
        <v>0</v>
      </c>
      <c r="AM22" s="52">
        <f t="shared" si="4"/>
        <v>9</v>
      </c>
      <c r="AN22" s="52">
        <f t="shared" si="5"/>
        <v>0</v>
      </c>
      <c r="AO22" s="52">
        <f t="shared" si="6"/>
        <v>0</v>
      </c>
      <c r="AP22" s="52">
        <f t="shared" si="7"/>
        <v>0</v>
      </c>
      <c r="AQ22" s="52">
        <f t="shared" si="8"/>
        <v>0</v>
      </c>
      <c r="AR22" s="52">
        <f t="shared" si="9"/>
        <v>0</v>
      </c>
      <c r="AS22" s="52">
        <f t="shared" si="10"/>
        <v>0</v>
      </c>
      <c r="AT22" s="52">
        <f t="shared" si="11"/>
        <v>0</v>
      </c>
      <c r="AU22" s="52">
        <f t="shared" si="12"/>
        <v>0</v>
      </c>
      <c r="AV22" s="52">
        <f t="shared" si="13"/>
        <v>0</v>
      </c>
      <c r="AW22" s="52">
        <f t="shared" si="14"/>
        <v>0</v>
      </c>
      <c r="AX22" s="52">
        <f t="shared" si="15"/>
        <v>0</v>
      </c>
      <c r="AY22" s="52">
        <f t="shared" si="16"/>
        <v>0</v>
      </c>
      <c r="AZ22" s="58"/>
    </row>
    <row r="23" s="10" customFormat="1" ht="32" customHeight="1" spans="1:52">
      <c r="A23" s="26">
        <v>18</v>
      </c>
      <c r="B23" s="31" t="s">
        <v>89</v>
      </c>
      <c r="C23" s="28" t="s">
        <v>86</v>
      </c>
      <c r="D23" s="29" t="s">
        <v>114</v>
      </c>
      <c r="E23" s="29" t="s">
        <v>114</v>
      </c>
      <c r="F23" s="29" t="s">
        <v>114</v>
      </c>
      <c r="G23" s="29" t="s">
        <v>114</v>
      </c>
      <c r="H23" s="30" t="s">
        <v>127</v>
      </c>
      <c r="I23" s="30" t="s">
        <v>127</v>
      </c>
      <c r="J23" s="30" t="s">
        <v>127</v>
      </c>
      <c r="K23" s="30" t="s">
        <v>127</v>
      </c>
      <c r="L23" s="29" t="s">
        <v>114</v>
      </c>
      <c r="M23" s="30" t="s">
        <v>127</v>
      </c>
      <c r="N23" s="30" t="s">
        <v>127</v>
      </c>
      <c r="O23" s="29" t="s">
        <v>125</v>
      </c>
      <c r="P23" s="29" t="s">
        <v>125</v>
      </c>
      <c r="Q23" s="29" t="s">
        <v>125</v>
      </c>
      <c r="R23" s="29" t="s">
        <v>114</v>
      </c>
      <c r="S23" s="29" t="s">
        <v>114</v>
      </c>
      <c r="T23" s="29" t="s">
        <v>125</v>
      </c>
      <c r="U23" s="29" t="s">
        <v>125</v>
      </c>
      <c r="V23" s="29" t="s">
        <v>125</v>
      </c>
      <c r="W23" s="29" t="s">
        <v>125</v>
      </c>
      <c r="X23" s="29" t="s">
        <v>125</v>
      </c>
      <c r="Y23" s="29" t="s">
        <v>114</v>
      </c>
      <c r="Z23" s="29" t="s">
        <v>114</v>
      </c>
      <c r="AA23" s="29" t="s">
        <v>125</v>
      </c>
      <c r="AB23" s="29" t="s">
        <v>125</v>
      </c>
      <c r="AC23" s="29" t="s">
        <v>125</v>
      </c>
      <c r="AD23" s="29" t="s">
        <v>125</v>
      </c>
      <c r="AE23" s="29" t="s">
        <v>125</v>
      </c>
      <c r="AF23" s="30"/>
      <c r="AG23" s="30"/>
      <c r="AH23" s="30"/>
      <c r="AI23" s="51">
        <f t="shared" si="0"/>
        <v>6</v>
      </c>
      <c r="AJ23" s="51">
        <f t="shared" si="1"/>
        <v>9</v>
      </c>
      <c r="AK23" s="52">
        <f t="shared" si="2"/>
        <v>6</v>
      </c>
      <c r="AL23" s="52">
        <f t="shared" si="3"/>
        <v>0</v>
      </c>
      <c r="AM23" s="52">
        <f t="shared" si="4"/>
        <v>9</v>
      </c>
      <c r="AN23" s="52">
        <f t="shared" si="5"/>
        <v>0</v>
      </c>
      <c r="AO23" s="52">
        <f t="shared" si="6"/>
        <v>0</v>
      </c>
      <c r="AP23" s="52">
        <f t="shared" si="7"/>
        <v>0</v>
      </c>
      <c r="AQ23" s="52">
        <f t="shared" si="8"/>
        <v>0</v>
      </c>
      <c r="AR23" s="52">
        <f t="shared" si="9"/>
        <v>0</v>
      </c>
      <c r="AS23" s="52">
        <f t="shared" si="10"/>
        <v>0</v>
      </c>
      <c r="AT23" s="52">
        <f t="shared" si="11"/>
        <v>0</v>
      </c>
      <c r="AU23" s="52">
        <f t="shared" si="12"/>
        <v>0</v>
      </c>
      <c r="AV23" s="52">
        <f t="shared" si="13"/>
        <v>0</v>
      </c>
      <c r="AW23" s="52">
        <f t="shared" si="14"/>
        <v>0</v>
      </c>
      <c r="AX23" s="52">
        <f t="shared" si="15"/>
        <v>13</v>
      </c>
      <c r="AY23" s="52">
        <f t="shared" si="16"/>
        <v>0</v>
      </c>
      <c r="AZ23" s="58"/>
    </row>
    <row r="24" s="11" customFormat="1" ht="32" customHeight="1" spans="1:251">
      <c r="A24" s="26">
        <v>19</v>
      </c>
      <c r="B24" s="31" t="s">
        <v>90</v>
      </c>
      <c r="C24" s="28" t="s">
        <v>86</v>
      </c>
      <c r="D24" s="29" t="s">
        <v>114</v>
      </c>
      <c r="E24" s="29" t="s">
        <v>114</v>
      </c>
      <c r="F24" s="29" t="s">
        <v>114</v>
      </c>
      <c r="G24" s="29" t="s">
        <v>114</v>
      </c>
      <c r="H24" s="30" t="s">
        <v>127</v>
      </c>
      <c r="I24" s="30" t="s">
        <v>127</v>
      </c>
      <c r="J24" s="30" t="s">
        <v>127</v>
      </c>
      <c r="K24" s="30" t="s">
        <v>127</v>
      </c>
      <c r="L24" s="29" t="s">
        <v>114</v>
      </c>
      <c r="M24" s="30" t="s">
        <v>127</v>
      </c>
      <c r="N24" s="30" t="s">
        <v>127</v>
      </c>
      <c r="O24" s="30" t="s">
        <v>127</v>
      </c>
      <c r="P24" s="30" t="s">
        <v>127</v>
      </c>
      <c r="Q24" s="30" t="s">
        <v>127</v>
      </c>
      <c r="R24" s="29" t="s">
        <v>114</v>
      </c>
      <c r="S24" s="29" t="s">
        <v>114</v>
      </c>
      <c r="T24" s="30" t="s">
        <v>127</v>
      </c>
      <c r="U24" s="30" t="s">
        <v>127</v>
      </c>
      <c r="V24" s="30" t="s">
        <v>127</v>
      </c>
      <c r="W24" s="30" t="s">
        <v>127</v>
      </c>
      <c r="X24" s="30" t="s">
        <v>127</v>
      </c>
      <c r="Y24" s="29" t="s">
        <v>114</v>
      </c>
      <c r="Z24" s="29" t="s">
        <v>114</v>
      </c>
      <c r="AA24" s="30" t="s">
        <v>127</v>
      </c>
      <c r="AB24" s="30" t="s">
        <v>127</v>
      </c>
      <c r="AC24" s="30" t="s">
        <v>127</v>
      </c>
      <c r="AD24" s="30" t="s">
        <v>127</v>
      </c>
      <c r="AE24" s="30" t="s">
        <v>127</v>
      </c>
      <c r="AF24" s="30"/>
      <c r="AG24" s="30"/>
      <c r="AH24" s="30"/>
      <c r="AI24" s="51">
        <f t="shared" si="0"/>
        <v>19</v>
      </c>
      <c r="AJ24" s="51">
        <f t="shared" si="1"/>
        <v>9</v>
      </c>
      <c r="AK24" s="52">
        <f t="shared" si="2"/>
        <v>19</v>
      </c>
      <c r="AL24" s="52">
        <f t="shared" si="3"/>
        <v>0</v>
      </c>
      <c r="AM24" s="52">
        <f t="shared" si="4"/>
        <v>9</v>
      </c>
      <c r="AN24" s="52">
        <f t="shared" si="5"/>
        <v>0</v>
      </c>
      <c r="AO24" s="52">
        <f t="shared" si="6"/>
        <v>0</v>
      </c>
      <c r="AP24" s="52">
        <f t="shared" si="7"/>
        <v>0</v>
      </c>
      <c r="AQ24" s="52">
        <f t="shared" si="8"/>
        <v>0</v>
      </c>
      <c r="AR24" s="52">
        <f t="shared" si="9"/>
        <v>0</v>
      </c>
      <c r="AS24" s="52">
        <f t="shared" si="10"/>
        <v>0</v>
      </c>
      <c r="AT24" s="52">
        <f t="shared" si="11"/>
        <v>0</v>
      </c>
      <c r="AU24" s="52">
        <f t="shared" si="12"/>
        <v>0</v>
      </c>
      <c r="AV24" s="52">
        <f t="shared" si="13"/>
        <v>0</v>
      </c>
      <c r="AW24" s="52">
        <f t="shared" si="14"/>
        <v>0</v>
      </c>
      <c r="AX24" s="52">
        <f t="shared" si="15"/>
        <v>0</v>
      </c>
      <c r="AY24" s="52">
        <f t="shared" si="16"/>
        <v>0</v>
      </c>
      <c r="AZ24" s="58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</row>
    <row r="25" s="11" customFormat="1" ht="32" customHeight="1" spans="1:251">
      <c r="A25" s="26">
        <v>20</v>
      </c>
      <c r="B25" s="31" t="s">
        <v>91</v>
      </c>
      <c r="C25" s="28" t="s">
        <v>77</v>
      </c>
      <c r="D25" s="29" t="s">
        <v>114</v>
      </c>
      <c r="E25" s="29" t="s">
        <v>114</v>
      </c>
      <c r="F25" s="29" t="s">
        <v>114</v>
      </c>
      <c r="G25" s="29" t="s">
        <v>114</v>
      </c>
      <c r="H25" s="30" t="s">
        <v>127</v>
      </c>
      <c r="I25" s="30" t="s">
        <v>127</v>
      </c>
      <c r="J25" s="30" t="s">
        <v>127</v>
      </c>
      <c r="K25" s="29" t="s">
        <v>115</v>
      </c>
      <c r="L25" s="29" t="s">
        <v>114</v>
      </c>
      <c r="M25" s="30" t="s">
        <v>127</v>
      </c>
      <c r="N25" s="30" t="s">
        <v>127</v>
      </c>
      <c r="O25" s="29" t="s">
        <v>116</v>
      </c>
      <c r="P25" s="30" t="s">
        <v>127</v>
      </c>
      <c r="Q25" s="30" t="s">
        <v>127</v>
      </c>
      <c r="R25" s="29" t="s">
        <v>114</v>
      </c>
      <c r="S25" s="29" t="s">
        <v>114</v>
      </c>
      <c r="T25" s="30" t="s">
        <v>127</v>
      </c>
      <c r="U25" s="30" t="s">
        <v>127</v>
      </c>
      <c r="V25" s="30" t="s">
        <v>127</v>
      </c>
      <c r="W25" s="29" t="s">
        <v>115</v>
      </c>
      <c r="X25" s="29" t="s">
        <v>115</v>
      </c>
      <c r="Y25" s="29" t="s">
        <v>114</v>
      </c>
      <c r="Z25" s="29" t="s">
        <v>114</v>
      </c>
      <c r="AA25" s="30" t="s">
        <v>127</v>
      </c>
      <c r="AB25" s="30" t="s">
        <v>127</v>
      </c>
      <c r="AC25" s="30" t="s">
        <v>127</v>
      </c>
      <c r="AD25" s="30" t="s">
        <v>127</v>
      </c>
      <c r="AE25" s="30" t="s">
        <v>127</v>
      </c>
      <c r="AF25" s="30"/>
      <c r="AG25" s="30"/>
      <c r="AH25" s="30"/>
      <c r="AI25" s="51">
        <f t="shared" si="0"/>
        <v>15</v>
      </c>
      <c r="AJ25" s="51">
        <f t="shared" si="1"/>
        <v>9</v>
      </c>
      <c r="AK25" s="52">
        <f t="shared" si="2"/>
        <v>15</v>
      </c>
      <c r="AL25" s="52">
        <f t="shared" si="3"/>
        <v>0</v>
      </c>
      <c r="AM25" s="52">
        <f t="shared" si="4"/>
        <v>9</v>
      </c>
      <c r="AN25" s="52">
        <f t="shared" si="5"/>
        <v>3</v>
      </c>
      <c r="AO25" s="52">
        <f t="shared" si="6"/>
        <v>1</v>
      </c>
      <c r="AP25" s="52">
        <f t="shared" si="7"/>
        <v>0</v>
      </c>
      <c r="AQ25" s="52">
        <f t="shared" si="8"/>
        <v>0</v>
      </c>
      <c r="AR25" s="52">
        <f t="shared" si="9"/>
        <v>0</v>
      </c>
      <c r="AS25" s="52">
        <f t="shared" si="10"/>
        <v>0</v>
      </c>
      <c r="AT25" s="52">
        <f t="shared" si="11"/>
        <v>0</v>
      </c>
      <c r="AU25" s="52">
        <f t="shared" si="12"/>
        <v>0</v>
      </c>
      <c r="AV25" s="52">
        <f t="shared" si="13"/>
        <v>0</v>
      </c>
      <c r="AW25" s="52">
        <f t="shared" si="14"/>
        <v>0</v>
      </c>
      <c r="AX25" s="52">
        <f t="shared" si="15"/>
        <v>0</v>
      </c>
      <c r="AY25" s="52">
        <f t="shared" si="16"/>
        <v>0</v>
      </c>
      <c r="AZ25" s="58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</row>
    <row r="26" s="11" customFormat="1" ht="32" customHeight="1" spans="1:251">
      <c r="A26" s="26">
        <v>21</v>
      </c>
      <c r="B26" s="31" t="s">
        <v>92</v>
      </c>
      <c r="C26" s="28" t="s">
        <v>93</v>
      </c>
      <c r="D26" s="29" t="s">
        <v>114</v>
      </c>
      <c r="E26" s="29" t="s">
        <v>114</v>
      </c>
      <c r="F26" s="29" t="s">
        <v>114</v>
      </c>
      <c r="G26" s="29" t="s">
        <v>114</v>
      </c>
      <c r="H26" s="30" t="s">
        <v>127</v>
      </c>
      <c r="I26" s="30" t="s">
        <v>127</v>
      </c>
      <c r="J26" s="30" t="s">
        <v>127</v>
      </c>
      <c r="K26" s="30" t="s">
        <v>127</v>
      </c>
      <c r="L26" s="29" t="s">
        <v>114</v>
      </c>
      <c r="M26" s="30" t="s">
        <v>127</v>
      </c>
      <c r="N26" s="30" t="s">
        <v>127</v>
      </c>
      <c r="O26" s="30" t="s">
        <v>127</v>
      </c>
      <c r="P26" s="30" t="s">
        <v>127</v>
      </c>
      <c r="Q26" s="30" t="s">
        <v>127</v>
      </c>
      <c r="R26" s="29" t="s">
        <v>114</v>
      </c>
      <c r="S26" s="29" t="s">
        <v>114</v>
      </c>
      <c r="T26" s="30" t="s">
        <v>127</v>
      </c>
      <c r="U26" s="30" t="s">
        <v>127</v>
      </c>
      <c r="V26" s="30" t="s">
        <v>127</v>
      </c>
      <c r="W26" s="30" t="s">
        <v>127</v>
      </c>
      <c r="X26" s="30" t="s">
        <v>127</v>
      </c>
      <c r="Y26" s="29" t="s">
        <v>114</v>
      </c>
      <c r="Z26" s="29" t="s">
        <v>114</v>
      </c>
      <c r="AA26" s="30" t="s">
        <v>127</v>
      </c>
      <c r="AB26" s="30" t="s">
        <v>127</v>
      </c>
      <c r="AC26" s="30" t="s">
        <v>127</v>
      </c>
      <c r="AD26" s="30" t="s">
        <v>127</v>
      </c>
      <c r="AE26" s="30" t="s">
        <v>127</v>
      </c>
      <c r="AF26" s="30"/>
      <c r="AG26" s="30"/>
      <c r="AH26" s="30"/>
      <c r="AI26" s="51">
        <f t="shared" si="0"/>
        <v>19</v>
      </c>
      <c r="AJ26" s="51">
        <f t="shared" si="1"/>
        <v>9</v>
      </c>
      <c r="AK26" s="52">
        <f t="shared" si="2"/>
        <v>19</v>
      </c>
      <c r="AL26" s="52">
        <f t="shared" si="3"/>
        <v>0</v>
      </c>
      <c r="AM26" s="52">
        <f t="shared" si="4"/>
        <v>9</v>
      </c>
      <c r="AN26" s="52">
        <f t="shared" si="5"/>
        <v>0</v>
      </c>
      <c r="AO26" s="52">
        <f t="shared" si="6"/>
        <v>0</v>
      </c>
      <c r="AP26" s="52">
        <f t="shared" si="7"/>
        <v>0</v>
      </c>
      <c r="AQ26" s="52">
        <f t="shared" si="8"/>
        <v>0</v>
      </c>
      <c r="AR26" s="52">
        <f t="shared" si="9"/>
        <v>0</v>
      </c>
      <c r="AS26" s="52">
        <f t="shared" si="10"/>
        <v>0</v>
      </c>
      <c r="AT26" s="52">
        <f t="shared" si="11"/>
        <v>0</v>
      </c>
      <c r="AU26" s="52">
        <f t="shared" si="12"/>
        <v>0</v>
      </c>
      <c r="AV26" s="52">
        <f t="shared" si="13"/>
        <v>0</v>
      </c>
      <c r="AW26" s="52">
        <f t="shared" si="14"/>
        <v>0</v>
      </c>
      <c r="AX26" s="52">
        <f t="shared" si="15"/>
        <v>0</v>
      </c>
      <c r="AY26" s="52">
        <f t="shared" si="16"/>
        <v>0</v>
      </c>
      <c r="AZ26" s="58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</row>
    <row r="27" s="11" customFormat="1" ht="32" customHeight="1" spans="1:251">
      <c r="A27" s="26">
        <v>22</v>
      </c>
      <c r="B27" s="32" t="s">
        <v>94</v>
      </c>
      <c r="C27" s="33" t="s">
        <v>95</v>
      </c>
      <c r="D27" s="29" t="s">
        <v>114</v>
      </c>
      <c r="E27" s="29" t="s">
        <v>114</v>
      </c>
      <c r="F27" s="29" t="s">
        <v>114</v>
      </c>
      <c r="G27" s="29" t="s">
        <v>114</v>
      </c>
      <c r="H27" s="30" t="s">
        <v>127</v>
      </c>
      <c r="I27" s="30" t="s">
        <v>127</v>
      </c>
      <c r="J27" s="30" t="s">
        <v>127</v>
      </c>
      <c r="K27" s="30" t="s">
        <v>127</v>
      </c>
      <c r="L27" s="29" t="s">
        <v>114</v>
      </c>
      <c r="M27" s="30" t="s">
        <v>127</v>
      </c>
      <c r="N27" s="30" t="s">
        <v>127</v>
      </c>
      <c r="O27" s="30" t="s">
        <v>127</v>
      </c>
      <c r="P27" s="30" t="s">
        <v>127</v>
      </c>
      <c r="Q27" s="30" t="s">
        <v>127</v>
      </c>
      <c r="R27" s="29" t="s">
        <v>114</v>
      </c>
      <c r="S27" s="29" t="s">
        <v>114</v>
      </c>
      <c r="T27" s="30" t="s">
        <v>127</v>
      </c>
      <c r="U27" s="30" t="s">
        <v>127</v>
      </c>
      <c r="V27" s="30" t="s">
        <v>127</v>
      </c>
      <c r="W27" s="30" t="s">
        <v>127</v>
      </c>
      <c r="X27" s="30" t="s">
        <v>127</v>
      </c>
      <c r="Y27" s="29" t="s">
        <v>114</v>
      </c>
      <c r="Z27" s="29" t="s">
        <v>114</v>
      </c>
      <c r="AA27" s="30" t="s">
        <v>127</v>
      </c>
      <c r="AB27" s="30" t="s">
        <v>127</v>
      </c>
      <c r="AC27" s="30" t="s">
        <v>127</v>
      </c>
      <c r="AD27" s="30" t="s">
        <v>127</v>
      </c>
      <c r="AE27" s="30" t="s">
        <v>127</v>
      </c>
      <c r="AF27" s="30"/>
      <c r="AG27" s="30"/>
      <c r="AH27" s="30"/>
      <c r="AI27" s="51">
        <f t="shared" si="0"/>
        <v>19</v>
      </c>
      <c r="AJ27" s="51">
        <f t="shared" si="1"/>
        <v>9</v>
      </c>
      <c r="AK27" s="52">
        <f t="shared" si="2"/>
        <v>19</v>
      </c>
      <c r="AL27" s="52">
        <f t="shared" si="3"/>
        <v>0</v>
      </c>
      <c r="AM27" s="52">
        <f t="shared" si="4"/>
        <v>9</v>
      </c>
      <c r="AN27" s="52">
        <f t="shared" si="5"/>
        <v>0</v>
      </c>
      <c r="AO27" s="52">
        <f t="shared" si="6"/>
        <v>0</v>
      </c>
      <c r="AP27" s="52">
        <f t="shared" si="7"/>
        <v>0</v>
      </c>
      <c r="AQ27" s="52">
        <f t="shared" si="8"/>
        <v>0</v>
      </c>
      <c r="AR27" s="52">
        <f t="shared" si="9"/>
        <v>0</v>
      </c>
      <c r="AS27" s="52">
        <f t="shared" si="10"/>
        <v>0</v>
      </c>
      <c r="AT27" s="52">
        <f t="shared" si="11"/>
        <v>0</v>
      </c>
      <c r="AU27" s="52">
        <f t="shared" si="12"/>
        <v>0</v>
      </c>
      <c r="AV27" s="52">
        <f t="shared" si="13"/>
        <v>0</v>
      </c>
      <c r="AW27" s="52">
        <f t="shared" si="14"/>
        <v>0</v>
      </c>
      <c r="AX27" s="52">
        <f t="shared" si="15"/>
        <v>0</v>
      </c>
      <c r="AY27" s="52">
        <f t="shared" si="16"/>
        <v>0</v>
      </c>
      <c r="AZ27" s="58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</row>
    <row r="28" s="11" customFormat="1" ht="32" customHeight="1" spans="1:251">
      <c r="A28" s="26">
        <v>23</v>
      </c>
      <c r="B28" s="32" t="s">
        <v>96</v>
      </c>
      <c r="C28" s="33" t="s">
        <v>97</v>
      </c>
      <c r="D28" s="29" t="s">
        <v>114</v>
      </c>
      <c r="E28" s="29" t="s">
        <v>114</v>
      </c>
      <c r="F28" s="29" t="s">
        <v>114</v>
      </c>
      <c r="G28" s="29" t="s">
        <v>114</v>
      </c>
      <c r="H28" s="30" t="s">
        <v>127</v>
      </c>
      <c r="I28" s="30" t="s">
        <v>127</v>
      </c>
      <c r="J28" s="30" t="s">
        <v>127</v>
      </c>
      <c r="K28" s="30" t="s">
        <v>127</v>
      </c>
      <c r="L28" s="29" t="s">
        <v>114</v>
      </c>
      <c r="M28" s="30" t="s">
        <v>127</v>
      </c>
      <c r="N28" s="30" t="s">
        <v>127</v>
      </c>
      <c r="O28" s="30" t="s">
        <v>127</v>
      </c>
      <c r="P28" s="30" t="s">
        <v>127</v>
      </c>
      <c r="Q28" s="30" t="s">
        <v>127</v>
      </c>
      <c r="R28" s="29" t="s">
        <v>114</v>
      </c>
      <c r="S28" s="29" t="s">
        <v>114</v>
      </c>
      <c r="T28" s="30" t="s">
        <v>127</v>
      </c>
      <c r="U28" s="30" t="s">
        <v>127</v>
      </c>
      <c r="V28" s="30" t="s">
        <v>127</v>
      </c>
      <c r="W28" s="30" t="s">
        <v>127</v>
      </c>
      <c r="X28" s="30" t="s">
        <v>127</v>
      </c>
      <c r="Y28" s="29" t="s">
        <v>114</v>
      </c>
      <c r="Z28" s="29" t="s">
        <v>114</v>
      </c>
      <c r="AA28" s="30" t="s">
        <v>127</v>
      </c>
      <c r="AB28" s="30" t="s">
        <v>127</v>
      </c>
      <c r="AC28" s="30" t="s">
        <v>127</v>
      </c>
      <c r="AD28" s="30" t="s">
        <v>127</v>
      </c>
      <c r="AE28" s="30" t="s">
        <v>127</v>
      </c>
      <c r="AF28" s="30"/>
      <c r="AG28" s="30"/>
      <c r="AH28" s="30"/>
      <c r="AI28" s="51">
        <f t="shared" si="0"/>
        <v>19</v>
      </c>
      <c r="AJ28" s="51">
        <f t="shared" si="1"/>
        <v>9</v>
      </c>
      <c r="AK28" s="52">
        <f t="shared" si="2"/>
        <v>19</v>
      </c>
      <c r="AL28" s="52">
        <f t="shared" si="3"/>
        <v>0</v>
      </c>
      <c r="AM28" s="52">
        <f t="shared" si="4"/>
        <v>9</v>
      </c>
      <c r="AN28" s="52">
        <f t="shared" si="5"/>
        <v>0</v>
      </c>
      <c r="AO28" s="52">
        <f t="shared" si="6"/>
        <v>0</v>
      </c>
      <c r="AP28" s="52">
        <f t="shared" si="7"/>
        <v>0</v>
      </c>
      <c r="AQ28" s="52">
        <f t="shared" si="8"/>
        <v>0</v>
      </c>
      <c r="AR28" s="52">
        <f t="shared" si="9"/>
        <v>0</v>
      </c>
      <c r="AS28" s="52">
        <f t="shared" si="10"/>
        <v>0</v>
      </c>
      <c r="AT28" s="52">
        <f t="shared" si="11"/>
        <v>0</v>
      </c>
      <c r="AU28" s="52">
        <f t="shared" si="12"/>
        <v>0</v>
      </c>
      <c r="AV28" s="52">
        <f t="shared" si="13"/>
        <v>0</v>
      </c>
      <c r="AW28" s="52">
        <f t="shared" si="14"/>
        <v>0</v>
      </c>
      <c r="AX28" s="52">
        <f t="shared" si="15"/>
        <v>0</v>
      </c>
      <c r="AY28" s="52">
        <f t="shared" si="16"/>
        <v>0</v>
      </c>
      <c r="AZ28" s="58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</row>
    <row r="29" s="11" customFormat="1" ht="20" customHeight="1" spans="1:251">
      <c r="A29" s="10"/>
      <c r="B29" s="34" t="s">
        <v>99</v>
      </c>
      <c r="C29" s="35" t="s">
        <v>128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53"/>
      <c r="AJ29" s="54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9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</row>
    <row r="30" ht="24" customHeight="1" spans="4:35">
      <c r="D30" s="10"/>
      <c r="E30" s="10" t="s">
        <v>101</v>
      </c>
      <c r="K30" s="10"/>
      <c r="L30" s="10"/>
      <c r="M30" s="10"/>
      <c r="N30" s="10"/>
      <c r="R30" s="10"/>
      <c r="S30" s="10"/>
      <c r="U30" s="41"/>
      <c r="V30" s="41" t="s">
        <v>102</v>
      </c>
      <c r="Y30" s="10"/>
      <c r="Z30" s="10"/>
      <c r="AF30" s="10"/>
      <c r="AG30" s="10"/>
      <c r="AI30" s="10" t="s">
        <v>103</v>
      </c>
    </row>
    <row r="31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showZeros="0" workbookViewId="0">
      <selection activeCell="H22" sqref="H22"/>
    </sheetView>
  </sheetViews>
  <sheetFormatPr defaultColWidth="9" defaultRowHeight="30" customHeight="1" outlineLevelCol="7"/>
  <cols>
    <col min="1" max="2" width="9" style="1"/>
    <col min="3" max="3" width="12.8715596330275" style="1" customWidth="1"/>
    <col min="4" max="4" width="17.6238532110092" style="5" customWidth="1"/>
    <col min="5" max="5" width="18.5045871559633" style="5" customWidth="1"/>
    <col min="6" max="6" width="12.6238532110092" style="5"/>
    <col min="7" max="7" width="9" style="1"/>
    <col min="8" max="8" width="12.6605504587156" style="5"/>
    <col min="9" max="16384" width="9" style="1"/>
  </cols>
  <sheetData>
    <row r="1" ht="15" customHeight="1"/>
    <row r="2" ht="15" customHeight="1" spans="1:7">
      <c r="A2" s="6" t="s">
        <v>29</v>
      </c>
      <c r="B2" s="6" t="s">
        <v>30</v>
      </c>
      <c r="C2" s="6" t="s">
        <v>20</v>
      </c>
      <c r="D2" s="7" t="s">
        <v>8</v>
      </c>
      <c r="E2" s="7" t="s">
        <v>129</v>
      </c>
      <c r="F2" s="7" t="s">
        <v>130</v>
      </c>
      <c r="G2" s="6" t="s">
        <v>5</v>
      </c>
    </row>
    <row r="3" ht="15" customHeight="1" spans="1:7">
      <c r="A3" s="2">
        <v>1</v>
      </c>
      <c r="B3" s="2" t="s">
        <v>45</v>
      </c>
      <c r="C3" s="2">
        <v>19</v>
      </c>
      <c r="D3" s="8">
        <f>(VLOOKUP(B3,工资表!B5:G27,6,0)+VLOOKUP(B3,工资表!B5:H27,7,0))/工资表!F5*VLOOKUP(B3,考勤!B6:AI28,34,0)</f>
        <v>5000</v>
      </c>
      <c r="E3" s="8">
        <f>VLOOKUP(B3,工资表!B5:R27,17,0)</f>
        <v>5000</v>
      </c>
      <c r="F3" s="8">
        <f>D3-E3</f>
        <v>0</v>
      </c>
      <c r="G3" s="2"/>
    </row>
    <row r="4" ht="15" customHeight="1" spans="1:7">
      <c r="A4" s="2">
        <v>2</v>
      </c>
      <c r="B4" s="2" t="s">
        <v>48</v>
      </c>
      <c r="C4" s="2">
        <v>19</v>
      </c>
      <c r="D4" s="8">
        <f>(VLOOKUP(B4,工资表!B6:G28,6,0)+VLOOKUP(B4,工资表!B6:H28,7,0))/工资表!F6*VLOOKUP(B4,考勤!B7:AI29,34,0)</f>
        <v>5000</v>
      </c>
      <c r="E4" s="8">
        <f>VLOOKUP(B4,工资表!B6:R28,17,0)</f>
        <v>5000</v>
      </c>
      <c r="F4" s="8">
        <f t="shared" ref="F4:F25" si="0">D4-E4</f>
        <v>0</v>
      </c>
      <c r="G4" s="2"/>
    </row>
    <row r="5" ht="15" customHeight="1" spans="1:7">
      <c r="A5" s="2">
        <v>3</v>
      </c>
      <c r="B5" s="2" t="s">
        <v>50</v>
      </c>
      <c r="C5" s="2">
        <v>19</v>
      </c>
      <c r="D5" s="8">
        <f>(VLOOKUP(B5,工资表!B7:G29,6,0)+VLOOKUP(B5,工资表!B7:H29,7,0))/工资表!F7*VLOOKUP(B5,考勤!B8:AI30,34,0)</f>
        <v>45000</v>
      </c>
      <c r="E5" s="8">
        <f>VLOOKUP(B5,工资表!B7:R29,17,0)</f>
        <v>45000</v>
      </c>
      <c r="F5" s="8">
        <f t="shared" si="0"/>
        <v>0</v>
      </c>
      <c r="G5" s="2"/>
    </row>
    <row r="6" ht="15" customHeight="1" spans="1:7">
      <c r="A6" s="2">
        <v>4</v>
      </c>
      <c r="B6" s="2" t="s">
        <v>53</v>
      </c>
      <c r="C6" s="2">
        <v>19</v>
      </c>
      <c r="D6" s="8">
        <f>(VLOOKUP(B6,工资表!B8:G30,6,0)+VLOOKUP(B6,工资表!B8:H30,7,0))/工资表!F8*VLOOKUP(B6,考勤!B9:AI31,34,0)</f>
        <v>37500</v>
      </c>
      <c r="E6" s="8">
        <f>VLOOKUP(B6,工资表!B8:R30,17,0)</f>
        <v>32462.23</v>
      </c>
      <c r="F6" s="8">
        <f t="shared" si="0"/>
        <v>5037.77</v>
      </c>
      <c r="G6" s="2" t="s">
        <v>55</v>
      </c>
    </row>
    <row r="7" ht="15" customHeight="1" spans="1:7">
      <c r="A7" s="2">
        <v>5</v>
      </c>
      <c r="B7" s="2" t="s">
        <v>56</v>
      </c>
      <c r="C7" s="2">
        <v>19</v>
      </c>
      <c r="D7" s="8">
        <f>(VLOOKUP(B7,工资表!B9:G31,6,0)+VLOOKUP(B7,工资表!B9:H31,7,0))/工资表!F9*VLOOKUP(B7,考勤!B10:AI32,34,0)</f>
        <v>22500</v>
      </c>
      <c r="E7" s="8">
        <f>VLOOKUP(B7,工资表!B9:R31,17,0)</f>
        <v>22500</v>
      </c>
      <c r="F7" s="8">
        <f t="shared" si="0"/>
        <v>0</v>
      </c>
      <c r="G7" s="2"/>
    </row>
    <row r="8" ht="15" customHeight="1" spans="1:7">
      <c r="A8" s="2">
        <v>6</v>
      </c>
      <c r="B8" s="2" t="s">
        <v>59</v>
      </c>
      <c r="C8" s="2">
        <v>18</v>
      </c>
      <c r="D8" s="8">
        <f>(VLOOKUP(B8,工资表!B10:G32,6,0)+VLOOKUP(B8,工资表!B10:H32,7,0))/工资表!F10*VLOOKUP(B8,考勤!B11:AI33,34,0)</f>
        <v>17763.1578947368</v>
      </c>
      <c r="E8" s="8">
        <f>VLOOKUP(B8,工资表!B10:R32,17,0)</f>
        <v>16150.1578947368</v>
      </c>
      <c r="F8" s="8">
        <f t="shared" si="0"/>
        <v>1613</v>
      </c>
      <c r="G8" s="2" t="s">
        <v>131</v>
      </c>
    </row>
    <row r="9" ht="15" customHeight="1" spans="1:7">
      <c r="A9" s="2">
        <v>7</v>
      </c>
      <c r="B9" s="2" t="s">
        <v>63</v>
      </c>
      <c r="C9" s="2">
        <v>19</v>
      </c>
      <c r="D9" s="8">
        <f>(VLOOKUP(B9,工资表!B11:G33,6,0)+VLOOKUP(B9,工资表!B11:H33,7,0))/工资表!F11*VLOOKUP(B9,考勤!B12:AI34,34,0)</f>
        <v>20400</v>
      </c>
      <c r="E9" s="8">
        <f>VLOOKUP(B9,工资表!B11:R33,17,0)</f>
        <v>20380</v>
      </c>
      <c r="F9" s="8">
        <f t="shared" si="0"/>
        <v>20</v>
      </c>
      <c r="G9" s="2" t="s">
        <v>132</v>
      </c>
    </row>
    <row r="10" ht="15" customHeight="1" spans="1:7">
      <c r="A10" s="2">
        <v>8</v>
      </c>
      <c r="B10" s="2" t="s">
        <v>67</v>
      </c>
      <c r="C10" s="2">
        <v>19</v>
      </c>
      <c r="D10" s="8">
        <f>(VLOOKUP(B10,工资表!B12:G34,6,0)+VLOOKUP(B10,工资表!B12:H34,7,0))/工资表!F12*VLOOKUP(B10,考勤!B13:AI35,34,0)</f>
        <v>17000</v>
      </c>
      <c r="E10" s="8">
        <f>VLOOKUP(B10,工资表!B12:R34,17,0)</f>
        <v>17000</v>
      </c>
      <c r="F10" s="8">
        <f t="shared" si="0"/>
        <v>0</v>
      </c>
      <c r="G10" s="2"/>
    </row>
    <row r="11" ht="15" customHeight="1" spans="1:7">
      <c r="A11" s="2">
        <v>9</v>
      </c>
      <c r="B11" s="2" t="s">
        <v>69</v>
      </c>
      <c r="C11" s="2">
        <v>18</v>
      </c>
      <c r="D11" s="8">
        <f>(VLOOKUP(B11,工资表!B13:G35,6,0)+VLOOKUP(B11,工资表!B13:H35,7,0))/工资表!F13*VLOOKUP(B11,考勤!B14:AI36,34,0)</f>
        <v>11684.2105263158</v>
      </c>
      <c r="E11" s="8">
        <f>VLOOKUP(B11,工资表!B13:R35,17,0)</f>
        <v>11684.2105263158</v>
      </c>
      <c r="F11" s="8">
        <f t="shared" si="0"/>
        <v>0</v>
      </c>
      <c r="G11" s="2"/>
    </row>
    <row r="12" ht="15" customHeight="1" spans="1:7">
      <c r="A12" s="2">
        <v>10</v>
      </c>
      <c r="B12" s="2" t="s">
        <v>71</v>
      </c>
      <c r="C12" s="2">
        <v>19</v>
      </c>
      <c r="D12" s="8">
        <f>(VLOOKUP(B12,工资表!B14:G36,6,0)+VLOOKUP(B12,工资表!B14:H36,7,0))/工资表!F14*VLOOKUP(B12,考勤!B15:AI37,34,0)</f>
        <v>7500</v>
      </c>
      <c r="E12" s="8">
        <f>VLOOKUP(B12,工资表!B14:R36,17,0)</f>
        <v>7480</v>
      </c>
      <c r="F12" s="8">
        <f t="shared" si="0"/>
        <v>20</v>
      </c>
      <c r="G12" s="2" t="s">
        <v>132</v>
      </c>
    </row>
    <row r="13" ht="15" customHeight="1" spans="1:7">
      <c r="A13" s="2">
        <v>11</v>
      </c>
      <c r="B13" s="2" t="s">
        <v>74</v>
      </c>
      <c r="C13" s="2">
        <v>19</v>
      </c>
      <c r="D13" s="8">
        <f>(VLOOKUP(B13,工资表!B15:G37,6,0)+VLOOKUP(B13,工资表!B15:H37,7,0))/工资表!F15*VLOOKUP(B13,考勤!B16:AI38,34,0)</f>
        <v>8000</v>
      </c>
      <c r="E13" s="8">
        <f>VLOOKUP(B13,工资表!B15:R37,17,0)</f>
        <v>7999.99999999999</v>
      </c>
      <c r="F13" s="8">
        <f t="shared" si="0"/>
        <v>1.00044417195022e-11</v>
      </c>
      <c r="G13" s="2"/>
    </row>
    <row r="14" ht="15" customHeight="1" spans="1:8">
      <c r="A14" s="2">
        <v>12</v>
      </c>
      <c r="B14" s="2" t="s">
        <v>76</v>
      </c>
      <c r="C14" s="2">
        <v>16</v>
      </c>
      <c r="D14" s="8">
        <f>(VLOOKUP(B14,工资表!B16:G38,6,0)+VLOOKUP(B14,工资表!B16:H38,7,0))/工资表!F16*VLOOKUP(B14,考勤!B17:AI39,34,0)</f>
        <v>6324.21052631579</v>
      </c>
      <c r="E14" s="8">
        <f>VLOOKUP(B14,工资表!B16:R38,17,0)</f>
        <v>6893.3894736842</v>
      </c>
      <c r="F14" s="8">
        <f t="shared" si="0"/>
        <v>-569.17894736841</v>
      </c>
      <c r="G14" s="2" t="s">
        <v>115</v>
      </c>
      <c r="H14" s="5">
        <f>316.21*0.6*3</f>
        <v>569.178</v>
      </c>
    </row>
    <row r="15" ht="15" customHeight="1" spans="1:7">
      <c r="A15" s="2">
        <v>13</v>
      </c>
      <c r="B15" s="2" t="s">
        <v>79</v>
      </c>
      <c r="C15" s="2">
        <v>19</v>
      </c>
      <c r="D15" s="8">
        <f>(VLOOKUP(B15,工资表!B17:G39,6,0)+VLOOKUP(B15,工资表!B17:H39,7,0))/工资表!F17*VLOOKUP(B15,考勤!B18:AI40,34,0)</f>
        <v>6330</v>
      </c>
      <c r="E15" s="8">
        <f>VLOOKUP(B15,工资表!B17:R39,17,0)</f>
        <v>6290.00000000001</v>
      </c>
      <c r="F15" s="8">
        <f t="shared" si="0"/>
        <v>39.99999999999</v>
      </c>
      <c r="G15" s="2" t="s">
        <v>132</v>
      </c>
    </row>
    <row r="16" ht="15" customHeight="1" spans="1:7">
      <c r="A16" s="2">
        <v>14</v>
      </c>
      <c r="B16" s="2" t="s">
        <v>81</v>
      </c>
      <c r="C16" s="2">
        <v>19</v>
      </c>
      <c r="D16" s="8">
        <f>(VLOOKUP(B16,工资表!B18:G40,6,0)+VLOOKUP(B16,工资表!B18:H40,7,0))/工资表!F18*VLOOKUP(B16,考勤!B19:AI41,34,0)</f>
        <v>5500</v>
      </c>
      <c r="E16" s="8">
        <f>VLOOKUP(B16,工资表!B18:R40,17,0)</f>
        <v>5480</v>
      </c>
      <c r="F16" s="8">
        <f t="shared" si="0"/>
        <v>20</v>
      </c>
      <c r="G16" s="2" t="s">
        <v>132</v>
      </c>
    </row>
    <row r="17" ht="15" customHeight="1" spans="1:7">
      <c r="A17" s="2">
        <v>15</v>
      </c>
      <c r="B17" s="2" t="s">
        <v>83</v>
      </c>
      <c r="C17" s="2">
        <v>19</v>
      </c>
      <c r="D17" s="8">
        <f>(VLOOKUP(B17,工资表!B19:G41,6,0)+VLOOKUP(B17,工资表!B19:H41,7,0))/工资表!F19*VLOOKUP(B17,考勤!B20:AI42,34,0)</f>
        <v>5500</v>
      </c>
      <c r="E17" s="8">
        <f>VLOOKUP(B17,工资表!B19:R41,17,0)</f>
        <v>5500</v>
      </c>
      <c r="F17" s="8">
        <f t="shared" si="0"/>
        <v>0</v>
      </c>
      <c r="G17" s="2"/>
    </row>
    <row r="18" ht="15" customHeight="1" spans="1:7">
      <c r="A18" s="2">
        <v>16</v>
      </c>
      <c r="B18" s="2" t="s">
        <v>85</v>
      </c>
      <c r="C18" s="2">
        <v>19</v>
      </c>
      <c r="D18" s="8">
        <f>(VLOOKUP(B18,工资表!B20:G42,6,0)+VLOOKUP(B18,工资表!B20:H42,7,0))/工资表!F20*VLOOKUP(B18,考勤!B21:AI43,34,0)</f>
        <v>7800</v>
      </c>
      <c r="E18" s="8">
        <f>VLOOKUP(B18,工资表!B20:R42,17,0)</f>
        <v>7800</v>
      </c>
      <c r="F18" s="8">
        <f t="shared" si="0"/>
        <v>0</v>
      </c>
      <c r="G18" s="2"/>
    </row>
    <row r="19" ht="15" customHeight="1" spans="1:7">
      <c r="A19" s="2">
        <v>17</v>
      </c>
      <c r="B19" s="2" t="s">
        <v>87</v>
      </c>
      <c r="C19" s="2">
        <v>19</v>
      </c>
      <c r="D19" s="8">
        <f>(VLOOKUP(B19,工资表!B21:G43,6,0)+VLOOKUP(B19,工资表!B21:H43,7,0))/工资表!F21*VLOOKUP(B19,考勤!B22:AI44,34,0)</f>
        <v>7600</v>
      </c>
      <c r="E19" s="8">
        <f>VLOOKUP(B19,工资表!B21:R43,17,0)</f>
        <v>7600</v>
      </c>
      <c r="F19" s="8">
        <f t="shared" si="0"/>
        <v>0</v>
      </c>
      <c r="G19" s="2"/>
    </row>
    <row r="20" ht="15" customHeight="1" spans="1:8">
      <c r="A20" s="2">
        <v>18</v>
      </c>
      <c r="B20" s="2" t="s">
        <v>89</v>
      </c>
      <c r="C20" s="2">
        <v>6</v>
      </c>
      <c r="D20" s="8">
        <f>(VLOOKUP(B20,工资表!B22:G44,6,0)+VLOOKUP(B20,工资表!B22:H44,7,0))/工资表!F22*VLOOKUP(B20,考勤!B23:AI45,34,0)</f>
        <v>2368.42105263158</v>
      </c>
      <c r="E20" s="8">
        <f>VLOOKUP(B20,工资表!B22:R44,17,0)</f>
        <v>6473.68421052632</v>
      </c>
      <c r="F20" s="8">
        <f t="shared" si="0"/>
        <v>-4105.26315789474</v>
      </c>
      <c r="G20" s="2" t="s">
        <v>133</v>
      </c>
      <c r="H20" s="5">
        <f>315.79*13</f>
        <v>4105.27</v>
      </c>
    </row>
    <row r="21" ht="15" customHeight="1" spans="1:7">
      <c r="A21" s="2">
        <v>19</v>
      </c>
      <c r="B21" s="2" t="s">
        <v>90</v>
      </c>
      <c r="C21" s="2">
        <v>19</v>
      </c>
      <c r="D21" s="8">
        <f>(VLOOKUP(B21,工资表!B23:G45,6,0)+VLOOKUP(B21,工资表!B23:H45,7,0))/工资表!F23*VLOOKUP(B21,考勤!B24:AI46,34,0)</f>
        <v>7500</v>
      </c>
      <c r="E21" s="8">
        <f>VLOOKUP(B21,工资表!B23:R45,17,0)</f>
        <v>7500.00000000001</v>
      </c>
      <c r="F21" s="8">
        <f t="shared" si="0"/>
        <v>-1.00044417195022e-11</v>
      </c>
      <c r="G21" s="2"/>
    </row>
    <row r="22" ht="15" customHeight="1" spans="1:8">
      <c r="A22" s="2">
        <v>20</v>
      </c>
      <c r="B22" s="2" t="s">
        <v>91</v>
      </c>
      <c r="C22" s="2">
        <v>15</v>
      </c>
      <c r="D22" s="8">
        <f>(VLOOKUP(B22,工资表!B24:G46,6,0)+VLOOKUP(B22,工资表!B24:H46,7,0))/工资表!F24*VLOOKUP(B22,考勤!B25:AI47,34,0)</f>
        <v>5526.31578947368</v>
      </c>
      <c r="E22" s="8">
        <f>VLOOKUP(B22,工资表!B24:R46,17,0)</f>
        <v>6036.84210526316</v>
      </c>
      <c r="F22" s="8">
        <f t="shared" si="0"/>
        <v>-510.526315789481</v>
      </c>
      <c r="G22" s="2" t="s">
        <v>134</v>
      </c>
      <c r="H22" s="5">
        <f>工资表!O24*0.6*3</f>
        <v>530.526315789474</v>
      </c>
    </row>
    <row r="23" ht="15" customHeight="1" spans="1:7">
      <c r="A23" s="2">
        <v>21</v>
      </c>
      <c r="B23" s="2" t="s">
        <v>92</v>
      </c>
      <c r="C23" s="2">
        <v>19</v>
      </c>
      <c r="D23" s="8">
        <f>(VLOOKUP(B23,工资表!B25:G47,6,0)+VLOOKUP(B23,工资表!B25:H47,7,0))/工资表!F25*VLOOKUP(B23,考勤!B26:AI48,34,0)</f>
        <v>6000</v>
      </c>
      <c r="E23" s="8">
        <f>VLOOKUP(B23,工资表!B25:R47,17,0)</f>
        <v>5999.99999999999</v>
      </c>
      <c r="F23" s="8">
        <f t="shared" si="0"/>
        <v>1.00044417195022e-11</v>
      </c>
      <c r="G23" s="2"/>
    </row>
    <row r="24" ht="15" customHeight="1" spans="1:7">
      <c r="A24" s="2">
        <v>22</v>
      </c>
      <c r="B24" s="2" t="s">
        <v>94</v>
      </c>
      <c r="C24" s="2">
        <v>19</v>
      </c>
      <c r="D24" s="8">
        <f>(VLOOKUP(B24,工资表!B26:G48,6,0)+VLOOKUP(B24,工资表!B26:H48,7,0))/工资表!F26*VLOOKUP(B24,考勤!B27:AI49,34,0)</f>
        <v>6500</v>
      </c>
      <c r="E24" s="8">
        <f>VLOOKUP(B24,工资表!B26:R48,17,0)</f>
        <v>6500</v>
      </c>
      <c r="F24" s="8">
        <f t="shared" si="0"/>
        <v>0</v>
      </c>
      <c r="G24" s="2"/>
    </row>
    <row r="25" ht="15" customHeight="1" spans="1:7">
      <c r="A25" s="2">
        <v>23</v>
      </c>
      <c r="B25" s="2" t="s">
        <v>96</v>
      </c>
      <c r="C25" s="2">
        <v>19</v>
      </c>
      <c r="D25" s="8">
        <f>(VLOOKUP(B25,工资表!B27:G49,6,0)+VLOOKUP(B25,工资表!B27:H49,7,0))/工资表!F27*VLOOKUP(B25,考勤!B28:AI50,34,0)</f>
        <v>6500</v>
      </c>
      <c r="E25" s="8">
        <f>VLOOKUP(B25,工资表!B27:R49,17,0)</f>
        <v>6500</v>
      </c>
      <c r="F25" s="8">
        <f t="shared" si="0"/>
        <v>0</v>
      </c>
      <c r="G25" s="2"/>
    </row>
    <row r="26" ht="15" customHeight="1"/>
    <row r="27" ht="15" customHeight="1"/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C9" sqref="C9:E10"/>
    </sheetView>
  </sheetViews>
  <sheetFormatPr defaultColWidth="9" defaultRowHeight="30" customHeight="1" outlineLevelCol="4"/>
  <cols>
    <col min="1" max="2" width="9" style="1"/>
    <col min="3" max="4" width="17.1284403669725" style="1" customWidth="1"/>
    <col min="5" max="5" width="12.8715596330275" style="1" customWidth="1"/>
    <col min="6" max="16384" width="9" style="1"/>
  </cols>
  <sheetData>
    <row r="2" customHeight="1" spans="2:5">
      <c r="B2" s="2" t="s">
        <v>135</v>
      </c>
      <c r="C2" s="2" t="s">
        <v>136</v>
      </c>
      <c r="D2" s="2" t="s">
        <v>137</v>
      </c>
      <c r="E2" s="2" t="s">
        <v>138</v>
      </c>
    </row>
    <row r="3" customHeight="1" spans="2:5">
      <c r="B3" s="2" t="s">
        <v>47</v>
      </c>
      <c r="C3" s="3">
        <v>1</v>
      </c>
      <c r="D3" s="2">
        <v>0</v>
      </c>
      <c r="E3" s="2">
        <v>0</v>
      </c>
    </row>
    <row r="4" customHeight="1" spans="2:5">
      <c r="B4" s="2" t="s">
        <v>139</v>
      </c>
      <c r="C4" s="4">
        <v>0.375</v>
      </c>
      <c r="D4" s="4">
        <v>0.375</v>
      </c>
      <c r="E4" s="3">
        <v>0.25</v>
      </c>
    </row>
    <row r="5" customHeight="1" spans="2:5">
      <c r="B5" s="2" t="s">
        <v>52</v>
      </c>
      <c r="C5" s="4">
        <v>0.375</v>
      </c>
      <c r="D5" s="4">
        <v>0.375</v>
      </c>
      <c r="E5" s="3">
        <v>0.25</v>
      </c>
    </row>
    <row r="6" customHeight="1" spans="2:5">
      <c r="B6" s="2" t="s">
        <v>58</v>
      </c>
      <c r="C6" s="4">
        <v>0.375</v>
      </c>
      <c r="D6" s="4">
        <v>0.375</v>
      </c>
      <c r="E6" s="3">
        <v>0.25</v>
      </c>
    </row>
    <row r="7" customHeight="1" spans="2:5">
      <c r="B7" s="2" t="s">
        <v>61</v>
      </c>
      <c r="C7" s="4">
        <v>0.375</v>
      </c>
      <c r="D7" s="4">
        <v>0.375</v>
      </c>
      <c r="E7" s="3">
        <v>0.25</v>
      </c>
    </row>
    <row r="8" customHeight="1" spans="2:5">
      <c r="B8" s="2" t="s">
        <v>65</v>
      </c>
      <c r="C8" s="3">
        <v>0.51</v>
      </c>
      <c r="D8" s="3">
        <v>0.34</v>
      </c>
      <c r="E8" s="3">
        <v>0.15</v>
      </c>
    </row>
    <row r="9" customHeight="1" spans="2:5">
      <c r="B9" s="2" t="s">
        <v>140</v>
      </c>
      <c r="C9" s="3">
        <v>0.51</v>
      </c>
      <c r="D9" s="3">
        <v>0.34</v>
      </c>
      <c r="E9" s="3">
        <v>0.15</v>
      </c>
    </row>
    <row r="10" customHeight="1" spans="2:5">
      <c r="B10" s="2" t="s">
        <v>141</v>
      </c>
      <c r="C10" s="3">
        <v>0.51</v>
      </c>
      <c r="D10" s="3">
        <v>0.34</v>
      </c>
      <c r="E10" s="3">
        <v>0.15</v>
      </c>
    </row>
    <row r="11" customHeight="1" spans="2:5">
      <c r="B11" s="2" t="s">
        <v>73</v>
      </c>
      <c r="C11" s="3">
        <v>0.7</v>
      </c>
      <c r="D11" s="3">
        <v>0.3</v>
      </c>
      <c r="E11" s="3">
        <v>0</v>
      </c>
    </row>
    <row r="12" customHeight="1" spans="2:5">
      <c r="B12" s="2" t="s">
        <v>78</v>
      </c>
      <c r="C12" s="3">
        <v>0.8</v>
      </c>
      <c r="D12" s="3">
        <v>0.2</v>
      </c>
      <c r="E12" s="3">
        <v>0</v>
      </c>
    </row>
    <row r="13" customHeight="1" spans="2:5">
      <c r="B13" s="2" t="s">
        <v>142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白羊</cp:lastModifiedBy>
  <dcterms:created xsi:type="dcterms:W3CDTF">2023-05-12T11:15:00Z</dcterms:created>
  <dcterms:modified xsi:type="dcterms:W3CDTF">2025-03-11T09:59:10Z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18010D0616FB4198AF6A5CED21EF6393_12</vt:lpwstr>
  </property>
</Properties>
</file>