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3" activeTab="7"/>
  </bookViews>
  <sheets>
    <sheet name="1月" sheetId="16" r:id="rId1"/>
    <sheet name="2月" sheetId="17" r:id="rId2"/>
    <sheet name="3月" sheetId="18" r:id="rId3"/>
    <sheet name="4月" sheetId="19" r:id="rId4"/>
    <sheet name="5月" sheetId="20" r:id="rId5"/>
    <sheet name="6月" sheetId="21" r:id="rId6"/>
    <sheet name="7月" sheetId="22" r:id="rId7"/>
    <sheet name="8月" sheetId="24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3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4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5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6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7.xml><?xml version="1.0" encoding="utf-8"?>
<comments xmlns="http://schemas.openxmlformats.org/spreadsheetml/2006/main">
  <authors>
    <author>作者</author>
  </authors>
  <commentList>
    <comment ref="D42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comments8.xml><?xml version="1.0" encoding="utf-8"?>
<comments xmlns="http://schemas.openxmlformats.org/spreadsheetml/2006/main">
  <authors>
    <author>作者</author>
  </authors>
  <commentList>
    <comment ref="D47" authorId="0">
      <text>
        <r>
          <rPr>
            <b/>
            <sz val="9"/>
            <rFont val="宋体"/>
            <charset val="134"/>
          </rPr>
          <t>Sky123.Org:联系电话：15999015755</t>
        </r>
      </text>
    </comment>
  </commentList>
</comments>
</file>

<file path=xl/sharedStrings.xml><?xml version="1.0" encoding="utf-8"?>
<sst xmlns="http://schemas.openxmlformats.org/spreadsheetml/2006/main" count="1767" uniqueCount="170">
  <si>
    <r>
      <rPr>
        <b/>
        <sz val="22"/>
        <rFont val="宋体"/>
        <charset val="134"/>
      </rPr>
      <t>新疆通力建设集团股份有限公司2025年1月社保表</t>
    </r>
    <r>
      <rPr>
        <b/>
        <sz val="9"/>
        <rFont val="宋体"/>
        <charset val="134"/>
      </rPr>
      <t>（编号：65283234341）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</si>
  <si>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</si>
  <si>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</si>
  <si>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</si>
  <si>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</si>
  <si>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</si>
  <si>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</si>
  <si>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</si>
  <si>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</si>
  <si>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</si>
  <si>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</si>
  <si>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</si>
  <si>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</si>
  <si>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
长护保险</t>
  </si>
  <si>
    <t>合计</t>
  </si>
  <si>
    <t>社保、医保个人部分</t>
  </si>
  <si>
    <t>社保、医保公司部分</t>
  </si>
  <si>
    <t>工资发放单位</t>
  </si>
  <si>
    <t>备注</t>
  </si>
  <si>
    <t>企业16%</t>
  </si>
  <si>
    <t>个人8%</t>
  </si>
  <si>
    <t>企业0.5%</t>
  </si>
  <si>
    <t>个人0.5%</t>
  </si>
  <si>
    <t>企业1.65%</t>
  </si>
  <si>
    <t>企业7%</t>
  </si>
  <si>
    <t>个人2%</t>
  </si>
  <si>
    <t>个人</t>
  </si>
  <si>
    <t>企业</t>
  </si>
  <si>
    <t>652832356822</t>
  </si>
  <si>
    <t>652801197310261631</t>
  </si>
  <si>
    <t>许宗奎</t>
  </si>
  <si>
    <t>高管</t>
  </si>
  <si>
    <t>个人承担</t>
  </si>
  <si>
    <t>公司承担</t>
  </si>
  <si>
    <t>小计</t>
  </si>
  <si>
    <t>652832584505</t>
  </si>
  <si>
    <t>622724197712151711</t>
  </si>
  <si>
    <t>李全伟</t>
  </si>
  <si>
    <t>通力股份</t>
  </si>
  <si>
    <t>652832584770</t>
  </si>
  <si>
    <t>652828197604270015</t>
  </si>
  <si>
    <t>熊启东</t>
  </si>
  <si>
    <t>财务部</t>
  </si>
  <si>
    <t>652832358003</t>
  </si>
  <si>
    <t>652801197010101679</t>
  </si>
  <si>
    <t>王志华</t>
  </si>
  <si>
    <t>项目部承担</t>
  </si>
  <si>
    <t>652841963716</t>
  </si>
  <si>
    <t>652827196706140317</t>
  </si>
  <si>
    <t>黄勇</t>
  </si>
  <si>
    <t>合同科</t>
  </si>
  <si>
    <t>652832453723</t>
  </si>
  <si>
    <t>652826197112101722</t>
  </si>
  <si>
    <t>付光英</t>
  </si>
  <si>
    <t>6528100824353</t>
  </si>
  <si>
    <t>51122719780427057X</t>
  </si>
  <si>
    <t>肖乾林</t>
  </si>
  <si>
    <t>652832401082</t>
  </si>
  <si>
    <t>652823197111060018</t>
  </si>
  <si>
    <t>吴士海</t>
  </si>
  <si>
    <t>652832356823</t>
  </si>
  <si>
    <t>652801197610051636</t>
  </si>
  <si>
    <t>付光忠</t>
  </si>
  <si>
    <t>超额补缴</t>
  </si>
  <si>
    <t>挂证</t>
  </si>
  <si>
    <t>652832359330</t>
  </si>
  <si>
    <t>652901196809276913</t>
  </si>
  <si>
    <t>王晖斌</t>
  </si>
  <si>
    <t>652832363797</t>
  </si>
  <si>
    <t>652826196808072638</t>
  </si>
  <si>
    <t>曾中国</t>
  </si>
  <si>
    <t>652832434340</t>
  </si>
  <si>
    <t>652826196609132618</t>
  </si>
  <si>
    <t>縢宗远</t>
  </si>
  <si>
    <t>证件在公司</t>
  </si>
  <si>
    <t>652832382019</t>
  </si>
  <si>
    <t>370682197812217145</t>
  </si>
  <si>
    <t>赵红艳</t>
  </si>
  <si>
    <t>652832791354</t>
  </si>
  <si>
    <t>41112319720921902X</t>
  </si>
  <si>
    <t>于秀芳</t>
  </si>
  <si>
    <t>652832623094</t>
  </si>
  <si>
    <t>511227198203233153</t>
  </si>
  <si>
    <t>杜奇志</t>
  </si>
  <si>
    <t>抵扣证件费</t>
  </si>
  <si>
    <t>652832438741</t>
  </si>
  <si>
    <t>411202197610154510</t>
  </si>
  <si>
    <t>郭红云</t>
  </si>
  <si>
    <t>652832357102</t>
  </si>
  <si>
    <t>512228197511123151</t>
  </si>
  <si>
    <t>杜绍林</t>
  </si>
  <si>
    <t>6528100327024</t>
  </si>
  <si>
    <t>622301198106282197</t>
  </si>
  <si>
    <t>潘治国</t>
  </si>
  <si>
    <t>652524197307160619</t>
  </si>
  <si>
    <t>徐玉伟</t>
  </si>
  <si>
    <t>511023198712093463</t>
  </si>
  <si>
    <t>刘昌会</t>
  </si>
  <si>
    <t>652832357103</t>
  </si>
  <si>
    <t>512228197512240587</t>
  </si>
  <si>
    <t>肖乾珍</t>
  </si>
  <si>
    <t>扣杜绍林证件费</t>
  </si>
  <si>
    <t>652832547152</t>
  </si>
  <si>
    <t>612732198506271520</t>
  </si>
  <si>
    <t>张娜</t>
  </si>
  <si>
    <t>652832623099</t>
  </si>
  <si>
    <t>652827198206010013</t>
  </si>
  <si>
    <t>张宝生</t>
  </si>
  <si>
    <t>652832589922</t>
  </si>
  <si>
    <t>612427197211051617</t>
  </si>
  <si>
    <t>王卿</t>
  </si>
  <si>
    <t>652832545174</t>
  </si>
  <si>
    <t>510902195702243192</t>
  </si>
  <si>
    <t>唐安文</t>
  </si>
  <si>
    <t>退休人员</t>
  </si>
  <si>
    <t>652832366253</t>
  </si>
  <si>
    <t>512929196304202113</t>
  </si>
  <si>
    <t>范家海</t>
  </si>
  <si>
    <t>652832537149</t>
  </si>
  <si>
    <t>320625196312065674</t>
  </si>
  <si>
    <t>周义</t>
  </si>
  <si>
    <t>652832357143</t>
  </si>
  <si>
    <t>65282319631011001X</t>
  </si>
  <si>
    <t>孟凡明</t>
  </si>
  <si>
    <t>652834206265</t>
  </si>
  <si>
    <t>510721196410214130</t>
  </si>
  <si>
    <t>文宗毅</t>
  </si>
  <si>
    <t>652832365438</t>
  </si>
  <si>
    <t>652826195912252618</t>
  </si>
  <si>
    <t>李海全</t>
  </si>
  <si>
    <t>652832365071</t>
  </si>
  <si>
    <t>652823196512220022</t>
  </si>
  <si>
    <t>梁爱珍</t>
  </si>
  <si>
    <t>652832392141</t>
  </si>
  <si>
    <t>652826194702262610</t>
  </si>
  <si>
    <t>付友金</t>
  </si>
  <si>
    <t>652832356821</t>
  </si>
  <si>
    <t>652801197210231662</t>
  </si>
  <si>
    <t>许翠玲</t>
  </si>
  <si>
    <t>652832387283</t>
  </si>
  <si>
    <t>652801195601152217</t>
  </si>
  <si>
    <t>万正忠</t>
  </si>
  <si>
    <t>652832364507</t>
  </si>
  <si>
    <t>652522195906225021</t>
  </si>
  <si>
    <t>常翠平（自交）</t>
  </si>
  <si>
    <r>
      <rPr>
        <b/>
        <sz val="22"/>
        <rFont val="宋体"/>
        <charset val="134"/>
      </rPr>
      <t>新疆通力建设集团股份有限公司2025年2月社保表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</si>
  <si>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新疆通力建设集团股份有限公司2025年3月社保表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</si>
  <si>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新疆通力建设集团股份有限公司2025年4月社保表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</si>
  <si>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新疆通力建设集团股份有限公司2025年5月社保表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</si>
  <si>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新疆通力建设集团股份有限公司2025年6月社保表</t>
    </r>
    <r>
      <rPr>
        <b/>
        <sz val="9"/>
        <rFont val="宋体"/>
        <charset val="134"/>
      </rPr>
      <t>（编号：65283234341）</t>
    </r>
  </si>
  <si>
    <t>659001198604052816</t>
  </si>
  <si>
    <t>王北振</t>
  </si>
  <si>
    <r>
      <rPr>
        <b/>
        <sz val="22"/>
        <rFont val="宋体"/>
        <charset val="134"/>
      </rPr>
      <t>新疆通力建设集团股份有限公司2025年7月社保表</t>
    </r>
    <r>
      <rPr>
        <b/>
        <sz val="9"/>
        <rFont val="宋体"/>
        <charset val="134"/>
      </rPr>
      <t>（编号：65283234341）</t>
    </r>
  </si>
  <si>
    <r>
      <rPr>
        <b/>
        <sz val="22"/>
        <rFont val="宋体"/>
        <charset val="134"/>
      </rPr>
      <t>新疆通力建设集团股份有限公司2025年8月社保表</t>
    </r>
    <r>
      <rPr>
        <b/>
        <sz val="9"/>
        <rFont val="宋体"/>
        <charset val="134"/>
      </rPr>
      <t>（编号：65283234341）</t>
    </r>
  </si>
  <si>
    <t>652832331632</t>
  </si>
  <si>
    <t>320223197510187832</t>
  </si>
  <si>
    <t>闵永军</t>
  </si>
  <si>
    <t>碧堂春项目部承担</t>
  </si>
  <si>
    <t>652832353936</t>
  </si>
  <si>
    <t>652801197408010531</t>
  </si>
  <si>
    <t>俞志疆</t>
  </si>
  <si>
    <t>6501111178190</t>
  </si>
  <si>
    <t>622428199406056837</t>
  </si>
  <si>
    <t>赵虎龙</t>
  </si>
  <si>
    <t>6501101944356</t>
  </si>
  <si>
    <t>513721198609062308</t>
  </si>
  <si>
    <t>余利娟</t>
  </si>
  <si>
    <t>653201198810103050</t>
  </si>
  <si>
    <t>如则麦麦提·阿卜杜拉</t>
  </si>
  <si>
    <r>
      <rPr>
        <b/>
        <sz val="22"/>
        <rFont val="宋体"/>
        <charset val="134"/>
      </rPr>
      <t>新疆通力建设集团股份有限公司2025年6-7月社保表</t>
    </r>
    <r>
      <rPr>
        <b/>
        <sz val="9"/>
        <rFont val="宋体"/>
        <charset val="134"/>
      </rPr>
      <t>（编号：65283234341）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</si>
</sst>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8"/>
      <name val="宋体"/>
      <charset val="0"/>
    </font>
    <font>
      <sz val="10"/>
      <name val="宋体"/>
      <charset val="0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0"/>
    </font>
    <font>
      <sz val="10"/>
      <name val="宋体"/>
      <charset val="0"/>
      <scheme val="minor"/>
    </font>
    <font>
      <sz val="8"/>
      <color theme="1"/>
      <name val="黑体"/>
      <charset val="134"/>
    </font>
    <font>
      <sz val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 applyProtection="1">
      <alignment horizontal="center" vertical="center"/>
    </xf>
    <xf numFmtId="49" fontId="9" fillId="0" borderId="3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3" fontId="11" fillId="0" borderId="1" xfId="0" applyNumberFormat="1" applyFont="1" applyFill="1" applyBorder="1" applyAlignment="1">
      <alignment horizontal="center" vertical="center"/>
    </xf>
    <xf numFmtId="43" fontId="11" fillId="0" borderId="1" xfId="0" applyNumberFormat="1" applyFont="1" applyFill="1" applyBorder="1" applyAlignment="1" applyProtection="1">
      <alignment horizontal="center" vertical="center"/>
    </xf>
    <xf numFmtId="49" fontId="9" fillId="3" borderId="1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43" fontId="11" fillId="3" borderId="1" xfId="0" applyNumberFormat="1" applyFont="1" applyFill="1" applyBorder="1" applyAlignment="1">
      <alignment horizontal="center" vertical="center"/>
    </xf>
    <xf numFmtId="43" fontId="11" fillId="3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3" fontId="13" fillId="0" borderId="1" xfId="0" applyNumberFormat="1" applyFont="1" applyFill="1" applyBorder="1" applyAlignment="1">
      <alignment horizontal="center"/>
    </xf>
    <xf numFmtId="0" fontId="14" fillId="0" borderId="1" xfId="0" applyNumberFormat="1" applyFont="1" applyFill="1" applyBorder="1" applyAlignment="1">
      <alignment horizontal="center"/>
    </xf>
    <xf numFmtId="43" fontId="13" fillId="0" borderId="1" xfId="1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/>
    </xf>
    <xf numFmtId="43" fontId="13" fillId="3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43" fontId="4" fillId="0" borderId="1" xfId="0" applyNumberFormat="1" applyFont="1" applyFill="1" applyBorder="1" applyAlignment="1">
      <alignment horizontal="center"/>
    </xf>
    <xf numFmtId="0" fontId="12" fillId="0" borderId="1" xfId="0" applyNumberFormat="1" applyFont="1" applyFill="1" applyBorder="1" applyAlignment="1">
      <alignment horizontal="center"/>
    </xf>
    <xf numFmtId="0" fontId="4" fillId="3" borderId="1" xfId="0" applyNumberFormat="1" applyFont="1" applyFill="1" applyBorder="1" applyAlignment="1">
      <alignment horizontal="center"/>
    </xf>
    <xf numFmtId="43" fontId="15" fillId="3" borderId="1" xfId="0" applyNumberFormat="1" applyFont="1" applyFill="1" applyBorder="1" applyAlignment="1">
      <alignment horizontal="center"/>
    </xf>
    <xf numFmtId="43" fontId="15" fillId="0" borderId="1" xfId="0" applyNumberFormat="1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/>
    </xf>
    <xf numFmtId="0" fontId="4" fillId="3" borderId="5" xfId="0" applyNumberFormat="1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horizontal="center"/>
    </xf>
    <xf numFmtId="0" fontId="4" fillId="4" borderId="4" xfId="0" applyNumberFormat="1" applyFont="1" applyFill="1" applyBorder="1" applyAlignment="1">
      <alignment horizontal="center"/>
    </xf>
    <xf numFmtId="0" fontId="3" fillId="4" borderId="5" xfId="0" applyNumberFormat="1" applyFont="1" applyFill="1" applyBorder="1" applyAlignment="1">
      <alignment horizontal="center"/>
    </xf>
    <xf numFmtId="0" fontId="4" fillId="4" borderId="6" xfId="0" applyNumberFormat="1" applyFont="1" applyFill="1" applyBorder="1" applyAlignment="1">
      <alignment horizontal="center"/>
    </xf>
    <xf numFmtId="0" fontId="4" fillId="4" borderId="1" xfId="0" applyNumberFormat="1" applyFont="1" applyFill="1" applyBorder="1" applyAlignment="1">
      <alignment horizontal="center"/>
    </xf>
    <xf numFmtId="43" fontId="4" fillId="4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10" fontId="10" fillId="0" borderId="1" xfId="0" applyNumberFormat="1" applyFont="1" applyFill="1" applyBorder="1" applyAlignment="1" applyProtection="1">
      <alignment horizontal="center" vertical="center"/>
    </xf>
    <xf numFmtId="43" fontId="10" fillId="0" borderId="1" xfId="0" applyNumberFormat="1" applyFont="1" applyFill="1" applyBorder="1" applyAlignment="1" applyProtection="1">
      <alignment horizontal="center" vertical="center"/>
    </xf>
    <xf numFmtId="43" fontId="11" fillId="3" borderId="4" xfId="0" applyNumberFormat="1" applyFont="1" applyFill="1" applyBorder="1" applyAlignment="1">
      <alignment horizontal="center" vertical="center"/>
    </xf>
    <xf numFmtId="43" fontId="13" fillId="3" borderId="1" xfId="1" applyNumberFormat="1" applyFont="1" applyFill="1" applyBorder="1" applyAlignment="1">
      <alignment horizontal="center" vertical="center"/>
    </xf>
    <xf numFmtId="43" fontId="13" fillId="0" borderId="1" xfId="0" applyNumberFormat="1" applyFont="1" applyFill="1" applyBorder="1" applyAlignment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 quotePrefix="1">
      <alignment horizontal="center"/>
    </xf>
    <xf numFmtId="0" fontId="3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zoomScale="80" zoomScaleNormal="80"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0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17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6" si="16">ROUND(G12*0.005,2)</f>
        <v>25</v>
      </c>
      <c r="K12" s="22">
        <f t="shared" ref="K12:K26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6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33</v>
      </c>
      <c r="V16" s="69" t="s">
        <v>33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17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4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>ROUND(G23*0.005,0)</f>
        <v>25</v>
      </c>
      <c r="K23" s="30">
        <f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4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>ROUND(G24*0.005,0)</f>
        <v>25</v>
      </c>
      <c r="K24" s="30">
        <f>ROUND(G24*0.005,0)</f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>ROUND(8332*0.3%,0)</f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4" t="s">
        <v>96</v>
      </c>
      <c r="D25" s="34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>ROUND(G25*0.005,0)</f>
        <v>25</v>
      </c>
      <c r="K25" s="30">
        <f>ROUND(G25*0.005,0)</f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>ROUND(8332*0.3%,0)</f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>ROUND(G26*0.005,2)</f>
        <v>25</v>
      </c>
      <c r="K26" s="22">
        <f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>ROUND(G27*0.005,2)</f>
        <v>25</v>
      </c>
      <c r="K27" s="22">
        <f>ROUND(G27*0.005,2)</f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>ROUND(8332*0.3%,2)</f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>ROUND(G28*0.005,2)</f>
        <v>25</v>
      </c>
      <c r="K28" s="22">
        <f>ROUND(G28*0.005,2)</f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>ROUND(8332*0.3%,2)</f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>ROUND(G29*0.005,2)</f>
        <v>25</v>
      </c>
      <c r="K29" s="22">
        <f>ROUND(G29*0.005,2)</f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>ROUND(8332*0.3%,2)</f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>SUM(G12:G29)</f>
        <v>99984</v>
      </c>
      <c r="H30" s="40">
        <f t="shared" ref="G30:T30" si="26">SUM(H12:H29)</f>
        <v>15997.44</v>
      </c>
      <c r="I30" s="40">
        <f t="shared" si="26"/>
        <v>7998.72</v>
      </c>
      <c r="J30" s="40">
        <f t="shared" si="26"/>
        <v>500</v>
      </c>
      <c r="K30" s="40">
        <f t="shared" si="26"/>
        <v>500</v>
      </c>
      <c r="L30" s="40">
        <f t="shared" si="26"/>
        <v>1649.68</v>
      </c>
      <c r="M30" s="40">
        <f t="shared" si="26"/>
        <v>119900</v>
      </c>
      <c r="N30" s="40">
        <f t="shared" si="26"/>
        <v>8393</v>
      </c>
      <c r="O30" s="40">
        <f t="shared" si="26"/>
        <v>2398</v>
      </c>
      <c r="P30" s="40">
        <f t="shared" si="26"/>
        <v>374.94</v>
      </c>
      <c r="Q30" s="40">
        <f t="shared" si="26"/>
        <v>450</v>
      </c>
      <c r="R30" s="40">
        <f t="shared" si="26"/>
        <v>26990.12</v>
      </c>
      <c r="S30" s="40">
        <f t="shared" si="26"/>
        <v>11271.66</v>
      </c>
      <c r="T30" s="40">
        <f t="shared" si="26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27">ROUND(G31*0.16,2)</f>
        <v>0</v>
      </c>
      <c r="I31" s="22">
        <f t="shared" ref="I31:I35" si="28">ROUND(G31*0.08,2)</f>
        <v>0</v>
      </c>
      <c r="J31" s="22">
        <f t="shared" ref="J31:J35" si="29">ROUND(G31*0.005,2)</f>
        <v>0</v>
      </c>
      <c r="K31" s="22">
        <f t="shared" ref="K31:K35" si="30">ROUND(G31*0.005,2)</f>
        <v>0</v>
      </c>
      <c r="L31" s="22">
        <f>ROUND(G31*0.004,2)</f>
        <v>0</v>
      </c>
      <c r="M31" s="30">
        <v>3919</v>
      </c>
      <c r="N31" s="22">
        <f t="shared" ref="N31:N34" si="31">ROUND(M31*0.06,2)</f>
        <v>235.14</v>
      </c>
      <c r="O31" s="22"/>
      <c r="P31" s="57">
        <f t="shared" ref="P31:P35" si="32">ROUND(8332*0.25%,2)</f>
        <v>20.83</v>
      </c>
      <c r="Q31" s="57">
        <f t="shared" ref="Q31:Q35" si="33">ROUND(8332*0.3%,2)</f>
        <v>25</v>
      </c>
      <c r="R31" s="22">
        <f t="shared" ref="R31:R35" si="34">H31+N31+J31+L31+Q31</f>
        <v>260.14</v>
      </c>
      <c r="S31" s="22">
        <f t="shared" ref="S31:S35" si="35">I31+O31+K31+P31</f>
        <v>20.83</v>
      </c>
      <c r="T31" s="22">
        <f t="shared" ref="T31:T35" si="36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27"/>
        <v>0</v>
      </c>
      <c r="I32" s="22">
        <f t="shared" si="28"/>
        <v>0</v>
      </c>
      <c r="J32" s="22">
        <f t="shared" si="29"/>
        <v>0</v>
      </c>
      <c r="K32" s="22">
        <f t="shared" si="30"/>
        <v>0</v>
      </c>
      <c r="L32" s="22">
        <f t="shared" ref="L32:L35" si="37">ROUND(G32*0.0165,2)</f>
        <v>0</v>
      </c>
      <c r="M32" s="30">
        <v>2746</v>
      </c>
      <c r="N32" s="22">
        <f t="shared" si="31"/>
        <v>164.76</v>
      </c>
      <c r="O32" s="22"/>
      <c r="P32" s="57">
        <f t="shared" si="32"/>
        <v>20.83</v>
      </c>
      <c r="Q32" s="57">
        <f t="shared" si="33"/>
        <v>25</v>
      </c>
      <c r="R32" s="22">
        <f t="shared" si="34"/>
        <v>189.76</v>
      </c>
      <c r="S32" s="22">
        <f t="shared" si="35"/>
        <v>20.83</v>
      </c>
      <c r="T32" s="22">
        <f t="shared" si="36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27"/>
        <v>0</v>
      </c>
      <c r="I33" s="22">
        <f t="shared" si="28"/>
        <v>0</v>
      </c>
      <c r="J33" s="22">
        <f t="shared" si="29"/>
        <v>0</v>
      </c>
      <c r="K33" s="22">
        <f t="shared" si="30"/>
        <v>0</v>
      </c>
      <c r="L33" s="22">
        <f t="shared" si="37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2"/>
        <v>20.83</v>
      </c>
      <c r="Q33" s="57">
        <f t="shared" si="33"/>
        <v>25</v>
      </c>
      <c r="R33" s="22">
        <f t="shared" si="34"/>
        <v>482.17</v>
      </c>
      <c r="S33" s="22">
        <f t="shared" si="35"/>
        <v>151.45</v>
      </c>
      <c r="T33" s="22">
        <f t="shared" si="36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27"/>
        <v>0</v>
      </c>
      <c r="I34" s="22">
        <f t="shared" si="28"/>
        <v>0</v>
      </c>
      <c r="J34" s="22">
        <f t="shared" si="29"/>
        <v>0</v>
      </c>
      <c r="K34" s="22">
        <f t="shared" si="30"/>
        <v>0</v>
      </c>
      <c r="L34" s="22">
        <f>ROUND(G34*0.011,2)</f>
        <v>0</v>
      </c>
      <c r="M34" s="30">
        <v>4142</v>
      </c>
      <c r="N34" s="22">
        <f t="shared" si="31"/>
        <v>248.52</v>
      </c>
      <c r="O34" s="22"/>
      <c r="P34" s="57">
        <f t="shared" si="32"/>
        <v>20.83</v>
      </c>
      <c r="Q34" s="57">
        <f t="shared" si="33"/>
        <v>25</v>
      </c>
      <c r="R34" s="22">
        <f t="shared" si="34"/>
        <v>273.52</v>
      </c>
      <c r="S34" s="22">
        <f t="shared" si="35"/>
        <v>20.83</v>
      </c>
      <c r="T34" s="22">
        <f t="shared" si="36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27"/>
        <v>0</v>
      </c>
      <c r="I35" s="22">
        <f t="shared" si="28"/>
        <v>0</v>
      </c>
      <c r="J35" s="22">
        <f t="shared" si="29"/>
        <v>0</v>
      </c>
      <c r="K35" s="22">
        <f t="shared" si="30"/>
        <v>0</v>
      </c>
      <c r="L35" s="22">
        <f t="shared" si="37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2"/>
        <v>20.83</v>
      </c>
      <c r="Q35" s="57">
        <f t="shared" si="33"/>
        <v>25</v>
      </c>
      <c r="R35" s="22">
        <f t="shared" si="34"/>
        <v>482.17</v>
      </c>
      <c r="S35" s="22">
        <f t="shared" si="35"/>
        <v>151.45</v>
      </c>
      <c r="T35" s="22">
        <f t="shared" si="36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38">SUM(G31:G34)</f>
        <v>0</v>
      </c>
      <c r="H36" s="40">
        <f t="shared" si="38"/>
        <v>0</v>
      </c>
      <c r="I36" s="40">
        <f t="shared" si="38"/>
        <v>0</v>
      </c>
      <c r="J36" s="40">
        <f t="shared" si="38"/>
        <v>0</v>
      </c>
      <c r="K36" s="40">
        <f t="shared" si="38"/>
        <v>0</v>
      </c>
      <c r="L36" s="40">
        <f t="shared" si="38"/>
        <v>0</v>
      </c>
      <c r="M36" s="40">
        <f t="shared" ref="M36:T36" si="39">SUM(M31:M35)</f>
        <v>23869</v>
      </c>
      <c r="N36" s="40">
        <f t="shared" si="39"/>
        <v>1562.76</v>
      </c>
      <c r="O36" s="40">
        <f t="shared" si="39"/>
        <v>261.24</v>
      </c>
      <c r="P36" s="40">
        <f t="shared" si="39"/>
        <v>104.15</v>
      </c>
      <c r="Q36" s="40">
        <f t="shared" si="39"/>
        <v>125</v>
      </c>
      <c r="R36" s="40">
        <f t="shared" si="39"/>
        <v>1687.76</v>
      </c>
      <c r="S36" s="40">
        <f t="shared" si="39"/>
        <v>365.39</v>
      </c>
      <c r="T36" s="40">
        <f t="shared" si="39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0">H37+N37+J37+L37+Q37</f>
        <v>0</v>
      </c>
      <c r="S37" s="41"/>
      <c r="T37" s="41">
        <f t="shared" ref="T37:T42" si="41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0"/>
        <v>0</v>
      </c>
      <c r="S38" s="41"/>
      <c r="T38" s="41">
        <f t="shared" si="41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0"/>
        <v>0</v>
      </c>
      <c r="S39" s="41"/>
      <c r="T39" s="41">
        <f t="shared" si="41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0"/>
        <v>0</v>
      </c>
      <c r="S40" s="41"/>
      <c r="T40" s="41">
        <f t="shared" si="41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0"/>
        <v>0</v>
      </c>
      <c r="S41" s="41"/>
      <c r="T41" s="41">
        <f t="shared" si="41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0"/>
        <v>0</v>
      </c>
      <c r="S42" s="41"/>
      <c r="T42" s="41">
        <f t="shared" si="41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2">SUM(G37:G42)</f>
        <v>0</v>
      </c>
      <c r="H43" s="40">
        <f t="shared" si="42"/>
        <v>0</v>
      </c>
      <c r="I43" s="40">
        <f t="shared" si="42"/>
        <v>0</v>
      </c>
      <c r="J43" s="40">
        <f t="shared" si="42"/>
        <v>0</v>
      </c>
      <c r="K43" s="40">
        <f t="shared" si="42"/>
        <v>0</v>
      </c>
      <c r="L43" s="40">
        <f t="shared" si="42"/>
        <v>0</v>
      </c>
      <c r="M43" s="40">
        <f t="shared" si="42"/>
        <v>0</v>
      </c>
      <c r="N43" s="40">
        <f t="shared" si="42"/>
        <v>0</v>
      </c>
      <c r="O43" s="40">
        <f t="shared" si="42"/>
        <v>0</v>
      </c>
      <c r="P43" s="40">
        <f t="shared" si="42"/>
        <v>0</v>
      </c>
      <c r="Q43" s="40">
        <f t="shared" si="42"/>
        <v>0</v>
      </c>
      <c r="R43" s="40">
        <f t="shared" si="42"/>
        <v>0</v>
      </c>
      <c r="S43" s="40">
        <f t="shared" si="42"/>
        <v>0</v>
      </c>
      <c r="T43" s="40">
        <f t="shared" si="42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3">G5+G11+G30+G36+G43</f>
        <v>129984</v>
      </c>
      <c r="H44" s="49">
        <f t="shared" si="43"/>
        <v>20797.44</v>
      </c>
      <c r="I44" s="49">
        <f t="shared" si="43"/>
        <v>10398.72</v>
      </c>
      <c r="J44" s="49">
        <f t="shared" si="43"/>
        <v>650</v>
      </c>
      <c r="K44" s="49">
        <f t="shared" si="43"/>
        <v>650</v>
      </c>
      <c r="L44" s="49">
        <f t="shared" si="43"/>
        <v>2144.68</v>
      </c>
      <c r="M44" s="49">
        <f t="shared" si="43"/>
        <v>182955</v>
      </c>
      <c r="N44" s="49">
        <f t="shared" si="43"/>
        <v>12698.78</v>
      </c>
      <c r="O44" s="49">
        <f t="shared" si="43"/>
        <v>3442.96</v>
      </c>
      <c r="P44" s="49">
        <f t="shared" si="43"/>
        <v>604.07</v>
      </c>
      <c r="Q44" s="49">
        <f t="shared" si="43"/>
        <v>725</v>
      </c>
      <c r="R44" s="49">
        <f t="shared" si="43"/>
        <v>37015.9</v>
      </c>
      <c r="S44" s="49">
        <f t="shared" si="43"/>
        <v>15095.75</v>
      </c>
      <c r="T44" s="49">
        <f t="shared" si="43"/>
        <v>52111.65</v>
      </c>
      <c r="U44" s="35"/>
      <c r="V44" s="35"/>
      <c r="W44" s="68"/>
      <c r="X44" s="35"/>
    </row>
    <row r="45" s="1" customFormat="1" spans="2:23">
      <c r="B45" s="3"/>
      <c r="C45" s="3"/>
      <c r="D45" s="1"/>
      <c r="E45" s="1"/>
      <c r="F45" s="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5"/>
    </row>
    <row r="46" s="1" customFormat="1" spans="2:23">
      <c r="B46" s="3"/>
      <c r="C46" s="3"/>
      <c r="D46" s="1"/>
      <c r="E46" s="1"/>
      <c r="F46" s="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>
        <v>52111.65</v>
      </c>
      <c r="U46" s="1"/>
      <c r="V46" s="1"/>
      <c r="W46" s="5"/>
    </row>
    <row r="47" s="1" customFormat="1" spans="2:23">
      <c r="B47" s="3"/>
      <c r="C47" s="3"/>
      <c r="D47" s="1"/>
      <c r="E47" s="1"/>
      <c r="F47" s="4"/>
      <c r="G47" s="1"/>
      <c r="H47" s="1"/>
      <c r="I47" s="1"/>
      <c r="J47" s="1"/>
      <c r="K47" s="1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D48" s="1"/>
      <c r="E48" s="1"/>
      <c r="F48" s="4"/>
      <c r="G48" s="1"/>
      <c r="H48" s="1"/>
      <c r="I48" s="1"/>
      <c r="J48" s="1"/>
      <c r="K48" s="1"/>
      <c r="L48" s="1">
        <f>I44+K44</f>
        <v>11048.72</v>
      </c>
      <c r="W48" s="5"/>
    </row>
    <row r="49" s="1" customFormat="1" spans="2:23">
      <c r="B49" s="3"/>
      <c r="C49" s="3"/>
      <c r="D49" s="1"/>
      <c r="E49" s="1"/>
      <c r="F49" s="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5"/>
    </row>
    <row r="50" s="1" customFormat="1" spans="2:23">
      <c r="B50" s="3"/>
      <c r="C50" s="3"/>
      <c r="D50" s="1"/>
      <c r="E50" s="1"/>
      <c r="F50" s="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zoomScale="80" zoomScaleNormal="80"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145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33</v>
      </c>
      <c r="V16" s="69" t="s">
        <v>33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2">
        <f t="shared" ref="N31:N34" si="37">ROUND(M31*0.06,2)</f>
        <v>235.14</v>
      </c>
      <c r="O31" s="22"/>
      <c r="P31" s="57">
        <f t="shared" ref="P31:P35" si="38">ROUND(8332*0.25%,2)</f>
        <v>20.83</v>
      </c>
      <c r="Q31" s="57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2">
        <f t="shared" si="37"/>
        <v>164.76</v>
      </c>
      <c r="O32" s="22"/>
      <c r="P32" s="57">
        <f t="shared" si="38"/>
        <v>20.83</v>
      </c>
      <c r="Q32" s="57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8"/>
        <v>20.83</v>
      </c>
      <c r="Q33" s="57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2">
        <f t="shared" si="37"/>
        <v>248.52</v>
      </c>
      <c r="O34" s="22"/>
      <c r="P34" s="57">
        <f t="shared" si="38"/>
        <v>20.83</v>
      </c>
      <c r="Q34" s="57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8"/>
        <v>20.83</v>
      </c>
      <c r="Q35" s="57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6"/>
        <v>0</v>
      </c>
      <c r="S38" s="41"/>
      <c r="T38" s="41">
        <f t="shared" si="47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6"/>
        <v>0</v>
      </c>
      <c r="S39" s="41"/>
      <c r="T39" s="41">
        <f t="shared" si="47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6"/>
        <v>0</v>
      </c>
      <c r="S40" s="41"/>
      <c r="T40" s="41">
        <f t="shared" si="47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6"/>
        <v>0</v>
      </c>
      <c r="S41" s="41"/>
      <c r="T41" s="41">
        <f t="shared" si="47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6"/>
        <v>0</v>
      </c>
      <c r="S42" s="41"/>
      <c r="T42" s="41">
        <f t="shared" si="47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T46" s="1">
        <v>52111.65</v>
      </c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146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33</v>
      </c>
      <c r="V16" s="69" t="s">
        <v>33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2">
        <f t="shared" ref="N31:N34" si="37">ROUND(M31*0.06,2)</f>
        <v>235.14</v>
      </c>
      <c r="O31" s="22"/>
      <c r="P31" s="57">
        <f t="shared" ref="P31:P35" si="38">ROUND(8332*0.25%,2)</f>
        <v>20.83</v>
      </c>
      <c r="Q31" s="57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2">
        <f t="shared" si="37"/>
        <v>164.76</v>
      </c>
      <c r="O32" s="22"/>
      <c r="P32" s="57">
        <f t="shared" si="38"/>
        <v>20.83</v>
      </c>
      <c r="Q32" s="57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8"/>
        <v>20.83</v>
      </c>
      <c r="Q33" s="57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2">
        <f t="shared" si="37"/>
        <v>248.52</v>
      </c>
      <c r="O34" s="22"/>
      <c r="P34" s="57">
        <f t="shared" si="38"/>
        <v>20.83</v>
      </c>
      <c r="Q34" s="57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8"/>
        <v>20.83</v>
      </c>
      <c r="Q35" s="57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6"/>
        <v>0</v>
      </c>
      <c r="S38" s="41"/>
      <c r="T38" s="41">
        <f t="shared" si="47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6"/>
        <v>0</v>
      </c>
      <c r="S39" s="41"/>
      <c r="T39" s="41">
        <f t="shared" si="47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6"/>
        <v>0</v>
      </c>
      <c r="S40" s="41"/>
      <c r="T40" s="41">
        <f t="shared" si="47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6"/>
        <v>0</v>
      </c>
      <c r="S41" s="41"/>
      <c r="T41" s="41">
        <f t="shared" si="47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6"/>
        <v>0</v>
      </c>
      <c r="S42" s="41"/>
      <c r="T42" s="41">
        <f t="shared" si="47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T46" s="1">
        <v>52111.65</v>
      </c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147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33</v>
      </c>
      <c r="V16" s="69" t="s">
        <v>33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30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2">
        <f t="shared" ref="N31:N34" si="37">ROUND(M31*0.06,2)</f>
        <v>235.14</v>
      </c>
      <c r="O31" s="22"/>
      <c r="P31" s="57">
        <f t="shared" ref="P31:P35" si="38">ROUND(8332*0.25%,2)</f>
        <v>20.83</v>
      </c>
      <c r="Q31" s="57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2">
        <f t="shared" si="37"/>
        <v>164.76</v>
      </c>
      <c r="O32" s="22"/>
      <c r="P32" s="57">
        <f t="shared" si="38"/>
        <v>20.83</v>
      </c>
      <c r="Q32" s="57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8"/>
        <v>20.83</v>
      </c>
      <c r="Q33" s="57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2">
        <f t="shared" si="37"/>
        <v>248.52</v>
      </c>
      <c r="O34" s="22"/>
      <c r="P34" s="57">
        <f t="shared" si="38"/>
        <v>20.83</v>
      </c>
      <c r="Q34" s="57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8"/>
        <v>20.83</v>
      </c>
      <c r="Q35" s="57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6"/>
        <v>0</v>
      </c>
      <c r="S38" s="41"/>
      <c r="T38" s="41">
        <f t="shared" si="47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6"/>
        <v>0</v>
      </c>
      <c r="S39" s="41"/>
      <c r="T39" s="41">
        <f t="shared" si="47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6"/>
        <v>0</v>
      </c>
      <c r="S40" s="41"/>
      <c r="T40" s="41">
        <f t="shared" si="47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6"/>
        <v>0</v>
      </c>
      <c r="S41" s="41"/>
      <c r="T41" s="41">
        <f t="shared" si="47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6"/>
        <v>0</v>
      </c>
      <c r="S42" s="41"/>
      <c r="T42" s="41">
        <f t="shared" si="47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T46" s="1">
        <v>52111.65</v>
      </c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T47" s="1">
        <f>T44-T46</f>
        <v>0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148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33</v>
      </c>
      <c r="V16" s="69" t="s">
        <v>33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59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94</v>
      </c>
      <c r="D24" s="34" t="s">
        <v>95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 t="shared" si="26"/>
        <v>25</v>
      </c>
      <c r="K24" s="30">
        <f t="shared" si="27"/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 t="shared" si="28"/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15997.44</v>
      </c>
      <c r="I30" s="40">
        <f t="shared" si="32"/>
        <v>7998.72</v>
      </c>
      <c r="J30" s="40">
        <f t="shared" si="32"/>
        <v>500</v>
      </c>
      <c r="K30" s="40">
        <f t="shared" si="32"/>
        <v>500</v>
      </c>
      <c r="L30" s="40">
        <f t="shared" si="32"/>
        <v>1649.68</v>
      </c>
      <c r="M30" s="40">
        <f t="shared" si="32"/>
        <v>119900</v>
      </c>
      <c r="N30" s="40">
        <f t="shared" si="32"/>
        <v>8393</v>
      </c>
      <c r="O30" s="40">
        <f t="shared" si="32"/>
        <v>2398</v>
      </c>
      <c r="P30" s="40">
        <f t="shared" si="32"/>
        <v>374.94</v>
      </c>
      <c r="Q30" s="40">
        <f t="shared" si="32"/>
        <v>450</v>
      </c>
      <c r="R30" s="40">
        <f t="shared" si="32"/>
        <v>26990.12</v>
      </c>
      <c r="S30" s="40">
        <f t="shared" si="32"/>
        <v>11271.66</v>
      </c>
      <c r="T30" s="40">
        <f t="shared" si="32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6">
        <f t="shared" ref="N31:N34" si="37">ROUND(M31*0.06,2)</f>
        <v>235.14</v>
      </c>
      <c r="O31" s="22"/>
      <c r="P31" s="57">
        <f t="shared" ref="P31:P35" si="38">ROUND(8332*0.25%,2)</f>
        <v>20.83</v>
      </c>
      <c r="Q31" s="57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6">
        <f t="shared" si="37"/>
        <v>164.76</v>
      </c>
      <c r="O32" s="22"/>
      <c r="P32" s="57">
        <f t="shared" si="38"/>
        <v>20.83</v>
      </c>
      <c r="Q32" s="57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8"/>
        <v>20.83</v>
      </c>
      <c r="Q33" s="57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6">
        <f t="shared" si="37"/>
        <v>248.52</v>
      </c>
      <c r="O34" s="22"/>
      <c r="P34" s="57">
        <f t="shared" si="38"/>
        <v>20.83</v>
      </c>
      <c r="Q34" s="57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8"/>
        <v>20.83</v>
      </c>
      <c r="Q35" s="57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6"/>
        <v>0</v>
      </c>
      <c r="S38" s="41"/>
      <c r="T38" s="41">
        <f t="shared" si="47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6"/>
        <v>0</v>
      </c>
      <c r="S39" s="41"/>
      <c r="T39" s="41">
        <f t="shared" si="47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6"/>
        <v>0</v>
      </c>
      <c r="S40" s="41"/>
      <c r="T40" s="41">
        <f t="shared" si="47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6"/>
        <v>0</v>
      </c>
      <c r="S41" s="41"/>
      <c r="T41" s="41">
        <f t="shared" si="47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6"/>
        <v>0</v>
      </c>
      <c r="S42" s="41"/>
      <c r="T42" s="41">
        <f t="shared" si="47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20797.44</v>
      </c>
      <c r="I44" s="49">
        <f t="shared" si="49"/>
        <v>10398.72</v>
      </c>
      <c r="J44" s="49">
        <f t="shared" si="49"/>
        <v>650</v>
      </c>
      <c r="K44" s="49">
        <f t="shared" si="49"/>
        <v>650</v>
      </c>
      <c r="L44" s="49">
        <f t="shared" si="49"/>
        <v>2144.68</v>
      </c>
      <c r="M44" s="49">
        <f t="shared" si="49"/>
        <v>182955</v>
      </c>
      <c r="N44" s="49">
        <f t="shared" si="49"/>
        <v>12698.78</v>
      </c>
      <c r="O44" s="49">
        <f t="shared" si="49"/>
        <v>3442.96</v>
      </c>
      <c r="P44" s="49">
        <f t="shared" si="49"/>
        <v>604.07</v>
      </c>
      <c r="Q44" s="49">
        <f t="shared" si="49"/>
        <v>725</v>
      </c>
      <c r="R44" s="49">
        <f t="shared" si="49"/>
        <v>37015.9</v>
      </c>
      <c r="S44" s="49">
        <f t="shared" si="49"/>
        <v>15095.75</v>
      </c>
      <c r="T44" s="49">
        <f t="shared" si="49"/>
        <v>52111.65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workbookViewId="0">
      <selection activeCell="A1" sqref="$A1:$XFD1048576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149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9" si="14">ROUND(G12*0.16,2)</f>
        <v>799.84</v>
      </c>
      <c r="I12" s="22">
        <f t="shared" ref="I12:I29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9" si="18">ROUND(G12*0.0165,2)</f>
        <v>82.48</v>
      </c>
      <c r="M12" s="30">
        <v>6531</v>
      </c>
      <c r="N12" s="22">
        <f t="shared" ref="N12:N29" si="19">ROUND(M12*0.07,2)</f>
        <v>457.17</v>
      </c>
      <c r="O12" s="22">
        <f t="shared" ref="O12:O29" si="20">ROUND(M12*0.02,2)</f>
        <v>130.62</v>
      </c>
      <c r="P12" s="57">
        <f t="shared" ref="P12:P29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63</v>
      </c>
      <c r="V16" s="69" t="s">
        <v>63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 t="shared" ref="J23:J25" si="26">ROUND(G23*0.005,0)</f>
        <v>25</v>
      </c>
      <c r="K23" s="30">
        <f t="shared" ref="K23:K25" si="27">ROUND(G23*0.005,0)</f>
        <v>25</v>
      </c>
      <c r="L23" s="30">
        <f t="shared" si="18"/>
        <v>82.48</v>
      </c>
      <c r="M23" s="59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 t="shared" ref="Q23:Q25" si="28"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150</v>
      </c>
      <c r="D24" s="37" t="s">
        <v>151</v>
      </c>
      <c r="E24" s="35"/>
      <c r="F24" s="36"/>
      <c r="G24" s="30">
        <v>4999</v>
      </c>
      <c r="H24" s="30">
        <f>ROUND(G24*0.16*2,2)</f>
        <v>1599.68</v>
      </c>
      <c r="I24" s="30">
        <f>ROUND(G24*0.08*2,2)</f>
        <v>799.84</v>
      </c>
      <c r="J24" s="30">
        <f>ROUND(G24*0.005*2,0)</f>
        <v>50</v>
      </c>
      <c r="K24" s="30">
        <f>ROUND(G24*0.005*2,0)</f>
        <v>50</v>
      </c>
      <c r="L24" s="30">
        <f>ROUND(G24*0.0165*2,2)</f>
        <v>164.97</v>
      </c>
      <c r="M24" s="30">
        <v>4999</v>
      </c>
      <c r="N24" s="30">
        <f>ROUND(M24*0.07*2,2)</f>
        <v>699.86</v>
      </c>
      <c r="O24" s="30">
        <f>ROUND(M24*0.02*2,2)</f>
        <v>199.96</v>
      </c>
      <c r="P24" s="30">
        <f>ROUND(8332*0.25%*2,2)</f>
        <v>41.66</v>
      </c>
      <c r="Q24" s="30">
        <f>ROUND(8332*0.3%*2,0)</f>
        <v>50</v>
      </c>
      <c r="R24" s="30">
        <f t="shared" si="23"/>
        <v>2564.51</v>
      </c>
      <c r="S24" s="30">
        <f t="shared" si="24"/>
        <v>1091.46</v>
      </c>
      <c r="T24" s="30">
        <f t="shared" si="25"/>
        <v>3655.97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si="26"/>
        <v>25</v>
      </c>
      <c r="K25" s="30">
        <f t="shared" si="27"/>
        <v>25</v>
      </c>
      <c r="L25" s="30">
        <f t="shared" si="18"/>
        <v>82.48</v>
      </c>
      <c r="M25" s="30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si="28"/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14"/>
        <v>799.84</v>
      </c>
      <c r="I26" s="22">
        <f t="shared" si="15"/>
        <v>399.92</v>
      </c>
      <c r="J26" s="22">
        <f t="shared" ref="J26:J29" si="29">ROUND(G26*0.005,2)</f>
        <v>25</v>
      </c>
      <c r="K26" s="22">
        <f t="shared" ref="K26:K29" si="30">ROUND(G26*0.005,2)</f>
        <v>25</v>
      </c>
      <c r="L26" s="22">
        <f t="shared" si="18"/>
        <v>82.48</v>
      </c>
      <c r="M26" s="30">
        <v>6531</v>
      </c>
      <c r="N26" s="22">
        <f t="shared" si="19"/>
        <v>457.17</v>
      </c>
      <c r="O26" s="22">
        <f t="shared" si="20"/>
        <v>130.62</v>
      </c>
      <c r="P26" s="57">
        <f t="shared" si="21"/>
        <v>20.83</v>
      </c>
      <c r="Q26" s="57">
        <f t="shared" ref="Q26:Q29" si="31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14"/>
        <v>799.84</v>
      </c>
      <c r="I27" s="22">
        <f t="shared" si="15"/>
        <v>399.92</v>
      </c>
      <c r="J27" s="22">
        <f t="shared" si="29"/>
        <v>25</v>
      </c>
      <c r="K27" s="22">
        <f t="shared" si="30"/>
        <v>25</v>
      </c>
      <c r="L27" s="22">
        <f t="shared" si="18"/>
        <v>82.48</v>
      </c>
      <c r="M27" s="30">
        <v>6531</v>
      </c>
      <c r="N27" s="22">
        <f t="shared" si="19"/>
        <v>457.17</v>
      </c>
      <c r="O27" s="22">
        <f t="shared" si="20"/>
        <v>130.62</v>
      </c>
      <c r="P27" s="57">
        <f t="shared" si="21"/>
        <v>20.83</v>
      </c>
      <c r="Q27" s="57">
        <f t="shared" si="31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14"/>
        <v>799.84</v>
      </c>
      <c r="I28" s="22">
        <f t="shared" si="15"/>
        <v>399.92</v>
      </c>
      <c r="J28" s="22">
        <f t="shared" si="29"/>
        <v>25</v>
      </c>
      <c r="K28" s="22">
        <f t="shared" si="30"/>
        <v>25</v>
      </c>
      <c r="L28" s="22">
        <f t="shared" si="18"/>
        <v>82.48</v>
      </c>
      <c r="M28" s="30">
        <v>6531</v>
      </c>
      <c r="N28" s="22">
        <f t="shared" si="19"/>
        <v>457.17</v>
      </c>
      <c r="O28" s="22">
        <f t="shared" si="20"/>
        <v>130.62</v>
      </c>
      <c r="P28" s="57">
        <f t="shared" si="21"/>
        <v>20.83</v>
      </c>
      <c r="Q28" s="57">
        <f t="shared" si="31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14"/>
        <v>799.84</v>
      </c>
      <c r="I29" s="22">
        <f t="shared" si="15"/>
        <v>399.92</v>
      </c>
      <c r="J29" s="22">
        <f t="shared" si="29"/>
        <v>25</v>
      </c>
      <c r="K29" s="22">
        <f t="shared" si="30"/>
        <v>25</v>
      </c>
      <c r="L29" s="22">
        <f t="shared" si="18"/>
        <v>82.48</v>
      </c>
      <c r="M29" s="60">
        <v>6531</v>
      </c>
      <c r="N29" s="22">
        <f t="shared" si="19"/>
        <v>457.17</v>
      </c>
      <c r="O29" s="22">
        <f t="shared" si="20"/>
        <v>130.62</v>
      </c>
      <c r="P29" s="57">
        <f t="shared" si="21"/>
        <v>20.83</v>
      </c>
      <c r="Q29" s="57">
        <f t="shared" si="31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2">SUM(G12:G29)</f>
        <v>99984</v>
      </c>
      <c r="H30" s="40">
        <f t="shared" si="32"/>
        <v>16797.28</v>
      </c>
      <c r="I30" s="40">
        <f t="shared" si="32"/>
        <v>8398.64</v>
      </c>
      <c r="J30" s="40">
        <f t="shared" si="32"/>
        <v>525</v>
      </c>
      <c r="K30" s="40">
        <f t="shared" si="32"/>
        <v>525</v>
      </c>
      <c r="L30" s="40">
        <f t="shared" si="32"/>
        <v>1732.17</v>
      </c>
      <c r="M30" s="40">
        <f t="shared" si="32"/>
        <v>119900</v>
      </c>
      <c r="N30" s="40">
        <f t="shared" si="32"/>
        <v>8742.93</v>
      </c>
      <c r="O30" s="40">
        <f t="shared" si="32"/>
        <v>2497.98</v>
      </c>
      <c r="P30" s="40">
        <f t="shared" si="32"/>
        <v>395.77</v>
      </c>
      <c r="Q30" s="40">
        <f t="shared" si="32"/>
        <v>475</v>
      </c>
      <c r="R30" s="40">
        <f t="shared" si="32"/>
        <v>28272.38</v>
      </c>
      <c r="S30" s="40">
        <f t="shared" si="32"/>
        <v>11817.39</v>
      </c>
      <c r="T30" s="40">
        <f t="shared" si="32"/>
        <v>40089.77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3">ROUND(G31*0.16,2)</f>
        <v>0</v>
      </c>
      <c r="I31" s="22">
        <f t="shared" ref="I31:I35" si="34">ROUND(G31*0.08,2)</f>
        <v>0</v>
      </c>
      <c r="J31" s="22">
        <f t="shared" ref="J31:J35" si="35">ROUND(G31*0.005,2)</f>
        <v>0</v>
      </c>
      <c r="K31" s="22">
        <f t="shared" ref="K31:K35" si="36">ROUND(G31*0.005,2)</f>
        <v>0</v>
      </c>
      <c r="L31" s="22">
        <f>ROUND(G31*0.004,2)</f>
        <v>0</v>
      </c>
      <c r="M31" s="30">
        <v>3919</v>
      </c>
      <c r="N31" s="26">
        <f t="shared" ref="N31:N34" si="37">ROUND(M31*0.06,2)</f>
        <v>235.14</v>
      </c>
      <c r="O31" s="22"/>
      <c r="P31" s="57">
        <f t="shared" ref="P31:P35" si="38">ROUND(8332*0.25%,2)</f>
        <v>20.83</v>
      </c>
      <c r="Q31" s="57">
        <f t="shared" ref="Q31:Q35" si="39">ROUND(8332*0.3%,2)</f>
        <v>25</v>
      </c>
      <c r="R31" s="22">
        <f t="shared" ref="R31:R35" si="40">H31+N31+J31+L31+Q31</f>
        <v>260.14</v>
      </c>
      <c r="S31" s="22">
        <f t="shared" ref="S31:S35" si="41">I31+O31+K31+P31</f>
        <v>20.83</v>
      </c>
      <c r="T31" s="22">
        <f t="shared" ref="T31:T35" si="42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3"/>
        <v>0</v>
      </c>
      <c r="I32" s="22">
        <f t="shared" si="34"/>
        <v>0</v>
      </c>
      <c r="J32" s="22">
        <f t="shared" si="35"/>
        <v>0</v>
      </c>
      <c r="K32" s="22">
        <f t="shared" si="36"/>
        <v>0</v>
      </c>
      <c r="L32" s="22">
        <f t="shared" ref="L32:L35" si="43">ROUND(G32*0.0165,2)</f>
        <v>0</v>
      </c>
      <c r="M32" s="30">
        <v>2746</v>
      </c>
      <c r="N32" s="26">
        <f t="shared" si="37"/>
        <v>164.76</v>
      </c>
      <c r="O32" s="22"/>
      <c r="P32" s="57">
        <f t="shared" si="38"/>
        <v>20.83</v>
      </c>
      <c r="Q32" s="57">
        <f t="shared" si="39"/>
        <v>25</v>
      </c>
      <c r="R32" s="22">
        <f t="shared" si="40"/>
        <v>189.76</v>
      </c>
      <c r="S32" s="22">
        <f t="shared" si="41"/>
        <v>20.83</v>
      </c>
      <c r="T32" s="22">
        <f t="shared" si="42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3"/>
        <v>0</v>
      </c>
      <c r="I33" s="22">
        <f t="shared" si="34"/>
        <v>0</v>
      </c>
      <c r="J33" s="22">
        <f t="shared" si="35"/>
        <v>0</v>
      </c>
      <c r="K33" s="22">
        <f t="shared" si="36"/>
        <v>0</v>
      </c>
      <c r="L33" s="22">
        <f t="shared" si="43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38"/>
        <v>20.83</v>
      </c>
      <c r="Q33" s="57">
        <f t="shared" si="39"/>
        <v>25</v>
      </c>
      <c r="R33" s="22">
        <f t="shared" si="40"/>
        <v>482.17</v>
      </c>
      <c r="S33" s="22">
        <f t="shared" si="41"/>
        <v>151.45</v>
      </c>
      <c r="T33" s="22">
        <f t="shared" si="42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3"/>
        <v>0</v>
      </c>
      <c r="I34" s="22">
        <f t="shared" si="34"/>
        <v>0</v>
      </c>
      <c r="J34" s="22">
        <f t="shared" si="35"/>
        <v>0</v>
      </c>
      <c r="K34" s="22">
        <f t="shared" si="36"/>
        <v>0</v>
      </c>
      <c r="L34" s="22">
        <f>ROUND(G34*0.011,2)</f>
        <v>0</v>
      </c>
      <c r="M34" s="30">
        <v>4142</v>
      </c>
      <c r="N34" s="26">
        <f t="shared" si="37"/>
        <v>248.52</v>
      </c>
      <c r="O34" s="22"/>
      <c r="P34" s="57">
        <f t="shared" si="38"/>
        <v>20.83</v>
      </c>
      <c r="Q34" s="57">
        <f t="shared" si="39"/>
        <v>25</v>
      </c>
      <c r="R34" s="22">
        <f t="shared" si="40"/>
        <v>273.52</v>
      </c>
      <c r="S34" s="22">
        <f t="shared" si="41"/>
        <v>20.83</v>
      </c>
      <c r="T34" s="22">
        <f t="shared" si="42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3"/>
        <v>0</v>
      </c>
      <c r="I35" s="22">
        <f t="shared" si="34"/>
        <v>0</v>
      </c>
      <c r="J35" s="22">
        <f t="shared" si="35"/>
        <v>0</v>
      </c>
      <c r="K35" s="22">
        <f t="shared" si="36"/>
        <v>0</v>
      </c>
      <c r="L35" s="22">
        <f t="shared" si="43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38"/>
        <v>20.83</v>
      </c>
      <c r="Q35" s="57">
        <f t="shared" si="39"/>
        <v>25</v>
      </c>
      <c r="R35" s="22">
        <f t="shared" si="40"/>
        <v>482.17</v>
      </c>
      <c r="S35" s="22">
        <f t="shared" si="41"/>
        <v>151.45</v>
      </c>
      <c r="T35" s="22">
        <f t="shared" si="42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4">SUM(G31:G34)</f>
        <v>0</v>
      </c>
      <c r="H36" s="40">
        <f t="shared" si="44"/>
        <v>0</v>
      </c>
      <c r="I36" s="40">
        <f t="shared" si="44"/>
        <v>0</v>
      </c>
      <c r="J36" s="40">
        <f t="shared" si="44"/>
        <v>0</v>
      </c>
      <c r="K36" s="40">
        <f t="shared" si="44"/>
        <v>0</v>
      </c>
      <c r="L36" s="40">
        <f t="shared" si="44"/>
        <v>0</v>
      </c>
      <c r="M36" s="40">
        <f t="shared" ref="M36:T36" si="45">SUM(M31:M35)</f>
        <v>23869</v>
      </c>
      <c r="N36" s="40">
        <f t="shared" si="45"/>
        <v>1562.76</v>
      </c>
      <c r="O36" s="40">
        <f t="shared" si="45"/>
        <v>261.24</v>
      </c>
      <c r="P36" s="40">
        <f t="shared" si="45"/>
        <v>104.15</v>
      </c>
      <c r="Q36" s="40">
        <f t="shared" si="45"/>
        <v>125</v>
      </c>
      <c r="R36" s="40">
        <f t="shared" si="45"/>
        <v>1687.76</v>
      </c>
      <c r="S36" s="40">
        <f t="shared" si="45"/>
        <v>365.39</v>
      </c>
      <c r="T36" s="40">
        <f t="shared" si="45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6">H37+N37+J37+L37+Q37</f>
        <v>0</v>
      </c>
      <c r="S37" s="41"/>
      <c r="T37" s="41">
        <f t="shared" ref="T37:T42" si="47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6"/>
        <v>0</v>
      </c>
      <c r="S38" s="41"/>
      <c r="T38" s="41">
        <f t="shared" si="47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6"/>
        <v>0</v>
      </c>
      <c r="S39" s="41"/>
      <c r="T39" s="41">
        <f t="shared" si="47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6"/>
        <v>0</v>
      </c>
      <c r="S40" s="41"/>
      <c r="T40" s="41">
        <f t="shared" si="47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6"/>
        <v>0</v>
      </c>
      <c r="S41" s="41"/>
      <c r="T41" s="41">
        <f t="shared" si="47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6"/>
        <v>0</v>
      </c>
      <c r="S42" s="41"/>
      <c r="T42" s="41">
        <f t="shared" si="47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48">SUM(G37:G42)</f>
        <v>0</v>
      </c>
      <c r="H43" s="40">
        <f t="shared" si="48"/>
        <v>0</v>
      </c>
      <c r="I43" s="40">
        <f t="shared" si="48"/>
        <v>0</v>
      </c>
      <c r="J43" s="40">
        <f t="shared" si="48"/>
        <v>0</v>
      </c>
      <c r="K43" s="40">
        <f t="shared" si="48"/>
        <v>0</v>
      </c>
      <c r="L43" s="40">
        <f t="shared" si="48"/>
        <v>0</v>
      </c>
      <c r="M43" s="40">
        <f t="shared" si="48"/>
        <v>0</v>
      </c>
      <c r="N43" s="40">
        <f t="shared" si="48"/>
        <v>0</v>
      </c>
      <c r="O43" s="40">
        <f t="shared" si="48"/>
        <v>0</v>
      </c>
      <c r="P43" s="40">
        <f t="shared" si="48"/>
        <v>0</v>
      </c>
      <c r="Q43" s="40">
        <f t="shared" si="48"/>
        <v>0</v>
      </c>
      <c r="R43" s="40">
        <f t="shared" si="48"/>
        <v>0</v>
      </c>
      <c r="S43" s="40">
        <f t="shared" si="48"/>
        <v>0</v>
      </c>
      <c r="T43" s="40">
        <f t="shared" si="48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49">G5+G11+G30+G36+G43</f>
        <v>129984</v>
      </c>
      <c r="H44" s="49">
        <f t="shared" si="49"/>
        <v>21597.28</v>
      </c>
      <c r="I44" s="49">
        <f t="shared" si="49"/>
        <v>10798.64</v>
      </c>
      <c r="J44" s="49">
        <f t="shared" si="49"/>
        <v>675</v>
      </c>
      <c r="K44" s="49">
        <f t="shared" si="49"/>
        <v>675</v>
      </c>
      <c r="L44" s="49">
        <f t="shared" si="49"/>
        <v>2227.17</v>
      </c>
      <c r="M44" s="49">
        <f t="shared" si="49"/>
        <v>182955</v>
      </c>
      <c r="N44" s="49">
        <f t="shared" si="49"/>
        <v>13048.71</v>
      </c>
      <c r="O44" s="49">
        <f t="shared" si="49"/>
        <v>3542.94</v>
      </c>
      <c r="P44" s="49">
        <f t="shared" si="49"/>
        <v>624.9</v>
      </c>
      <c r="Q44" s="49">
        <f t="shared" si="49"/>
        <v>750</v>
      </c>
      <c r="R44" s="49">
        <f t="shared" si="49"/>
        <v>38298.16</v>
      </c>
      <c r="S44" s="49">
        <f t="shared" si="49"/>
        <v>15641.48</v>
      </c>
      <c r="T44" s="49">
        <f t="shared" si="49"/>
        <v>53939.64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W46" s="5"/>
    </row>
    <row r="47" s="1" customFormat="1" spans="2:23">
      <c r="B47" s="3"/>
      <c r="C47" s="3"/>
      <c r="F47" s="4"/>
      <c r="L47" s="1">
        <f>H44+J44+L44</f>
        <v>24499.45</v>
      </c>
      <c r="N47" s="1">
        <f>N44+Q44</f>
        <v>13798.71</v>
      </c>
      <c r="O47" s="1">
        <f>O44+P44</f>
        <v>4167.84</v>
      </c>
      <c r="W47" s="5"/>
    </row>
    <row r="48" s="1" customFormat="1" spans="2:23">
      <c r="B48" s="3"/>
      <c r="C48" s="3"/>
      <c r="F48" s="4"/>
      <c r="L48" s="1">
        <f>I44+K44</f>
        <v>11473.64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pageSetup paperSize="9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0"/>
  <sheetViews>
    <sheetView workbookViewId="0">
      <selection activeCell="H33" sqref="H33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8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152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24" si="14">ROUND(G12*0.16,2)</f>
        <v>799.84</v>
      </c>
      <c r="I12" s="22">
        <f t="shared" ref="I12:I24" si="15">ROUND(G12*0.08,2)</f>
        <v>399.92</v>
      </c>
      <c r="J12" s="22">
        <f t="shared" ref="J12:J22" si="16">ROUND(G12*0.005,2)</f>
        <v>25</v>
      </c>
      <c r="K12" s="22">
        <f t="shared" ref="K12:K22" si="17">ROUND(G12*0.005,2)</f>
        <v>25</v>
      </c>
      <c r="L12" s="22">
        <f t="shared" ref="L12:L24" si="18">ROUND(G12*0.0165,2)</f>
        <v>82.48</v>
      </c>
      <c r="M12" s="30">
        <v>6531</v>
      </c>
      <c r="N12" s="22">
        <f t="shared" ref="N12:N24" si="19">ROUND(M12*0.07,2)</f>
        <v>457.17</v>
      </c>
      <c r="O12" s="22">
        <f t="shared" ref="O12:O24" si="20">ROUND(M12*0.02,2)</f>
        <v>130.62</v>
      </c>
      <c r="P12" s="57">
        <f t="shared" ref="P12:P24" si="21">ROUND(8332*0.25%,2)</f>
        <v>20.83</v>
      </c>
      <c r="Q12" s="57">
        <f t="shared" ref="Q12:Q22" si="22">ROUND(8332*0.3%,2)</f>
        <v>25</v>
      </c>
      <c r="R12" s="22">
        <f t="shared" ref="R12:R29" si="23">H12+N12+J12+L12+Q12</f>
        <v>1389.49</v>
      </c>
      <c r="S12" s="22">
        <f t="shared" ref="S12:S29" si="24">I12+O12+K12+P12</f>
        <v>576.37</v>
      </c>
      <c r="T12" s="22">
        <f t="shared" ref="T12:T29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17" t="s">
        <v>60</v>
      </c>
      <c r="C14" s="73" t="s">
        <v>61</v>
      </c>
      <c r="D14" s="18" t="s">
        <v>62</v>
      </c>
      <c r="E14" s="27"/>
      <c r="F14" s="11"/>
      <c r="G14" s="30">
        <v>10000</v>
      </c>
      <c r="H14" s="22">
        <f t="shared" si="14"/>
        <v>1600</v>
      </c>
      <c r="I14" s="22">
        <f t="shared" si="15"/>
        <v>800</v>
      </c>
      <c r="J14" s="22">
        <f t="shared" si="16"/>
        <v>50</v>
      </c>
      <c r="K14" s="22">
        <f t="shared" si="17"/>
        <v>50</v>
      </c>
      <c r="L14" s="22">
        <f t="shared" si="18"/>
        <v>165</v>
      </c>
      <c r="M14" s="30">
        <v>10000</v>
      </c>
      <c r="N14" s="22">
        <f t="shared" si="19"/>
        <v>700</v>
      </c>
      <c r="O14" s="22">
        <f t="shared" si="20"/>
        <v>200</v>
      </c>
      <c r="P14" s="57">
        <f t="shared" si="21"/>
        <v>20.83</v>
      </c>
      <c r="Q14" s="57">
        <f t="shared" si="22"/>
        <v>25</v>
      </c>
      <c r="R14" s="22">
        <f t="shared" si="23"/>
        <v>2540</v>
      </c>
      <c r="S14" s="22">
        <f t="shared" si="24"/>
        <v>1070.83</v>
      </c>
      <c r="T14" s="22">
        <f t="shared" si="25"/>
        <v>3610.83</v>
      </c>
      <c r="U14" s="69" t="s">
        <v>63</v>
      </c>
      <c r="V14" s="69" t="s">
        <v>63</v>
      </c>
      <c r="W14" s="68"/>
      <c r="X14" s="33" t="s">
        <v>64</v>
      </c>
    </row>
    <row r="15" s="1" customFormat="1" ht="15" customHeight="1" spans="1:24">
      <c r="A15" s="18">
        <v>10</v>
      </c>
      <c r="B15" s="17" t="s">
        <v>65</v>
      </c>
      <c r="C15" s="17" t="s">
        <v>66</v>
      </c>
      <c r="D15" s="18" t="s">
        <v>67</v>
      </c>
      <c r="E15" s="27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6531</v>
      </c>
      <c r="N15" s="22">
        <f t="shared" si="19"/>
        <v>457.17</v>
      </c>
      <c r="O15" s="22">
        <f t="shared" si="20"/>
        <v>130.62</v>
      </c>
      <c r="P15" s="57">
        <f t="shared" si="21"/>
        <v>20.83</v>
      </c>
      <c r="Q15" s="57">
        <f t="shared" si="22"/>
        <v>25</v>
      </c>
      <c r="R15" s="22">
        <f t="shared" si="23"/>
        <v>1389.49</v>
      </c>
      <c r="S15" s="22">
        <f t="shared" si="24"/>
        <v>576.37</v>
      </c>
      <c r="T15" s="22">
        <f t="shared" si="25"/>
        <v>1965.86</v>
      </c>
      <c r="U15" s="63" t="s">
        <v>33</v>
      </c>
      <c r="V15" s="63" t="s">
        <v>33</v>
      </c>
      <c r="W15" s="68"/>
      <c r="X15" s="33" t="s">
        <v>64</v>
      </c>
    </row>
    <row r="16" s="1" customFormat="1" ht="15" customHeight="1" spans="1:24">
      <c r="A16" s="18">
        <v>11</v>
      </c>
      <c r="B16" s="17" t="s">
        <v>68</v>
      </c>
      <c r="C16" s="17" t="s">
        <v>69</v>
      </c>
      <c r="D16" s="18" t="s">
        <v>70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63</v>
      </c>
      <c r="V16" s="69" t="s">
        <v>63</v>
      </c>
      <c r="W16" s="68"/>
      <c r="X16" s="33" t="s">
        <v>64</v>
      </c>
    </row>
    <row r="17" s="1" customFormat="1" ht="15" customHeight="1" spans="1:24">
      <c r="A17" s="18">
        <v>12</v>
      </c>
      <c r="B17" s="73" t="s">
        <v>71</v>
      </c>
      <c r="C17" s="73" t="s">
        <v>72</v>
      </c>
      <c r="D17" s="18" t="s">
        <v>73</v>
      </c>
      <c r="E17" s="33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36" t="s">
        <v>74</v>
      </c>
      <c r="V17" s="36" t="s">
        <v>74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75</v>
      </c>
      <c r="C18" s="73" t="s">
        <v>76</v>
      </c>
      <c r="D18" s="18" t="s">
        <v>77</v>
      </c>
      <c r="E18" s="33"/>
      <c r="F18" s="11"/>
      <c r="G18" s="30">
        <v>4999</v>
      </c>
      <c r="H18" s="22">
        <f t="shared" si="14"/>
        <v>799.84</v>
      </c>
      <c r="I18" s="22">
        <f t="shared" si="15"/>
        <v>399.92</v>
      </c>
      <c r="J18" s="22">
        <f t="shared" si="16"/>
        <v>25</v>
      </c>
      <c r="K18" s="22">
        <f t="shared" si="17"/>
        <v>25</v>
      </c>
      <c r="L18" s="22">
        <f t="shared" si="18"/>
        <v>82.48</v>
      </c>
      <c r="M18" s="30">
        <v>6531</v>
      </c>
      <c r="N18" s="22">
        <f t="shared" si="19"/>
        <v>457.17</v>
      </c>
      <c r="O18" s="22">
        <f t="shared" si="20"/>
        <v>130.62</v>
      </c>
      <c r="P18" s="57">
        <f t="shared" si="21"/>
        <v>20.83</v>
      </c>
      <c r="Q18" s="57">
        <f t="shared" si="22"/>
        <v>25</v>
      </c>
      <c r="R18" s="22">
        <f t="shared" si="23"/>
        <v>1389.49</v>
      </c>
      <c r="S18" s="22">
        <f t="shared" si="24"/>
        <v>576.37</v>
      </c>
      <c r="T18" s="22">
        <f t="shared" si="25"/>
        <v>1965.86</v>
      </c>
      <c r="U18" s="36" t="s">
        <v>74</v>
      </c>
      <c r="V18" s="36" t="s">
        <v>74</v>
      </c>
      <c r="W18" s="68"/>
      <c r="X18" s="33" t="s">
        <v>64</v>
      </c>
    </row>
    <row r="19" s="1" customFormat="1" ht="15" customHeight="1" spans="1:24">
      <c r="A19" s="18">
        <v>14</v>
      </c>
      <c r="B19" s="17" t="s">
        <v>78</v>
      </c>
      <c r="C19" s="17" t="s">
        <v>79</v>
      </c>
      <c r="D19" s="18" t="s">
        <v>80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81</v>
      </c>
      <c r="C20" s="73" t="s">
        <v>82</v>
      </c>
      <c r="D20" s="18" t="s">
        <v>83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69" t="s">
        <v>84</v>
      </c>
      <c r="V20" s="69" t="s">
        <v>84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85</v>
      </c>
      <c r="C21" s="17" t="s">
        <v>86</v>
      </c>
      <c r="D21" s="18" t="s">
        <v>87</v>
      </c>
      <c r="E21" s="29"/>
      <c r="F21" s="20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63" t="s">
        <v>33</v>
      </c>
      <c r="V21" s="63" t="s">
        <v>33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88</v>
      </c>
      <c r="C22" s="73" t="s">
        <v>89</v>
      </c>
      <c r="D22" s="18" t="s">
        <v>90</v>
      </c>
      <c r="E22" s="29"/>
      <c r="F22" s="20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3" t="s">
        <v>33</v>
      </c>
      <c r="V22" s="63" t="s">
        <v>33</v>
      </c>
      <c r="W22" s="68"/>
      <c r="X22" s="33" t="s">
        <v>64</v>
      </c>
    </row>
    <row r="23" s="1" customFormat="1" ht="15" customHeight="1" spans="1:24">
      <c r="A23" s="18">
        <v>18</v>
      </c>
      <c r="B23" s="73" t="s">
        <v>91</v>
      </c>
      <c r="C23" s="73" t="s">
        <v>92</v>
      </c>
      <c r="D23" s="34" t="s">
        <v>93</v>
      </c>
      <c r="E23" s="35"/>
      <c r="F23" s="36"/>
      <c r="G23" s="30">
        <v>4999</v>
      </c>
      <c r="H23" s="30">
        <f t="shared" si="14"/>
        <v>799.84</v>
      </c>
      <c r="I23" s="30">
        <f t="shared" si="15"/>
        <v>399.92</v>
      </c>
      <c r="J23" s="30">
        <f>ROUND(G23*0.005,0)</f>
        <v>25</v>
      </c>
      <c r="K23" s="30">
        <f>ROUND(G23*0.005,0)</f>
        <v>25</v>
      </c>
      <c r="L23" s="30">
        <f t="shared" si="18"/>
        <v>82.48</v>
      </c>
      <c r="M23" s="59">
        <v>4999</v>
      </c>
      <c r="N23" s="30">
        <f t="shared" si="19"/>
        <v>349.93</v>
      </c>
      <c r="O23" s="30">
        <f t="shared" si="20"/>
        <v>99.98</v>
      </c>
      <c r="P23" s="30">
        <f t="shared" si="21"/>
        <v>20.83</v>
      </c>
      <c r="Q23" s="30">
        <f>ROUND(8332*0.3%,0)</f>
        <v>25</v>
      </c>
      <c r="R23" s="30">
        <f t="shared" si="23"/>
        <v>1282.25</v>
      </c>
      <c r="S23" s="30">
        <f t="shared" si="24"/>
        <v>545.73</v>
      </c>
      <c r="T23" s="30">
        <f t="shared" si="25"/>
        <v>1827.98</v>
      </c>
      <c r="U23" s="33" t="s">
        <v>64</v>
      </c>
      <c r="V23" s="63"/>
      <c r="W23" s="68"/>
      <c r="X23" s="33"/>
    </row>
    <row r="24" s="1" customFormat="1" ht="15" customHeight="1" spans="1:24">
      <c r="A24" s="18">
        <v>19</v>
      </c>
      <c r="B24" s="17">
        <v>6505750538</v>
      </c>
      <c r="C24" s="73" t="s">
        <v>150</v>
      </c>
      <c r="D24" s="37" t="s">
        <v>151</v>
      </c>
      <c r="E24" s="35"/>
      <c r="F24" s="36"/>
      <c r="G24" s="30">
        <v>4999</v>
      </c>
      <c r="H24" s="30">
        <f t="shared" si="14"/>
        <v>799.84</v>
      </c>
      <c r="I24" s="30">
        <f t="shared" si="15"/>
        <v>399.92</v>
      </c>
      <c r="J24" s="30">
        <f>ROUND(G24*0.005,0)</f>
        <v>25</v>
      </c>
      <c r="K24" s="30">
        <f>ROUND(G24*0.005,0)</f>
        <v>25</v>
      </c>
      <c r="L24" s="30">
        <f t="shared" si="18"/>
        <v>82.48</v>
      </c>
      <c r="M24" s="30">
        <v>4999</v>
      </c>
      <c r="N24" s="30">
        <f t="shared" si="19"/>
        <v>349.93</v>
      </c>
      <c r="O24" s="30">
        <f t="shared" si="20"/>
        <v>99.98</v>
      </c>
      <c r="P24" s="30">
        <f t="shared" si="21"/>
        <v>20.83</v>
      </c>
      <c r="Q24" s="30">
        <f>ROUND(8332*0.3%,0)</f>
        <v>25</v>
      </c>
      <c r="R24" s="30">
        <f t="shared" si="23"/>
        <v>1282.25</v>
      </c>
      <c r="S24" s="30">
        <f t="shared" si="24"/>
        <v>545.73</v>
      </c>
      <c r="T24" s="30">
        <f t="shared" si="25"/>
        <v>1827.98</v>
      </c>
      <c r="U24" s="33" t="s">
        <v>64</v>
      </c>
      <c r="V24" s="63"/>
      <c r="W24" s="68"/>
      <c r="X24" s="33"/>
    </row>
    <row r="25" s="1" customFormat="1" ht="15" customHeight="1" spans="1:24">
      <c r="A25" s="18">
        <v>20</v>
      </c>
      <c r="B25" s="17">
        <v>6512196619</v>
      </c>
      <c r="C25" s="73" t="s">
        <v>96</v>
      </c>
      <c r="D25" s="37" t="s">
        <v>97</v>
      </c>
      <c r="E25" s="35"/>
      <c r="F25" s="36"/>
      <c r="G25" s="30">
        <v>4999</v>
      </c>
      <c r="H25" s="30">
        <f t="shared" ref="H25:H29" si="26">ROUND(G25*0.16,2)</f>
        <v>799.84</v>
      </c>
      <c r="I25" s="30">
        <f t="shared" ref="I25:I29" si="27">ROUND(G25*0.08,2)</f>
        <v>399.92</v>
      </c>
      <c r="J25" s="30">
        <f>ROUND(G25*0.005,0)</f>
        <v>25</v>
      </c>
      <c r="K25" s="30">
        <f>ROUND(G25*0.005,0)</f>
        <v>25</v>
      </c>
      <c r="L25" s="30">
        <f t="shared" ref="L25:L29" si="28">ROUND(G25*0.0165,2)</f>
        <v>82.48</v>
      </c>
      <c r="M25" s="30">
        <v>4999</v>
      </c>
      <c r="N25" s="30">
        <f t="shared" ref="N25:N29" si="29">ROUND(M25*0.07,2)</f>
        <v>349.93</v>
      </c>
      <c r="O25" s="30">
        <f t="shared" ref="O25:O29" si="30">ROUND(M25*0.02,2)</f>
        <v>99.98</v>
      </c>
      <c r="P25" s="30">
        <f t="shared" ref="P25:P29" si="31">ROUND(8332*0.25%,2)</f>
        <v>20.83</v>
      </c>
      <c r="Q25" s="30">
        <f>ROUND(8332*0.3%,0)</f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 t="s">
        <v>98</v>
      </c>
      <c r="C26" s="73" t="s">
        <v>99</v>
      </c>
      <c r="D26" s="18" t="s">
        <v>100</v>
      </c>
      <c r="E26" s="38"/>
      <c r="F26" s="11"/>
      <c r="G26" s="30">
        <v>4999</v>
      </c>
      <c r="H26" s="22">
        <f t="shared" si="26"/>
        <v>799.84</v>
      </c>
      <c r="I26" s="22">
        <f t="shared" si="27"/>
        <v>399.92</v>
      </c>
      <c r="J26" s="22">
        <f t="shared" ref="J26:J29" si="32">ROUND(G26*0.005,2)</f>
        <v>25</v>
      </c>
      <c r="K26" s="22">
        <f t="shared" ref="K26:K29" si="33">ROUND(G26*0.005,2)</f>
        <v>25</v>
      </c>
      <c r="L26" s="22">
        <f t="shared" si="28"/>
        <v>82.48</v>
      </c>
      <c r="M26" s="30">
        <v>6531</v>
      </c>
      <c r="N26" s="22">
        <f t="shared" si="29"/>
        <v>457.17</v>
      </c>
      <c r="O26" s="22">
        <f t="shared" si="30"/>
        <v>130.62</v>
      </c>
      <c r="P26" s="57">
        <f t="shared" si="31"/>
        <v>20.83</v>
      </c>
      <c r="Q26" s="57">
        <f t="shared" ref="Q26:Q29" si="34">ROUND(8332*0.3%,2)</f>
        <v>25</v>
      </c>
      <c r="R26" s="22">
        <f t="shared" si="23"/>
        <v>1389.49</v>
      </c>
      <c r="S26" s="22">
        <f t="shared" si="24"/>
        <v>576.37</v>
      </c>
      <c r="T26" s="22">
        <f t="shared" si="25"/>
        <v>1965.86</v>
      </c>
      <c r="U26" s="36" t="s">
        <v>101</v>
      </c>
      <c r="V26" s="36" t="s">
        <v>101</v>
      </c>
      <c r="W26" s="68"/>
      <c r="X26" s="53"/>
    </row>
    <row r="27" s="1" customFormat="1" ht="15" customHeight="1" spans="1:24">
      <c r="A27" s="18">
        <v>22</v>
      </c>
      <c r="B27" s="17" t="s">
        <v>102</v>
      </c>
      <c r="C27" s="73" t="s">
        <v>103</v>
      </c>
      <c r="D27" s="18" t="s">
        <v>104</v>
      </c>
      <c r="E27" s="27"/>
      <c r="F27" s="20"/>
      <c r="G27" s="30">
        <v>4999</v>
      </c>
      <c r="H27" s="22">
        <f t="shared" si="26"/>
        <v>799.84</v>
      </c>
      <c r="I27" s="22">
        <f t="shared" si="27"/>
        <v>399.92</v>
      </c>
      <c r="J27" s="22">
        <f t="shared" si="32"/>
        <v>25</v>
      </c>
      <c r="K27" s="22">
        <f t="shared" si="33"/>
        <v>25</v>
      </c>
      <c r="L27" s="22">
        <f t="shared" si="28"/>
        <v>82.48</v>
      </c>
      <c r="M27" s="30">
        <v>6531</v>
      </c>
      <c r="N27" s="22">
        <f t="shared" si="29"/>
        <v>457.17</v>
      </c>
      <c r="O27" s="22">
        <f t="shared" si="30"/>
        <v>130.62</v>
      </c>
      <c r="P27" s="57">
        <f t="shared" si="31"/>
        <v>20.83</v>
      </c>
      <c r="Q27" s="57">
        <f t="shared" si="34"/>
        <v>25</v>
      </c>
      <c r="R27" s="22">
        <f t="shared" si="23"/>
        <v>1389.49</v>
      </c>
      <c r="S27" s="22">
        <f t="shared" si="24"/>
        <v>576.37</v>
      </c>
      <c r="T27" s="22">
        <f t="shared" si="25"/>
        <v>1965.86</v>
      </c>
      <c r="U27" s="36" t="s">
        <v>74</v>
      </c>
      <c r="V27" s="36" t="s">
        <v>74</v>
      </c>
      <c r="W27" s="68"/>
      <c r="X27" s="33" t="s">
        <v>64</v>
      </c>
    </row>
    <row r="28" s="1" customFormat="1" ht="15" customHeight="1" spans="1:24">
      <c r="A28" s="18">
        <v>23</v>
      </c>
      <c r="B28" s="73" t="s">
        <v>105</v>
      </c>
      <c r="C28" s="73" t="s">
        <v>106</v>
      </c>
      <c r="D28" s="18" t="s">
        <v>107</v>
      </c>
      <c r="E28" s="33"/>
      <c r="F28" s="11"/>
      <c r="G28" s="30">
        <v>4999</v>
      </c>
      <c r="H28" s="22">
        <f t="shared" si="26"/>
        <v>799.84</v>
      </c>
      <c r="I28" s="22">
        <f t="shared" si="27"/>
        <v>399.92</v>
      </c>
      <c r="J28" s="22">
        <f t="shared" si="32"/>
        <v>25</v>
      </c>
      <c r="K28" s="22">
        <f t="shared" si="33"/>
        <v>25</v>
      </c>
      <c r="L28" s="22">
        <f t="shared" si="28"/>
        <v>82.48</v>
      </c>
      <c r="M28" s="30">
        <v>6531</v>
      </c>
      <c r="N28" s="22">
        <f t="shared" si="29"/>
        <v>457.17</v>
      </c>
      <c r="O28" s="22">
        <f t="shared" si="30"/>
        <v>130.62</v>
      </c>
      <c r="P28" s="57">
        <f t="shared" si="31"/>
        <v>20.83</v>
      </c>
      <c r="Q28" s="57">
        <f t="shared" si="34"/>
        <v>25</v>
      </c>
      <c r="R28" s="22">
        <f t="shared" si="23"/>
        <v>1389.49</v>
      </c>
      <c r="S28" s="22">
        <f t="shared" si="24"/>
        <v>576.37</v>
      </c>
      <c r="T28" s="22">
        <f t="shared" si="25"/>
        <v>1965.86</v>
      </c>
      <c r="U28" s="63" t="s">
        <v>32</v>
      </c>
      <c r="V28" s="63" t="s">
        <v>32</v>
      </c>
      <c r="W28" s="68"/>
      <c r="X28" s="33"/>
    </row>
    <row r="29" s="1" customFormat="1" ht="15" customHeight="1" spans="1:24">
      <c r="A29" s="18">
        <v>24</v>
      </c>
      <c r="B29" s="17" t="s">
        <v>108</v>
      </c>
      <c r="C29" s="17" t="s">
        <v>109</v>
      </c>
      <c r="D29" s="18" t="s">
        <v>110</v>
      </c>
      <c r="E29" s="33"/>
      <c r="F29" s="33"/>
      <c r="G29" s="30">
        <v>4999</v>
      </c>
      <c r="H29" s="22">
        <f t="shared" si="26"/>
        <v>799.84</v>
      </c>
      <c r="I29" s="22">
        <f t="shared" si="27"/>
        <v>399.92</v>
      </c>
      <c r="J29" s="22">
        <f t="shared" si="32"/>
        <v>25</v>
      </c>
      <c r="K29" s="22">
        <f t="shared" si="33"/>
        <v>25</v>
      </c>
      <c r="L29" s="22">
        <f t="shared" si="28"/>
        <v>82.48</v>
      </c>
      <c r="M29" s="60">
        <v>6531</v>
      </c>
      <c r="N29" s="22">
        <f t="shared" si="29"/>
        <v>457.17</v>
      </c>
      <c r="O29" s="22">
        <f t="shared" si="30"/>
        <v>130.62</v>
      </c>
      <c r="P29" s="57">
        <f t="shared" si="31"/>
        <v>20.83</v>
      </c>
      <c r="Q29" s="57">
        <f t="shared" si="34"/>
        <v>25</v>
      </c>
      <c r="R29" s="22">
        <f t="shared" si="23"/>
        <v>1389.49</v>
      </c>
      <c r="S29" s="22">
        <f t="shared" si="24"/>
        <v>576.37</v>
      </c>
      <c r="T29" s="22">
        <f t="shared" si="25"/>
        <v>1965.86</v>
      </c>
      <c r="U29" s="63" t="s">
        <v>32</v>
      </c>
      <c r="V29" s="63" t="s">
        <v>32</v>
      </c>
      <c r="W29" s="68"/>
      <c r="X29" s="53"/>
    </row>
    <row r="30" s="1" customFormat="1" ht="15" customHeight="1" spans="1:24">
      <c r="A30" s="39" t="s">
        <v>34</v>
      </c>
      <c r="B30" s="39"/>
      <c r="C30" s="39"/>
      <c r="D30" s="39"/>
      <c r="E30" s="39"/>
      <c r="F30" s="39"/>
      <c r="G30" s="40">
        <f t="shared" ref="G30:T30" si="35">SUM(G12:G29)</f>
        <v>99984</v>
      </c>
      <c r="H30" s="40">
        <f t="shared" si="35"/>
        <v>15997.44</v>
      </c>
      <c r="I30" s="40">
        <f t="shared" si="35"/>
        <v>7998.72</v>
      </c>
      <c r="J30" s="40">
        <f t="shared" si="35"/>
        <v>500</v>
      </c>
      <c r="K30" s="40">
        <f t="shared" si="35"/>
        <v>500</v>
      </c>
      <c r="L30" s="40">
        <f t="shared" si="35"/>
        <v>1649.68</v>
      </c>
      <c r="M30" s="40">
        <f t="shared" si="35"/>
        <v>119900</v>
      </c>
      <c r="N30" s="40">
        <f t="shared" si="35"/>
        <v>8393</v>
      </c>
      <c r="O30" s="40">
        <f t="shared" si="35"/>
        <v>2398</v>
      </c>
      <c r="P30" s="40">
        <f t="shared" si="35"/>
        <v>374.94</v>
      </c>
      <c r="Q30" s="40">
        <f t="shared" si="35"/>
        <v>450</v>
      </c>
      <c r="R30" s="40">
        <f t="shared" si="35"/>
        <v>26990.12</v>
      </c>
      <c r="S30" s="40">
        <f t="shared" si="35"/>
        <v>11271.66</v>
      </c>
      <c r="T30" s="40">
        <f t="shared" si="35"/>
        <v>38261.78</v>
      </c>
      <c r="U30" s="35"/>
      <c r="V30" s="35"/>
      <c r="W30" s="68"/>
      <c r="X30" s="53"/>
    </row>
    <row r="31" s="1" customFormat="1" ht="15" customHeight="1" spans="1:24">
      <c r="A31" s="16">
        <v>25</v>
      </c>
      <c r="B31" s="17" t="s">
        <v>111</v>
      </c>
      <c r="C31" s="17" t="s">
        <v>112</v>
      </c>
      <c r="D31" s="18" t="s">
        <v>113</v>
      </c>
      <c r="E31" s="27"/>
      <c r="F31" s="11"/>
      <c r="G31" s="30"/>
      <c r="H31" s="22">
        <f t="shared" ref="H31:H35" si="36">ROUND(G31*0.16,2)</f>
        <v>0</v>
      </c>
      <c r="I31" s="22">
        <f t="shared" ref="I31:I35" si="37">ROUND(G31*0.08,2)</f>
        <v>0</v>
      </c>
      <c r="J31" s="22">
        <f t="shared" ref="J31:J35" si="38">ROUND(G31*0.005,2)</f>
        <v>0</v>
      </c>
      <c r="K31" s="22">
        <f t="shared" ref="K31:K35" si="39">ROUND(G31*0.005,2)</f>
        <v>0</v>
      </c>
      <c r="L31" s="22">
        <f>ROUND(G31*0.004,2)</f>
        <v>0</v>
      </c>
      <c r="M31" s="30">
        <v>3919</v>
      </c>
      <c r="N31" s="26">
        <f t="shared" ref="N31:N34" si="40">ROUND(M31*0.06,2)</f>
        <v>235.14</v>
      </c>
      <c r="O31" s="22"/>
      <c r="P31" s="57">
        <f t="shared" ref="P31:P35" si="41">ROUND(8332*0.25%,2)</f>
        <v>20.83</v>
      </c>
      <c r="Q31" s="57">
        <f t="shared" ref="Q31:Q35" si="42">ROUND(8332*0.3%,2)</f>
        <v>25</v>
      </c>
      <c r="R31" s="22">
        <f t="shared" ref="R31:R35" si="43">H31+N31+J31+L31+Q31</f>
        <v>260.14</v>
      </c>
      <c r="S31" s="22">
        <f t="shared" ref="S31:S35" si="44">I31+O31+K31+P31</f>
        <v>20.83</v>
      </c>
      <c r="T31" s="22">
        <f t="shared" ref="T31:T35" si="45">R31+S31</f>
        <v>280.97</v>
      </c>
      <c r="U31" s="69" t="s">
        <v>84</v>
      </c>
      <c r="V31" s="69" t="s">
        <v>84</v>
      </c>
      <c r="W31" s="65" t="s">
        <v>114</v>
      </c>
      <c r="X31" s="33" t="s">
        <v>64</v>
      </c>
    </row>
    <row r="32" s="1" customFormat="1" ht="15" customHeight="1" spans="1:24">
      <c r="A32" s="16">
        <v>26</v>
      </c>
      <c r="B32" s="17" t="s">
        <v>115</v>
      </c>
      <c r="C32" s="17" t="s">
        <v>116</v>
      </c>
      <c r="D32" s="18" t="s">
        <v>117</v>
      </c>
      <c r="E32" s="27"/>
      <c r="F32" s="11"/>
      <c r="G32" s="30"/>
      <c r="H32" s="22">
        <f t="shared" si="36"/>
        <v>0</v>
      </c>
      <c r="I32" s="22">
        <f t="shared" si="37"/>
        <v>0</v>
      </c>
      <c r="J32" s="22">
        <f t="shared" si="38"/>
        <v>0</v>
      </c>
      <c r="K32" s="22">
        <f t="shared" si="39"/>
        <v>0</v>
      </c>
      <c r="L32" s="22">
        <f t="shared" ref="L32:L35" si="46">ROUND(G32*0.0165,2)</f>
        <v>0</v>
      </c>
      <c r="M32" s="30">
        <v>2746</v>
      </c>
      <c r="N32" s="26">
        <f t="shared" si="40"/>
        <v>164.76</v>
      </c>
      <c r="O32" s="22"/>
      <c r="P32" s="57">
        <f t="shared" si="41"/>
        <v>20.83</v>
      </c>
      <c r="Q32" s="57">
        <f t="shared" si="42"/>
        <v>25</v>
      </c>
      <c r="R32" s="22">
        <f t="shared" si="43"/>
        <v>189.76</v>
      </c>
      <c r="S32" s="22">
        <f t="shared" si="44"/>
        <v>20.83</v>
      </c>
      <c r="T32" s="22">
        <f t="shared" si="45"/>
        <v>210.59</v>
      </c>
      <c r="U32" s="69" t="s">
        <v>33</v>
      </c>
      <c r="V32" s="69" t="s">
        <v>33</v>
      </c>
      <c r="W32" s="70"/>
      <c r="X32" s="33" t="s">
        <v>64</v>
      </c>
    </row>
    <row r="33" s="1" customFormat="1" ht="15" customHeight="1" spans="1:24">
      <c r="A33" s="16">
        <v>27</v>
      </c>
      <c r="B33" s="17" t="s">
        <v>118</v>
      </c>
      <c r="C33" s="73" t="s">
        <v>119</v>
      </c>
      <c r="D33" s="18" t="s">
        <v>120</v>
      </c>
      <c r="E33" s="27"/>
      <c r="F33" s="11"/>
      <c r="G33" s="30"/>
      <c r="H33" s="22">
        <f t="shared" si="36"/>
        <v>0</v>
      </c>
      <c r="I33" s="22">
        <f t="shared" si="37"/>
        <v>0</v>
      </c>
      <c r="J33" s="22">
        <f t="shared" si="38"/>
        <v>0</v>
      </c>
      <c r="K33" s="22">
        <f t="shared" si="39"/>
        <v>0</v>
      </c>
      <c r="L33" s="22">
        <f t="shared" si="46"/>
        <v>0</v>
      </c>
      <c r="M33" s="30">
        <v>6531</v>
      </c>
      <c r="N33" s="22">
        <f>ROUND(M33*0.07,2)</f>
        <v>457.17</v>
      </c>
      <c r="O33" s="22">
        <f>ROUND(M33*0.02,2)</f>
        <v>130.62</v>
      </c>
      <c r="P33" s="57">
        <f t="shared" si="41"/>
        <v>20.83</v>
      </c>
      <c r="Q33" s="57">
        <f t="shared" si="42"/>
        <v>25</v>
      </c>
      <c r="R33" s="22">
        <f t="shared" si="43"/>
        <v>482.17</v>
      </c>
      <c r="S33" s="22">
        <f t="shared" si="44"/>
        <v>151.45</v>
      </c>
      <c r="T33" s="22">
        <f t="shared" si="45"/>
        <v>633.62</v>
      </c>
      <c r="U33" s="35"/>
      <c r="V33" s="35"/>
      <c r="W33" s="70"/>
      <c r="X33" s="33" t="s">
        <v>64</v>
      </c>
    </row>
    <row r="34" s="1" customFormat="1" ht="15" customHeight="1" spans="1:24">
      <c r="A34" s="16">
        <v>28</v>
      </c>
      <c r="B34" s="17" t="s">
        <v>121</v>
      </c>
      <c r="C34" s="17" t="s">
        <v>122</v>
      </c>
      <c r="D34" s="18" t="s">
        <v>123</v>
      </c>
      <c r="E34" s="33"/>
      <c r="F34" s="11"/>
      <c r="G34" s="30"/>
      <c r="H34" s="22">
        <f t="shared" si="36"/>
        <v>0</v>
      </c>
      <c r="I34" s="22">
        <f t="shared" si="37"/>
        <v>0</v>
      </c>
      <c r="J34" s="22">
        <f t="shared" si="38"/>
        <v>0</v>
      </c>
      <c r="K34" s="22">
        <f t="shared" si="39"/>
        <v>0</v>
      </c>
      <c r="L34" s="22">
        <f>ROUND(G34*0.011,2)</f>
        <v>0</v>
      </c>
      <c r="M34" s="30">
        <v>4142</v>
      </c>
      <c r="N34" s="26">
        <f t="shared" si="40"/>
        <v>248.52</v>
      </c>
      <c r="O34" s="22"/>
      <c r="P34" s="57">
        <f t="shared" si="41"/>
        <v>20.83</v>
      </c>
      <c r="Q34" s="57">
        <f t="shared" si="42"/>
        <v>25</v>
      </c>
      <c r="R34" s="22">
        <f t="shared" si="43"/>
        <v>273.52</v>
      </c>
      <c r="S34" s="22">
        <f t="shared" si="44"/>
        <v>20.83</v>
      </c>
      <c r="T34" s="22">
        <f t="shared" si="45"/>
        <v>294.35</v>
      </c>
      <c r="U34" s="69" t="s">
        <v>84</v>
      </c>
      <c r="V34" s="69" t="s">
        <v>84</v>
      </c>
      <c r="W34" s="71"/>
      <c r="X34" s="33" t="s">
        <v>64</v>
      </c>
    </row>
    <row r="35" s="1" customFormat="1" ht="15" customHeight="1" spans="1:24">
      <c r="A35" s="16">
        <v>29</v>
      </c>
      <c r="B35" s="17" t="s">
        <v>124</v>
      </c>
      <c r="C35" s="17" t="s">
        <v>125</v>
      </c>
      <c r="D35" s="18" t="s">
        <v>126</v>
      </c>
      <c r="E35" s="29"/>
      <c r="F35" s="20"/>
      <c r="G35" s="30"/>
      <c r="H35" s="22">
        <f t="shared" si="36"/>
        <v>0</v>
      </c>
      <c r="I35" s="22">
        <f t="shared" si="37"/>
        <v>0</v>
      </c>
      <c r="J35" s="22">
        <f t="shared" si="38"/>
        <v>0</v>
      </c>
      <c r="K35" s="22">
        <f t="shared" si="39"/>
        <v>0</v>
      </c>
      <c r="L35" s="22">
        <f t="shared" si="46"/>
        <v>0</v>
      </c>
      <c r="M35" s="30">
        <v>6531</v>
      </c>
      <c r="N35" s="22">
        <f>ROUND(M35*0.07,2)</f>
        <v>457.17</v>
      </c>
      <c r="O35" s="22">
        <f>ROUND(M35*0.02,2)</f>
        <v>130.62</v>
      </c>
      <c r="P35" s="57">
        <f t="shared" si="41"/>
        <v>20.83</v>
      </c>
      <c r="Q35" s="57">
        <f t="shared" si="42"/>
        <v>25</v>
      </c>
      <c r="R35" s="22">
        <f t="shared" si="43"/>
        <v>482.17</v>
      </c>
      <c r="S35" s="22">
        <f t="shared" si="44"/>
        <v>151.45</v>
      </c>
      <c r="T35" s="22">
        <f t="shared" si="45"/>
        <v>633.62</v>
      </c>
      <c r="U35" s="69"/>
      <c r="V35" s="69"/>
      <c r="W35" s="71"/>
      <c r="X35" s="33"/>
    </row>
    <row r="36" s="1" customFormat="1" ht="15" customHeight="1" spans="1:24">
      <c r="A36" s="39" t="s">
        <v>34</v>
      </c>
      <c r="B36" s="39"/>
      <c r="C36" s="39"/>
      <c r="D36" s="39"/>
      <c r="E36" s="39"/>
      <c r="F36" s="39"/>
      <c r="G36" s="40">
        <f t="shared" ref="G36:L36" si="47">SUM(G31:G34)</f>
        <v>0</v>
      </c>
      <c r="H36" s="40">
        <f t="shared" si="47"/>
        <v>0</v>
      </c>
      <c r="I36" s="40">
        <f t="shared" si="47"/>
        <v>0</v>
      </c>
      <c r="J36" s="40">
        <f t="shared" si="47"/>
        <v>0</v>
      </c>
      <c r="K36" s="40">
        <f t="shared" si="47"/>
        <v>0</v>
      </c>
      <c r="L36" s="40">
        <f t="shared" si="47"/>
        <v>0</v>
      </c>
      <c r="M36" s="40">
        <f t="shared" ref="M36:T36" si="48">SUM(M31:M35)</f>
        <v>23869</v>
      </c>
      <c r="N36" s="40">
        <f t="shared" si="48"/>
        <v>1562.76</v>
      </c>
      <c r="O36" s="40">
        <f t="shared" si="48"/>
        <v>261.24</v>
      </c>
      <c r="P36" s="40">
        <f t="shared" si="48"/>
        <v>104.15</v>
      </c>
      <c r="Q36" s="40">
        <f t="shared" si="48"/>
        <v>125</v>
      </c>
      <c r="R36" s="40">
        <f t="shared" si="48"/>
        <v>1687.76</v>
      </c>
      <c r="S36" s="40">
        <f t="shared" si="48"/>
        <v>365.39</v>
      </c>
      <c r="T36" s="40">
        <f t="shared" si="48"/>
        <v>2053.15</v>
      </c>
      <c r="U36" s="35"/>
      <c r="V36" s="35"/>
      <c r="W36" s="68"/>
      <c r="X36" s="35"/>
    </row>
    <row r="37" s="1" customFormat="1" ht="15" customHeight="1" spans="1:24">
      <c r="A37" s="33">
        <v>30</v>
      </c>
      <c r="B37" s="17" t="s">
        <v>127</v>
      </c>
      <c r="C37" s="17" t="s">
        <v>128</v>
      </c>
      <c r="D37" s="18" t="s">
        <v>129</v>
      </c>
      <c r="E37" s="39"/>
      <c r="F37" s="33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57"/>
      <c r="R37" s="41">
        <f t="shared" ref="R37:R42" si="49">H37+N37+J37+L37+Q37</f>
        <v>0</v>
      </c>
      <c r="S37" s="41"/>
      <c r="T37" s="41">
        <f t="shared" ref="T37:T42" si="50">R37+S37</f>
        <v>0</v>
      </c>
      <c r="U37" s="35"/>
      <c r="V37" s="35"/>
      <c r="W37" s="65" t="s">
        <v>114</v>
      </c>
      <c r="X37" s="35"/>
    </row>
    <row r="38" s="1" customFormat="1" ht="15" customHeight="1" spans="1:24">
      <c r="A38" s="33">
        <v>31</v>
      </c>
      <c r="B38" s="17" t="s">
        <v>130</v>
      </c>
      <c r="C38" s="17" t="s">
        <v>131</v>
      </c>
      <c r="D38" s="18" t="s">
        <v>132</v>
      </c>
      <c r="E38" s="39"/>
      <c r="F38" s="33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57"/>
      <c r="R38" s="41">
        <f t="shared" si="49"/>
        <v>0</v>
      </c>
      <c r="S38" s="41"/>
      <c r="T38" s="41">
        <f t="shared" si="50"/>
        <v>0</v>
      </c>
      <c r="U38" s="35"/>
      <c r="V38" s="35"/>
      <c r="W38" s="70"/>
      <c r="X38" s="35"/>
    </row>
    <row r="39" s="1" customFormat="1" ht="15" customHeight="1" spans="1:24">
      <c r="A39" s="33">
        <v>32</v>
      </c>
      <c r="B39" s="17" t="s">
        <v>133</v>
      </c>
      <c r="C39" s="17" t="s">
        <v>134</v>
      </c>
      <c r="D39" s="18" t="s">
        <v>135</v>
      </c>
      <c r="E39" s="39"/>
      <c r="F39" s="33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57"/>
      <c r="R39" s="41">
        <f t="shared" si="49"/>
        <v>0</v>
      </c>
      <c r="S39" s="41"/>
      <c r="T39" s="41">
        <f t="shared" si="50"/>
        <v>0</v>
      </c>
      <c r="U39" s="35"/>
      <c r="V39" s="35"/>
      <c r="W39" s="70"/>
      <c r="X39" s="35"/>
    </row>
    <row r="40" s="1" customFormat="1" ht="15" customHeight="1" spans="1:24">
      <c r="A40" s="33">
        <v>33</v>
      </c>
      <c r="B40" s="17" t="s">
        <v>136</v>
      </c>
      <c r="C40" s="17" t="s">
        <v>137</v>
      </c>
      <c r="D40" s="18" t="s">
        <v>138</v>
      </c>
      <c r="E40" s="39"/>
      <c r="F40" s="33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57"/>
      <c r="R40" s="41">
        <f t="shared" si="49"/>
        <v>0</v>
      </c>
      <c r="S40" s="41"/>
      <c r="T40" s="41">
        <f t="shared" si="50"/>
        <v>0</v>
      </c>
      <c r="U40" s="35"/>
      <c r="V40" s="35"/>
      <c r="W40" s="70"/>
      <c r="X40" s="35"/>
    </row>
    <row r="41" s="1" customFormat="1" ht="15" customHeight="1" spans="1:24">
      <c r="A41" s="33">
        <v>34</v>
      </c>
      <c r="B41" s="17" t="s">
        <v>139</v>
      </c>
      <c r="C41" s="17" t="s">
        <v>140</v>
      </c>
      <c r="D41" s="18" t="s">
        <v>141</v>
      </c>
      <c r="E41" s="39"/>
      <c r="F41" s="33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57"/>
      <c r="R41" s="41">
        <f t="shared" si="49"/>
        <v>0</v>
      </c>
      <c r="S41" s="41"/>
      <c r="T41" s="41">
        <f t="shared" si="50"/>
        <v>0</v>
      </c>
      <c r="U41" s="35"/>
      <c r="V41" s="35"/>
      <c r="W41" s="70"/>
      <c r="X41" s="35"/>
    </row>
    <row r="42" s="1" customFormat="1" ht="15" customHeight="1" spans="1:24">
      <c r="A42" s="33">
        <v>35</v>
      </c>
      <c r="B42" s="17" t="s">
        <v>142</v>
      </c>
      <c r="C42" s="17" t="s">
        <v>143</v>
      </c>
      <c r="D42" s="18" t="s">
        <v>144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si="49"/>
        <v>0</v>
      </c>
      <c r="S42" s="41"/>
      <c r="T42" s="41">
        <f t="shared" si="50"/>
        <v>0</v>
      </c>
      <c r="U42" s="35"/>
      <c r="V42" s="35"/>
      <c r="W42" s="71"/>
      <c r="X42" s="35"/>
    </row>
    <row r="43" s="1" customFormat="1" ht="15" customHeight="1" spans="1:24">
      <c r="A43" s="42" t="s">
        <v>34</v>
      </c>
      <c r="B43" s="43"/>
      <c r="C43" s="43"/>
      <c r="D43" s="43"/>
      <c r="E43" s="43"/>
      <c r="F43" s="44"/>
      <c r="G43" s="40">
        <f t="shared" ref="G43:T43" si="51">SUM(G37:G42)</f>
        <v>0</v>
      </c>
      <c r="H43" s="40">
        <f t="shared" si="51"/>
        <v>0</v>
      </c>
      <c r="I43" s="40">
        <f t="shared" si="51"/>
        <v>0</v>
      </c>
      <c r="J43" s="40">
        <f t="shared" si="51"/>
        <v>0</v>
      </c>
      <c r="K43" s="40">
        <f t="shared" si="51"/>
        <v>0</v>
      </c>
      <c r="L43" s="40">
        <f t="shared" si="51"/>
        <v>0</v>
      </c>
      <c r="M43" s="40">
        <f t="shared" si="51"/>
        <v>0</v>
      </c>
      <c r="N43" s="40">
        <f t="shared" si="51"/>
        <v>0</v>
      </c>
      <c r="O43" s="40">
        <f t="shared" si="51"/>
        <v>0</v>
      </c>
      <c r="P43" s="40">
        <f t="shared" si="51"/>
        <v>0</v>
      </c>
      <c r="Q43" s="40">
        <f t="shared" si="51"/>
        <v>0</v>
      </c>
      <c r="R43" s="40">
        <f t="shared" si="51"/>
        <v>0</v>
      </c>
      <c r="S43" s="40">
        <f t="shared" si="51"/>
        <v>0</v>
      </c>
      <c r="T43" s="40">
        <f t="shared" si="51"/>
        <v>0</v>
      </c>
      <c r="U43" s="35"/>
      <c r="V43" s="35"/>
      <c r="W43" s="68"/>
      <c r="X43" s="35"/>
    </row>
    <row r="44" s="1" customFormat="1" ht="15" customHeight="1" spans="1:24">
      <c r="A44" s="45" t="s">
        <v>14</v>
      </c>
      <c r="B44" s="46"/>
      <c r="C44" s="46"/>
      <c r="D44" s="47"/>
      <c r="E44" s="48"/>
      <c r="F44" s="48"/>
      <c r="G44" s="49">
        <f t="shared" ref="G44:T44" si="52">G5+G11+G30+G36+G43</f>
        <v>129984</v>
      </c>
      <c r="H44" s="49">
        <f t="shared" si="52"/>
        <v>20797.44</v>
      </c>
      <c r="I44" s="49">
        <f t="shared" si="52"/>
        <v>10398.72</v>
      </c>
      <c r="J44" s="49">
        <f t="shared" si="52"/>
        <v>650</v>
      </c>
      <c r="K44" s="49">
        <f t="shared" si="52"/>
        <v>650</v>
      </c>
      <c r="L44" s="49">
        <f t="shared" si="52"/>
        <v>2144.68</v>
      </c>
      <c r="M44" s="49">
        <f t="shared" si="52"/>
        <v>182955</v>
      </c>
      <c r="N44" s="49">
        <f t="shared" si="52"/>
        <v>12698.78</v>
      </c>
      <c r="O44" s="49">
        <f t="shared" si="52"/>
        <v>3442.96</v>
      </c>
      <c r="P44" s="49">
        <f t="shared" si="52"/>
        <v>604.07</v>
      </c>
      <c r="Q44" s="49">
        <f t="shared" si="52"/>
        <v>725</v>
      </c>
      <c r="R44" s="49">
        <f t="shared" si="52"/>
        <v>37015.9</v>
      </c>
      <c r="S44" s="49">
        <f t="shared" si="52"/>
        <v>15095.75</v>
      </c>
      <c r="T44" s="49">
        <f t="shared" si="52"/>
        <v>52111.65</v>
      </c>
      <c r="U44" s="35"/>
      <c r="V44" s="35"/>
      <c r="W44" s="68"/>
      <c r="X44" s="35"/>
    </row>
    <row r="45" s="1" customFormat="1" spans="2:23">
      <c r="B45" s="3"/>
      <c r="C45" s="3"/>
      <c r="F45" s="4"/>
      <c r="W45" s="5"/>
    </row>
    <row r="46" s="1" customFormat="1" spans="2:23">
      <c r="B46" s="3"/>
      <c r="C46" s="3"/>
      <c r="F46" s="4"/>
      <c r="W46" s="5"/>
    </row>
    <row r="47" s="1" customFormat="1" spans="2:23">
      <c r="B47" s="3"/>
      <c r="C47" s="3"/>
      <c r="F47" s="4"/>
      <c r="L47" s="1">
        <f>H44+J44+L44</f>
        <v>23592.12</v>
      </c>
      <c r="N47" s="1">
        <f>N44+Q44</f>
        <v>13423.78</v>
      </c>
      <c r="O47" s="1">
        <f>O44+P44</f>
        <v>4047.03</v>
      </c>
      <c r="W47" s="5"/>
    </row>
    <row r="48" s="1" customFormat="1" spans="2:23">
      <c r="B48" s="3"/>
      <c r="C48" s="3"/>
      <c r="F48" s="4"/>
      <c r="L48" s="1">
        <f>I44+K44</f>
        <v>11048.72</v>
      </c>
      <c r="W48" s="5"/>
    </row>
    <row r="49" s="1" customFormat="1" spans="2:23">
      <c r="B49" s="3"/>
      <c r="C49" s="3"/>
      <c r="F49" s="4"/>
      <c r="W49" s="5"/>
    </row>
    <row r="50" s="1" customFormat="1" spans="2:23">
      <c r="B50" s="3"/>
      <c r="C50" s="3"/>
      <c r="F50" s="4"/>
      <c r="W50" s="5"/>
    </row>
  </sheetData>
  <mergeCells count="27">
    <mergeCell ref="A1:T1"/>
    <mergeCell ref="H2:I2"/>
    <mergeCell ref="J2:K2"/>
    <mergeCell ref="N2:O2"/>
    <mergeCell ref="P2:Q2"/>
    <mergeCell ref="R2:T2"/>
    <mergeCell ref="A5:D5"/>
    <mergeCell ref="A11:D11"/>
    <mergeCell ref="A30:F30"/>
    <mergeCell ref="A36:F36"/>
    <mergeCell ref="A43:F43"/>
    <mergeCell ref="A44:D44"/>
    <mergeCell ref="A2:A3"/>
    <mergeCell ref="B2:B3"/>
    <mergeCell ref="C2:C3"/>
    <mergeCell ref="D2:D3"/>
    <mergeCell ref="E2:E3"/>
    <mergeCell ref="F2:F3"/>
    <mergeCell ref="G2:G3"/>
    <mergeCell ref="M2:M3"/>
    <mergeCell ref="U2:U3"/>
    <mergeCell ref="V2:V3"/>
    <mergeCell ref="W2:W3"/>
    <mergeCell ref="W6:W10"/>
    <mergeCell ref="W31:W34"/>
    <mergeCell ref="W37:W42"/>
    <mergeCell ref="X2:X3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6"/>
  <sheetViews>
    <sheetView tabSelected="1" topLeftCell="A30" workbookViewId="0">
      <selection activeCell="L43" sqref="L43"/>
    </sheetView>
  </sheetViews>
  <sheetFormatPr defaultColWidth="8" defaultRowHeight="12.75"/>
  <cols>
    <col min="1" max="1" width="3.50833333333333" style="1" customWidth="1"/>
    <col min="2" max="2" width="13.9333333333333" style="3" customWidth="1"/>
    <col min="3" max="3" width="20.875" style="3" customWidth="1"/>
    <col min="4" max="4" width="7.75" style="1" customWidth="1"/>
    <col min="5" max="5" width="17.25" style="1" hidden="1" customWidth="1"/>
    <col min="6" max="6" width="6.75" style="4" customWidth="1"/>
    <col min="7" max="7" width="12.6416666666667" style="1" customWidth="1"/>
    <col min="8" max="9" width="11.9083333333333" style="1" customWidth="1"/>
    <col min="10" max="11" width="8.89166666666667" style="1" customWidth="1"/>
    <col min="12" max="12" width="10.9083333333333" style="1" customWidth="1"/>
    <col min="13" max="13" width="12.2583333333333" style="1" customWidth="1"/>
    <col min="14" max="14" width="11.9083333333333" style="1" customWidth="1"/>
    <col min="15" max="15" width="10.9083333333333" style="1" customWidth="1"/>
    <col min="16" max="17" width="9.25" style="1" customWidth="1"/>
    <col min="18" max="19" width="11.9083333333333" style="1" customWidth="1"/>
    <col min="20" max="20" width="12.025" style="1" customWidth="1"/>
    <col min="21" max="21" width="12.5" style="1" customWidth="1"/>
    <col min="22" max="22" width="12.1416666666667" style="1" customWidth="1"/>
    <col min="23" max="23" width="7.49166666666667" style="5" customWidth="1"/>
    <col min="24" max="24" width="8.91666666666667" style="1" customWidth="1"/>
    <col min="25" max="16384" width="8" style="1"/>
  </cols>
  <sheetData>
    <row r="1" s="1" customFormat="1" ht="27" spans="1:23">
      <c r="A1" s="6" t="s">
        <v>153</v>
      </c>
      <c r="B1" s="7"/>
      <c r="C1" s="8"/>
      <c r="D1" s="6"/>
      <c r="E1" s="6"/>
      <c r="F1" s="9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W1" s="5"/>
    </row>
    <row r="2" s="1" customFormat="1" spans="1:2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 t="s">
        <v>8</v>
      </c>
      <c r="I2" s="14"/>
      <c r="J2" s="14" t="s">
        <v>9</v>
      </c>
      <c r="K2" s="14"/>
      <c r="L2" s="14" t="s">
        <v>10</v>
      </c>
      <c r="M2" s="54" t="s">
        <v>11</v>
      </c>
      <c r="N2" s="14" t="s">
        <v>12</v>
      </c>
      <c r="O2" s="14"/>
      <c r="P2" s="55" t="s">
        <v>13</v>
      </c>
      <c r="Q2" s="61"/>
      <c r="R2" s="14" t="s">
        <v>14</v>
      </c>
      <c r="S2" s="14"/>
      <c r="T2" s="14"/>
      <c r="U2" s="62" t="s">
        <v>15</v>
      </c>
      <c r="V2" s="62" t="s">
        <v>16</v>
      </c>
      <c r="W2" s="62" t="s">
        <v>17</v>
      </c>
      <c r="X2" s="33" t="s">
        <v>18</v>
      </c>
    </row>
    <row r="3" s="1" customFormat="1" spans="1:24">
      <c r="A3" s="10"/>
      <c r="B3" s="11"/>
      <c r="C3" s="11"/>
      <c r="D3" s="11"/>
      <c r="E3" s="11"/>
      <c r="F3" s="15"/>
      <c r="G3" s="13"/>
      <c r="H3" s="14" t="s">
        <v>19</v>
      </c>
      <c r="I3" s="14" t="s">
        <v>20</v>
      </c>
      <c r="J3" s="14" t="s">
        <v>21</v>
      </c>
      <c r="K3" s="14" t="s">
        <v>22</v>
      </c>
      <c r="L3" s="56" t="s">
        <v>23</v>
      </c>
      <c r="M3" s="54"/>
      <c r="N3" s="14" t="s">
        <v>24</v>
      </c>
      <c r="O3" s="14" t="s">
        <v>25</v>
      </c>
      <c r="P3" s="14" t="s">
        <v>26</v>
      </c>
      <c r="Q3" s="56" t="s">
        <v>27</v>
      </c>
      <c r="R3" s="14" t="s">
        <v>27</v>
      </c>
      <c r="S3" s="14" t="s">
        <v>26</v>
      </c>
      <c r="T3" s="14" t="s">
        <v>14</v>
      </c>
      <c r="U3" s="62"/>
      <c r="V3" s="62"/>
      <c r="W3" s="62"/>
      <c r="X3" s="53"/>
    </row>
    <row r="4" s="2" customFormat="1" ht="15" customHeight="1" spans="1:24">
      <c r="A4" s="16">
        <v>1</v>
      </c>
      <c r="B4" s="17" t="s">
        <v>28</v>
      </c>
      <c r="C4" s="73" t="s">
        <v>29</v>
      </c>
      <c r="D4" s="18" t="s">
        <v>30</v>
      </c>
      <c r="E4" s="19" t="s">
        <v>31</v>
      </c>
      <c r="F4" s="20"/>
      <c r="G4" s="21">
        <v>5000</v>
      </c>
      <c r="H4" s="22">
        <f t="shared" ref="H4:H10" si="0">ROUND(G4*0.16,2)</f>
        <v>800</v>
      </c>
      <c r="I4" s="22">
        <f t="shared" ref="I4:I10" si="1">ROUND(G4*0.08,2)</f>
        <v>400</v>
      </c>
      <c r="J4" s="22">
        <f t="shared" ref="J4:J10" si="2">ROUND(G4*0.005,2)</f>
        <v>25</v>
      </c>
      <c r="K4" s="22">
        <f t="shared" ref="K4:K10" si="3">ROUND(G4*0.005,2)</f>
        <v>25</v>
      </c>
      <c r="L4" s="22">
        <f t="shared" ref="L4:L10" si="4">ROUND(G4*0.0165,2)</f>
        <v>82.5</v>
      </c>
      <c r="M4" s="30">
        <v>6531</v>
      </c>
      <c r="N4" s="22">
        <f t="shared" ref="N4:N10" si="5">ROUND(M4*0.07,2)</f>
        <v>457.17</v>
      </c>
      <c r="O4" s="22">
        <f t="shared" ref="O4:O10" si="6">ROUND(M4*0.02,2)</f>
        <v>130.62</v>
      </c>
      <c r="P4" s="57">
        <f t="shared" ref="P4:P10" si="7">ROUND(8332*0.25%,2)</f>
        <v>20.83</v>
      </c>
      <c r="Q4" s="57">
        <f t="shared" ref="Q4:Q10" si="8">ROUND(8332*0.3%,2)</f>
        <v>25</v>
      </c>
      <c r="R4" s="22">
        <f t="shared" ref="R4:R10" si="9">H4+N4+J4+L4+Q4</f>
        <v>1389.67</v>
      </c>
      <c r="S4" s="22">
        <f t="shared" ref="S4:S10" si="10">I4+O4+K4+P4</f>
        <v>576.45</v>
      </c>
      <c r="T4" s="22">
        <f t="shared" ref="T4:T10" si="11">R4+S4</f>
        <v>1966.12</v>
      </c>
      <c r="U4" s="63" t="s">
        <v>32</v>
      </c>
      <c r="V4" s="63" t="s">
        <v>33</v>
      </c>
      <c r="W4" s="64"/>
      <c r="X4" s="64"/>
    </row>
    <row r="5" s="2" customFormat="1" ht="15" customHeight="1" spans="1:24">
      <c r="A5" s="23" t="s">
        <v>34</v>
      </c>
      <c r="B5" s="23"/>
      <c r="C5" s="23"/>
      <c r="D5" s="23"/>
      <c r="E5" s="24"/>
      <c r="F5" s="24"/>
      <c r="G5" s="25">
        <f t="shared" ref="G5:T5" si="12">SUM(G4:G4)</f>
        <v>5000</v>
      </c>
      <c r="H5" s="26">
        <f t="shared" si="12"/>
        <v>800</v>
      </c>
      <c r="I5" s="26">
        <f t="shared" si="12"/>
        <v>400</v>
      </c>
      <c r="J5" s="26">
        <f t="shared" si="12"/>
        <v>25</v>
      </c>
      <c r="K5" s="26">
        <f t="shared" si="12"/>
        <v>25</v>
      </c>
      <c r="L5" s="26">
        <f t="shared" si="12"/>
        <v>82.5</v>
      </c>
      <c r="M5" s="58">
        <f t="shared" si="12"/>
        <v>6531</v>
      </c>
      <c r="N5" s="26">
        <f t="shared" si="12"/>
        <v>457.17</v>
      </c>
      <c r="O5" s="26">
        <f t="shared" si="12"/>
        <v>130.62</v>
      </c>
      <c r="P5" s="26">
        <f t="shared" si="12"/>
        <v>20.83</v>
      </c>
      <c r="Q5" s="26">
        <f t="shared" si="12"/>
        <v>25</v>
      </c>
      <c r="R5" s="26">
        <f t="shared" si="12"/>
        <v>1389.67</v>
      </c>
      <c r="S5" s="26">
        <f t="shared" si="12"/>
        <v>576.45</v>
      </c>
      <c r="T5" s="26">
        <f t="shared" si="12"/>
        <v>1966.12</v>
      </c>
      <c r="U5" s="64"/>
      <c r="V5" s="64"/>
      <c r="W5" s="64"/>
      <c r="X5" s="64"/>
    </row>
    <row r="6" s="1" customFormat="1" ht="15" customHeight="1" spans="1:24">
      <c r="A6" s="16">
        <v>2</v>
      </c>
      <c r="B6" s="17" t="s">
        <v>35</v>
      </c>
      <c r="C6" s="73" t="s">
        <v>36</v>
      </c>
      <c r="D6" s="18" t="s">
        <v>37</v>
      </c>
      <c r="E6" s="27"/>
      <c r="F6" s="11"/>
      <c r="G6" s="28">
        <v>5000</v>
      </c>
      <c r="H6" s="22">
        <f t="shared" si="0"/>
        <v>800</v>
      </c>
      <c r="I6" s="22">
        <f t="shared" si="1"/>
        <v>400</v>
      </c>
      <c r="J6" s="22">
        <f t="shared" si="2"/>
        <v>25</v>
      </c>
      <c r="K6" s="22">
        <f t="shared" si="3"/>
        <v>25</v>
      </c>
      <c r="L6" s="22">
        <f t="shared" si="4"/>
        <v>82.5</v>
      </c>
      <c r="M6" s="22">
        <v>6531</v>
      </c>
      <c r="N6" s="22">
        <f t="shared" si="5"/>
        <v>457.17</v>
      </c>
      <c r="O6" s="22">
        <f t="shared" si="6"/>
        <v>130.62</v>
      </c>
      <c r="P6" s="57">
        <f t="shared" si="7"/>
        <v>20.83</v>
      </c>
      <c r="Q6" s="57">
        <f t="shared" si="8"/>
        <v>25</v>
      </c>
      <c r="R6" s="22">
        <f t="shared" si="9"/>
        <v>1389.67</v>
      </c>
      <c r="S6" s="22">
        <f t="shared" si="10"/>
        <v>576.45</v>
      </c>
      <c r="T6" s="22">
        <f t="shared" si="11"/>
        <v>1966.12</v>
      </c>
      <c r="U6" s="63" t="s">
        <v>32</v>
      </c>
      <c r="V6" s="63" t="s">
        <v>33</v>
      </c>
      <c r="W6" s="65" t="s">
        <v>38</v>
      </c>
      <c r="X6" s="35"/>
    </row>
    <row r="7" s="1" customFormat="1" ht="15" customHeight="1" spans="1:24">
      <c r="A7" s="16">
        <v>3</v>
      </c>
      <c r="B7" s="17" t="s">
        <v>39</v>
      </c>
      <c r="C7" s="73" t="s">
        <v>40</v>
      </c>
      <c r="D7" s="18" t="s">
        <v>41</v>
      </c>
      <c r="E7" s="27"/>
      <c r="F7" s="20" t="s">
        <v>42</v>
      </c>
      <c r="G7" s="28">
        <v>5000</v>
      </c>
      <c r="H7" s="22">
        <f t="shared" si="0"/>
        <v>800</v>
      </c>
      <c r="I7" s="22">
        <f t="shared" si="1"/>
        <v>400</v>
      </c>
      <c r="J7" s="22">
        <f t="shared" si="2"/>
        <v>25</v>
      </c>
      <c r="K7" s="22">
        <f t="shared" si="3"/>
        <v>25</v>
      </c>
      <c r="L7" s="22">
        <f t="shared" si="4"/>
        <v>82.5</v>
      </c>
      <c r="M7" s="30">
        <v>6531</v>
      </c>
      <c r="N7" s="22">
        <f t="shared" si="5"/>
        <v>457.17</v>
      </c>
      <c r="O7" s="22">
        <f t="shared" si="6"/>
        <v>130.62</v>
      </c>
      <c r="P7" s="57">
        <f t="shared" si="7"/>
        <v>20.83</v>
      </c>
      <c r="Q7" s="57">
        <f t="shared" si="8"/>
        <v>25</v>
      </c>
      <c r="R7" s="22">
        <f t="shared" si="9"/>
        <v>1389.67</v>
      </c>
      <c r="S7" s="22">
        <f t="shared" si="10"/>
        <v>576.45</v>
      </c>
      <c r="T7" s="22">
        <f t="shared" si="11"/>
        <v>1966.12</v>
      </c>
      <c r="U7" s="63" t="s">
        <v>32</v>
      </c>
      <c r="V7" s="63" t="s">
        <v>33</v>
      </c>
      <c r="W7" s="66"/>
      <c r="X7" s="35"/>
    </row>
    <row r="8" s="1" customFormat="1" ht="15" customHeight="1" spans="1:24">
      <c r="A8" s="16">
        <v>4</v>
      </c>
      <c r="B8" s="17" t="s">
        <v>43</v>
      </c>
      <c r="C8" s="73" t="s">
        <v>44</v>
      </c>
      <c r="D8" s="18" t="s">
        <v>45</v>
      </c>
      <c r="E8" s="29"/>
      <c r="F8" s="20" t="s">
        <v>42</v>
      </c>
      <c r="G8" s="30">
        <v>5000</v>
      </c>
      <c r="H8" s="22">
        <f t="shared" si="0"/>
        <v>800</v>
      </c>
      <c r="I8" s="22">
        <f t="shared" si="1"/>
        <v>400</v>
      </c>
      <c r="J8" s="22">
        <f t="shared" si="2"/>
        <v>25</v>
      </c>
      <c r="K8" s="22">
        <f t="shared" si="3"/>
        <v>25</v>
      </c>
      <c r="L8" s="22">
        <f t="shared" si="4"/>
        <v>82.5</v>
      </c>
      <c r="M8" s="30">
        <v>6531</v>
      </c>
      <c r="N8" s="22">
        <f t="shared" si="5"/>
        <v>457.17</v>
      </c>
      <c r="O8" s="22">
        <f t="shared" si="6"/>
        <v>130.62</v>
      </c>
      <c r="P8" s="57">
        <f t="shared" si="7"/>
        <v>20.83</v>
      </c>
      <c r="Q8" s="57">
        <f t="shared" si="8"/>
        <v>25</v>
      </c>
      <c r="R8" s="22">
        <f t="shared" si="9"/>
        <v>1389.67</v>
      </c>
      <c r="S8" s="22">
        <f t="shared" si="10"/>
        <v>576.45</v>
      </c>
      <c r="T8" s="22">
        <f t="shared" si="11"/>
        <v>1966.12</v>
      </c>
      <c r="U8" s="63" t="s">
        <v>32</v>
      </c>
      <c r="V8" s="63" t="s">
        <v>46</v>
      </c>
      <c r="W8" s="66"/>
      <c r="X8" s="35"/>
    </row>
    <row r="9" s="1" customFormat="1" ht="15" customHeight="1" spans="1:24">
      <c r="A9" s="16">
        <v>5</v>
      </c>
      <c r="B9" s="17" t="s">
        <v>47</v>
      </c>
      <c r="C9" s="73" t="s">
        <v>48</v>
      </c>
      <c r="D9" s="18" t="s">
        <v>49</v>
      </c>
      <c r="E9" s="27"/>
      <c r="F9" s="20" t="s">
        <v>50</v>
      </c>
      <c r="G9" s="30">
        <v>5000</v>
      </c>
      <c r="H9" s="22">
        <f t="shared" si="0"/>
        <v>800</v>
      </c>
      <c r="I9" s="22">
        <f t="shared" si="1"/>
        <v>400</v>
      </c>
      <c r="J9" s="22">
        <f t="shared" si="2"/>
        <v>25</v>
      </c>
      <c r="K9" s="22">
        <f t="shared" si="3"/>
        <v>25</v>
      </c>
      <c r="L9" s="22">
        <f t="shared" si="4"/>
        <v>82.5</v>
      </c>
      <c r="M9" s="30">
        <v>6531</v>
      </c>
      <c r="N9" s="22">
        <f t="shared" si="5"/>
        <v>457.17</v>
      </c>
      <c r="O9" s="22">
        <f t="shared" si="6"/>
        <v>130.62</v>
      </c>
      <c r="P9" s="57">
        <f t="shared" si="7"/>
        <v>20.83</v>
      </c>
      <c r="Q9" s="57">
        <f t="shared" si="8"/>
        <v>25</v>
      </c>
      <c r="R9" s="22">
        <f t="shared" si="9"/>
        <v>1389.67</v>
      </c>
      <c r="S9" s="22">
        <f t="shared" si="10"/>
        <v>576.45</v>
      </c>
      <c r="T9" s="22">
        <f t="shared" si="11"/>
        <v>1966.12</v>
      </c>
      <c r="U9" s="63" t="s">
        <v>32</v>
      </c>
      <c r="V9" s="63" t="s">
        <v>33</v>
      </c>
      <c r="W9" s="66"/>
      <c r="X9" s="35"/>
    </row>
    <row r="10" s="1" customFormat="1" ht="15" customHeight="1" spans="1:24">
      <c r="A10" s="16">
        <v>6</v>
      </c>
      <c r="B10" s="17" t="s">
        <v>51</v>
      </c>
      <c r="C10" s="73" t="s">
        <v>52</v>
      </c>
      <c r="D10" s="18" t="s">
        <v>53</v>
      </c>
      <c r="E10" s="27"/>
      <c r="F10" s="20" t="s">
        <v>42</v>
      </c>
      <c r="G10" s="30">
        <v>5000</v>
      </c>
      <c r="H10" s="22">
        <f t="shared" si="0"/>
        <v>800</v>
      </c>
      <c r="I10" s="22">
        <f t="shared" si="1"/>
        <v>400</v>
      </c>
      <c r="J10" s="22">
        <f t="shared" si="2"/>
        <v>25</v>
      </c>
      <c r="K10" s="22">
        <f t="shared" si="3"/>
        <v>25</v>
      </c>
      <c r="L10" s="22">
        <f t="shared" si="4"/>
        <v>82.5</v>
      </c>
      <c r="M10" s="30">
        <v>6531</v>
      </c>
      <c r="N10" s="22">
        <f t="shared" si="5"/>
        <v>457.17</v>
      </c>
      <c r="O10" s="22">
        <f t="shared" si="6"/>
        <v>130.62</v>
      </c>
      <c r="P10" s="57">
        <f t="shared" si="7"/>
        <v>20.83</v>
      </c>
      <c r="Q10" s="57">
        <f t="shared" si="8"/>
        <v>25</v>
      </c>
      <c r="R10" s="22">
        <f t="shared" si="9"/>
        <v>1389.67</v>
      </c>
      <c r="S10" s="22">
        <f t="shared" si="10"/>
        <v>576.45</v>
      </c>
      <c r="T10" s="22">
        <f t="shared" si="11"/>
        <v>1966.12</v>
      </c>
      <c r="U10" s="63" t="s">
        <v>32</v>
      </c>
      <c r="V10" s="63" t="s">
        <v>33</v>
      </c>
      <c r="W10" s="67"/>
      <c r="X10" s="35"/>
    </row>
    <row r="11" s="1" customFormat="1" ht="15" customHeight="1" spans="1:24">
      <c r="A11" s="23" t="s">
        <v>34</v>
      </c>
      <c r="B11" s="23"/>
      <c r="C11" s="23"/>
      <c r="D11" s="23"/>
      <c r="E11" s="31"/>
      <c r="F11" s="23"/>
      <c r="G11" s="32">
        <f t="shared" ref="G11:T11" si="13">SUM(G6:G10)</f>
        <v>25000</v>
      </c>
      <c r="H11" s="32">
        <f t="shared" si="13"/>
        <v>4000</v>
      </c>
      <c r="I11" s="32">
        <f t="shared" si="13"/>
        <v>2000</v>
      </c>
      <c r="J11" s="32">
        <f t="shared" si="13"/>
        <v>125</v>
      </c>
      <c r="K11" s="32">
        <f t="shared" si="13"/>
        <v>125</v>
      </c>
      <c r="L11" s="32">
        <f t="shared" si="13"/>
        <v>412.5</v>
      </c>
      <c r="M11" s="32">
        <f t="shared" si="13"/>
        <v>32655</v>
      </c>
      <c r="N11" s="32">
        <f t="shared" si="13"/>
        <v>2285.85</v>
      </c>
      <c r="O11" s="32">
        <f t="shared" si="13"/>
        <v>653.1</v>
      </c>
      <c r="P11" s="32">
        <f t="shared" si="13"/>
        <v>104.15</v>
      </c>
      <c r="Q11" s="32">
        <f t="shared" si="13"/>
        <v>125</v>
      </c>
      <c r="R11" s="32">
        <f t="shared" si="13"/>
        <v>6948.35</v>
      </c>
      <c r="S11" s="32">
        <f t="shared" si="13"/>
        <v>2882.25</v>
      </c>
      <c r="T11" s="32">
        <f t="shared" si="13"/>
        <v>9830.6</v>
      </c>
      <c r="U11" s="35"/>
      <c r="V11" s="35"/>
      <c r="W11" s="68"/>
      <c r="X11" s="35"/>
    </row>
    <row r="12" s="1" customFormat="1" ht="15" customHeight="1" spans="1:24">
      <c r="A12" s="18">
        <v>7</v>
      </c>
      <c r="B12" s="73" t="s">
        <v>54</v>
      </c>
      <c r="C12" s="17" t="s">
        <v>55</v>
      </c>
      <c r="D12" s="18" t="s">
        <v>56</v>
      </c>
      <c r="E12" s="33"/>
      <c r="F12" s="11"/>
      <c r="G12" s="30">
        <v>4999</v>
      </c>
      <c r="H12" s="22">
        <f t="shared" ref="H12:H34" si="14">ROUND(G12*0.16,2)</f>
        <v>799.84</v>
      </c>
      <c r="I12" s="22">
        <f t="shared" ref="I12:I34" si="15">ROUND(G12*0.08,2)</f>
        <v>399.92</v>
      </c>
      <c r="J12" s="22">
        <f t="shared" ref="J12:J24" si="16">ROUND(G12*0.005,2)</f>
        <v>25</v>
      </c>
      <c r="K12" s="22">
        <f t="shared" ref="K12:K24" si="17">ROUND(G12*0.005,2)</f>
        <v>25</v>
      </c>
      <c r="L12" s="22">
        <f t="shared" ref="L12:L34" si="18">ROUND(G12*0.0165,2)</f>
        <v>82.48</v>
      </c>
      <c r="M12" s="30">
        <v>6531</v>
      </c>
      <c r="N12" s="22">
        <f t="shared" ref="N12:N34" si="19">ROUND(M12*0.07,2)</f>
        <v>457.17</v>
      </c>
      <c r="O12" s="22">
        <f t="shared" ref="O12:O34" si="20">ROUND(M12*0.02,2)</f>
        <v>130.62</v>
      </c>
      <c r="P12" s="57">
        <f t="shared" ref="P12:P27" si="21">ROUND(8332*0.25%,2)</f>
        <v>20.83</v>
      </c>
      <c r="Q12" s="57">
        <f t="shared" ref="Q12:Q24" si="22">ROUND(8332*0.3%,2)</f>
        <v>25</v>
      </c>
      <c r="R12" s="22">
        <f t="shared" ref="R12:R34" si="23">H12+N12+J12+L12+Q12</f>
        <v>1389.49</v>
      </c>
      <c r="S12" s="22">
        <f t="shared" ref="S12:S34" si="24">I12+O12+K12+P12</f>
        <v>576.37</v>
      </c>
      <c r="T12" s="22">
        <f t="shared" ref="T12:T34" si="25">R12+S12</f>
        <v>1965.86</v>
      </c>
      <c r="U12" s="36" t="s">
        <v>46</v>
      </c>
      <c r="V12" s="36" t="s">
        <v>46</v>
      </c>
      <c r="W12" s="68"/>
      <c r="X12" s="35"/>
    </row>
    <row r="13" s="1" customFormat="1" ht="15" customHeight="1" spans="1:24">
      <c r="A13" s="18">
        <v>8</v>
      </c>
      <c r="B13" s="73" t="s">
        <v>57</v>
      </c>
      <c r="C13" s="73" t="s">
        <v>58</v>
      </c>
      <c r="D13" s="18" t="s">
        <v>59</v>
      </c>
      <c r="E13" s="33"/>
      <c r="F13" s="11"/>
      <c r="G13" s="30">
        <v>4999</v>
      </c>
      <c r="H13" s="22">
        <f t="shared" si="14"/>
        <v>799.84</v>
      </c>
      <c r="I13" s="22">
        <f t="shared" si="15"/>
        <v>399.92</v>
      </c>
      <c r="J13" s="22">
        <f t="shared" si="16"/>
        <v>25</v>
      </c>
      <c r="K13" s="22">
        <f t="shared" si="17"/>
        <v>25</v>
      </c>
      <c r="L13" s="22">
        <f t="shared" si="18"/>
        <v>82.48</v>
      </c>
      <c r="M13" s="30">
        <v>6531</v>
      </c>
      <c r="N13" s="22">
        <f t="shared" si="19"/>
        <v>457.17</v>
      </c>
      <c r="O13" s="22">
        <f t="shared" si="20"/>
        <v>130.62</v>
      </c>
      <c r="P13" s="57">
        <f t="shared" si="21"/>
        <v>20.83</v>
      </c>
      <c r="Q13" s="57">
        <f t="shared" si="22"/>
        <v>25</v>
      </c>
      <c r="R13" s="22">
        <f t="shared" si="23"/>
        <v>1389.49</v>
      </c>
      <c r="S13" s="22">
        <f t="shared" si="24"/>
        <v>576.37</v>
      </c>
      <c r="T13" s="22">
        <f t="shared" si="25"/>
        <v>1965.86</v>
      </c>
      <c r="U13" s="36" t="s">
        <v>46</v>
      </c>
      <c r="V13" s="36" t="s">
        <v>46</v>
      </c>
      <c r="W13" s="68"/>
      <c r="X13" s="35"/>
    </row>
    <row r="14" s="1" customFormat="1" ht="15" customHeight="1" spans="1:24">
      <c r="A14" s="18">
        <v>9</v>
      </c>
      <c r="B14" s="73" t="s">
        <v>154</v>
      </c>
      <c r="C14" s="73" t="s">
        <v>155</v>
      </c>
      <c r="D14" s="18" t="s">
        <v>156</v>
      </c>
      <c r="E14" s="33"/>
      <c r="F14" s="11"/>
      <c r="G14" s="30">
        <v>4999</v>
      </c>
      <c r="H14" s="22">
        <f t="shared" si="14"/>
        <v>799.84</v>
      </c>
      <c r="I14" s="22">
        <f t="shared" si="15"/>
        <v>399.92</v>
      </c>
      <c r="J14" s="22">
        <f t="shared" si="16"/>
        <v>25</v>
      </c>
      <c r="K14" s="22">
        <f t="shared" si="17"/>
        <v>25</v>
      </c>
      <c r="L14" s="22">
        <f t="shared" si="18"/>
        <v>82.48</v>
      </c>
      <c r="M14" s="30">
        <v>4999</v>
      </c>
      <c r="N14" s="22">
        <f t="shared" si="19"/>
        <v>349.93</v>
      </c>
      <c r="O14" s="22">
        <f t="shared" si="20"/>
        <v>99.98</v>
      </c>
      <c r="P14" s="57">
        <f t="shared" si="21"/>
        <v>20.83</v>
      </c>
      <c r="Q14" s="57">
        <f t="shared" si="22"/>
        <v>25</v>
      </c>
      <c r="R14" s="22">
        <f t="shared" si="23"/>
        <v>1282.25</v>
      </c>
      <c r="S14" s="22">
        <f t="shared" si="24"/>
        <v>545.73</v>
      </c>
      <c r="T14" s="22">
        <f t="shared" si="25"/>
        <v>1827.98</v>
      </c>
      <c r="U14" s="36" t="s">
        <v>157</v>
      </c>
      <c r="V14" s="36" t="s">
        <v>157</v>
      </c>
      <c r="W14" s="68"/>
      <c r="X14" s="35"/>
    </row>
    <row r="15" s="1" customFormat="1" ht="15" customHeight="1" spans="1:24">
      <c r="A15" s="18">
        <v>10</v>
      </c>
      <c r="B15" s="73" t="s">
        <v>158</v>
      </c>
      <c r="C15" s="73" t="s">
        <v>159</v>
      </c>
      <c r="D15" s="18" t="s">
        <v>160</v>
      </c>
      <c r="E15" s="33"/>
      <c r="F15" s="11"/>
      <c r="G15" s="30">
        <v>4999</v>
      </c>
      <c r="H15" s="22">
        <f t="shared" si="14"/>
        <v>799.84</v>
      </c>
      <c r="I15" s="22">
        <f t="shared" si="15"/>
        <v>399.92</v>
      </c>
      <c r="J15" s="22">
        <f t="shared" si="16"/>
        <v>25</v>
      </c>
      <c r="K15" s="22">
        <f t="shared" si="17"/>
        <v>25</v>
      </c>
      <c r="L15" s="22">
        <f t="shared" si="18"/>
        <v>82.48</v>
      </c>
      <c r="M15" s="30">
        <v>4999</v>
      </c>
      <c r="N15" s="22">
        <f t="shared" si="19"/>
        <v>349.93</v>
      </c>
      <c r="O15" s="22">
        <f t="shared" si="20"/>
        <v>99.98</v>
      </c>
      <c r="P15" s="57">
        <f t="shared" si="21"/>
        <v>20.83</v>
      </c>
      <c r="Q15" s="57">
        <f t="shared" si="22"/>
        <v>25</v>
      </c>
      <c r="R15" s="22">
        <f t="shared" si="23"/>
        <v>1282.25</v>
      </c>
      <c r="S15" s="22">
        <f t="shared" si="24"/>
        <v>545.73</v>
      </c>
      <c r="T15" s="22">
        <f t="shared" si="25"/>
        <v>1827.98</v>
      </c>
      <c r="U15" s="36" t="s">
        <v>157</v>
      </c>
      <c r="V15" s="36" t="s">
        <v>157</v>
      </c>
      <c r="W15" s="68"/>
      <c r="X15" s="35"/>
    </row>
    <row r="16" s="1" customFormat="1" ht="15" customHeight="1" spans="1:24">
      <c r="A16" s="18">
        <v>11</v>
      </c>
      <c r="B16" s="17" t="s">
        <v>60</v>
      </c>
      <c r="C16" s="73" t="s">
        <v>61</v>
      </c>
      <c r="D16" s="18" t="s">
        <v>62</v>
      </c>
      <c r="E16" s="27"/>
      <c r="F16" s="11"/>
      <c r="G16" s="30">
        <v>10000</v>
      </c>
      <c r="H16" s="22">
        <f t="shared" si="14"/>
        <v>1600</v>
      </c>
      <c r="I16" s="22">
        <f t="shared" si="15"/>
        <v>800</v>
      </c>
      <c r="J16" s="22">
        <f t="shared" si="16"/>
        <v>50</v>
      </c>
      <c r="K16" s="22">
        <f t="shared" si="17"/>
        <v>50</v>
      </c>
      <c r="L16" s="22">
        <f t="shared" si="18"/>
        <v>165</v>
      </c>
      <c r="M16" s="30">
        <v>10000</v>
      </c>
      <c r="N16" s="22">
        <f t="shared" si="19"/>
        <v>700</v>
      </c>
      <c r="O16" s="22">
        <f t="shared" si="20"/>
        <v>200</v>
      </c>
      <c r="P16" s="57">
        <f t="shared" si="21"/>
        <v>20.83</v>
      </c>
      <c r="Q16" s="57">
        <f t="shared" si="22"/>
        <v>25</v>
      </c>
      <c r="R16" s="22">
        <f t="shared" si="23"/>
        <v>2540</v>
      </c>
      <c r="S16" s="22">
        <f t="shared" si="24"/>
        <v>1070.83</v>
      </c>
      <c r="T16" s="22">
        <f t="shared" si="25"/>
        <v>3610.83</v>
      </c>
      <c r="U16" s="69" t="s">
        <v>63</v>
      </c>
      <c r="V16" s="69" t="s">
        <v>63</v>
      </c>
      <c r="W16" s="68"/>
      <c r="X16" s="33" t="s">
        <v>64</v>
      </c>
    </row>
    <row r="17" s="1" customFormat="1" ht="15" customHeight="1" spans="1:24">
      <c r="A17" s="18">
        <v>12</v>
      </c>
      <c r="B17" s="17" t="s">
        <v>65</v>
      </c>
      <c r="C17" s="17" t="s">
        <v>66</v>
      </c>
      <c r="D17" s="18" t="s">
        <v>67</v>
      </c>
      <c r="E17" s="27"/>
      <c r="F17" s="11"/>
      <c r="G17" s="30">
        <v>4999</v>
      </c>
      <c r="H17" s="22">
        <f t="shared" si="14"/>
        <v>799.84</v>
      </c>
      <c r="I17" s="22">
        <f t="shared" si="15"/>
        <v>399.92</v>
      </c>
      <c r="J17" s="22">
        <f t="shared" si="16"/>
        <v>25</v>
      </c>
      <c r="K17" s="22">
        <f t="shared" si="17"/>
        <v>25</v>
      </c>
      <c r="L17" s="22">
        <f t="shared" si="18"/>
        <v>82.48</v>
      </c>
      <c r="M17" s="30">
        <v>6531</v>
      </c>
      <c r="N17" s="22">
        <f t="shared" si="19"/>
        <v>457.17</v>
      </c>
      <c r="O17" s="22">
        <f t="shared" si="20"/>
        <v>130.62</v>
      </c>
      <c r="P17" s="57">
        <f t="shared" si="21"/>
        <v>20.83</v>
      </c>
      <c r="Q17" s="57">
        <f t="shared" si="22"/>
        <v>25</v>
      </c>
      <c r="R17" s="22">
        <f t="shared" si="23"/>
        <v>1389.49</v>
      </c>
      <c r="S17" s="22">
        <f t="shared" si="24"/>
        <v>576.37</v>
      </c>
      <c r="T17" s="22">
        <f t="shared" si="25"/>
        <v>1965.86</v>
      </c>
      <c r="U17" s="63" t="s">
        <v>33</v>
      </c>
      <c r="V17" s="63" t="s">
        <v>33</v>
      </c>
      <c r="W17" s="68"/>
      <c r="X17" s="33" t="s">
        <v>64</v>
      </c>
    </row>
    <row r="18" s="1" customFormat="1" ht="15" customHeight="1" spans="1:24">
      <c r="A18" s="18">
        <v>13</v>
      </c>
      <c r="B18" s="17" t="s">
        <v>68</v>
      </c>
      <c r="C18" s="17" t="s">
        <v>69</v>
      </c>
      <c r="D18" s="18" t="s">
        <v>70</v>
      </c>
      <c r="E18" s="27"/>
      <c r="F18" s="11"/>
      <c r="G18" s="30">
        <v>10000</v>
      </c>
      <c r="H18" s="22">
        <f t="shared" si="14"/>
        <v>1600</v>
      </c>
      <c r="I18" s="22">
        <f t="shared" si="15"/>
        <v>800</v>
      </c>
      <c r="J18" s="22">
        <f t="shared" si="16"/>
        <v>50</v>
      </c>
      <c r="K18" s="22">
        <f t="shared" si="17"/>
        <v>50</v>
      </c>
      <c r="L18" s="22">
        <f t="shared" si="18"/>
        <v>165</v>
      </c>
      <c r="M18" s="30">
        <v>10000</v>
      </c>
      <c r="N18" s="22">
        <f t="shared" si="19"/>
        <v>700</v>
      </c>
      <c r="O18" s="22">
        <f t="shared" si="20"/>
        <v>200</v>
      </c>
      <c r="P18" s="57">
        <f t="shared" si="21"/>
        <v>20.83</v>
      </c>
      <c r="Q18" s="57">
        <f t="shared" si="22"/>
        <v>25</v>
      </c>
      <c r="R18" s="22">
        <f t="shared" si="23"/>
        <v>2540</v>
      </c>
      <c r="S18" s="22">
        <f t="shared" si="24"/>
        <v>1070.83</v>
      </c>
      <c r="T18" s="22">
        <f t="shared" si="25"/>
        <v>3610.83</v>
      </c>
      <c r="U18" s="69" t="s">
        <v>63</v>
      </c>
      <c r="V18" s="69" t="s">
        <v>63</v>
      </c>
      <c r="W18" s="68"/>
      <c r="X18" s="33" t="s">
        <v>64</v>
      </c>
    </row>
    <row r="19" s="1" customFormat="1" ht="15" customHeight="1" spans="1:24">
      <c r="A19" s="18">
        <v>14</v>
      </c>
      <c r="B19" s="73" t="s">
        <v>71</v>
      </c>
      <c r="C19" s="73" t="s">
        <v>72</v>
      </c>
      <c r="D19" s="18" t="s">
        <v>73</v>
      </c>
      <c r="E19" s="33"/>
      <c r="F19" s="11"/>
      <c r="G19" s="30">
        <v>4999</v>
      </c>
      <c r="H19" s="22">
        <f t="shared" si="14"/>
        <v>799.84</v>
      </c>
      <c r="I19" s="22">
        <f t="shared" si="15"/>
        <v>399.92</v>
      </c>
      <c r="J19" s="22">
        <f t="shared" si="16"/>
        <v>25</v>
      </c>
      <c r="K19" s="22">
        <f t="shared" si="17"/>
        <v>25</v>
      </c>
      <c r="L19" s="22">
        <f t="shared" si="18"/>
        <v>82.48</v>
      </c>
      <c r="M19" s="30">
        <v>6531</v>
      </c>
      <c r="N19" s="22">
        <f t="shared" si="19"/>
        <v>457.17</v>
      </c>
      <c r="O19" s="22">
        <f t="shared" si="20"/>
        <v>130.62</v>
      </c>
      <c r="P19" s="57">
        <f t="shared" si="21"/>
        <v>20.83</v>
      </c>
      <c r="Q19" s="57">
        <f t="shared" si="22"/>
        <v>25</v>
      </c>
      <c r="R19" s="22">
        <f t="shared" si="23"/>
        <v>1389.49</v>
      </c>
      <c r="S19" s="22">
        <f t="shared" si="24"/>
        <v>576.37</v>
      </c>
      <c r="T19" s="22">
        <f t="shared" si="25"/>
        <v>1965.86</v>
      </c>
      <c r="U19" s="36" t="s">
        <v>74</v>
      </c>
      <c r="V19" s="36" t="s">
        <v>74</v>
      </c>
      <c r="W19" s="68"/>
      <c r="X19" s="33" t="s">
        <v>64</v>
      </c>
    </row>
    <row r="20" s="1" customFormat="1" ht="15" customHeight="1" spans="1:24">
      <c r="A20" s="18">
        <v>15</v>
      </c>
      <c r="B20" s="17" t="s">
        <v>75</v>
      </c>
      <c r="C20" s="73" t="s">
        <v>76</v>
      </c>
      <c r="D20" s="18" t="s">
        <v>77</v>
      </c>
      <c r="E20" s="33"/>
      <c r="F20" s="11"/>
      <c r="G20" s="30">
        <v>4999</v>
      </c>
      <c r="H20" s="22">
        <f t="shared" si="14"/>
        <v>799.84</v>
      </c>
      <c r="I20" s="22">
        <f t="shared" si="15"/>
        <v>399.92</v>
      </c>
      <c r="J20" s="22">
        <f t="shared" si="16"/>
        <v>25</v>
      </c>
      <c r="K20" s="22">
        <f t="shared" si="17"/>
        <v>25</v>
      </c>
      <c r="L20" s="22">
        <f t="shared" si="18"/>
        <v>82.48</v>
      </c>
      <c r="M20" s="30">
        <v>6531</v>
      </c>
      <c r="N20" s="22">
        <f t="shared" si="19"/>
        <v>457.17</v>
      </c>
      <c r="O20" s="22">
        <f t="shared" si="20"/>
        <v>130.62</v>
      </c>
      <c r="P20" s="57">
        <f t="shared" si="21"/>
        <v>20.83</v>
      </c>
      <c r="Q20" s="57">
        <f t="shared" si="22"/>
        <v>25</v>
      </c>
      <c r="R20" s="22">
        <f t="shared" si="23"/>
        <v>1389.49</v>
      </c>
      <c r="S20" s="22">
        <f t="shared" si="24"/>
        <v>576.37</v>
      </c>
      <c r="T20" s="22">
        <f t="shared" si="25"/>
        <v>1965.86</v>
      </c>
      <c r="U20" s="36" t="s">
        <v>74</v>
      </c>
      <c r="V20" s="36" t="s">
        <v>74</v>
      </c>
      <c r="W20" s="68"/>
      <c r="X20" s="33" t="s">
        <v>64</v>
      </c>
    </row>
    <row r="21" s="1" customFormat="1" ht="15" customHeight="1" spans="1:24">
      <c r="A21" s="18">
        <v>16</v>
      </c>
      <c r="B21" s="17" t="s">
        <v>78</v>
      </c>
      <c r="C21" s="17" t="s">
        <v>79</v>
      </c>
      <c r="D21" s="18" t="s">
        <v>80</v>
      </c>
      <c r="E21" s="33"/>
      <c r="F21" s="11"/>
      <c r="G21" s="30">
        <v>4999</v>
      </c>
      <c r="H21" s="22">
        <f t="shared" si="14"/>
        <v>799.84</v>
      </c>
      <c r="I21" s="22">
        <f t="shared" si="15"/>
        <v>399.92</v>
      </c>
      <c r="J21" s="22">
        <f t="shared" si="16"/>
        <v>25</v>
      </c>
      <c r="K21" s="22">
        <f t="shared" si="17"/>
        <v>25</v>
      </c>
      <c r="L21" s="22">
        <f t="shared" si="18"/>
        <v>82.48</v>
      </c>
      <c r="M21" s="30">
        <v>6531</v>
      </c>
      <c r="N21" s="22">
        <f t="shared" si="19"/>
        <v>457.17</v>
      </c>
      <c r="O21" s="22">
        <f t="shared" si="20"/>
        <v>130.62</v>
      </c>
      <c r="P21" s="57">
        <f t="shared" si="21"/>
        <v>20.83</v>
      </c>
      <c r="Q21" s="57">
        <f t="shared" si="22"/>
        <v>25</v>
      </c>
      <c r="R21" s="22">
        <f t="shared" si="23"/>
        <v>1389.49</v>
      </c>
      <c r="S21" s="22">
        <f t="shared" si="24"/>
        <v>576.37</v>
      </c>
      <c r="T21" s="22">
        <f t="shared" si="25"/>
        <v>1965.86</v>
      </c>
      <c r="U21" s="36" t="s">
        <v>74</v>
      </c>
      <c r="V21" s="36" t="s">
        <v>74</v>
      </c>
      <c r="W21" s="68"/>
      <c r="X21" s="33" t="s">
        <v>64</v>
      </c>
    </row>
    <row r="22" s="1" customFormat="1" ht="15" customHeight="1" spans="1:24">
      <c r="A22" s="18">
        <v>17</v>
      </c>
      <c r="B22" s="17" t="s">
        <v>81</v>
      </c>
      <c r="C22" s="73" t="s">
        <v>82</v>
      </c>
      <c r="D22" s="18" t="s">
        <v>83</v>
      </c>
      <c r="E22" s="33"/>
      <c r="F22" s="11"/>
      <c r="G22" s="30">
        <v>4999</v>
      </c>
      <c r="H22" s="22">
        <f t="shared" si="14"/>
        <v>799.84</v>
      </c>
      <c r="I22" s="22">
        <f t="shared" si="15"/>
        <v>399.92</v>
      </c>
      <c r="J22" s="22">
        <f t="shared" si="16"/>
        <v>25</v>
      </c>
      <c r="K22" s="22">
        <f t="shared" si="17"/>
        <v>25</v>
      </c>
      <c r="L22" s="22">
        <f t="shared" si="18"/>
        <v>82.48</v>
      </c>
      <c r="M22" s="30">
        <v>6531</v>
      </c>
      <c r="N22" s="22">
        <f t="shared" si="19"/>
        <v>457.17</v>
      </c>
      <c r="O22" s="22">
        <f t="shared" si="20"/>
        <v>130.62</v>
      </c>
      <c r="P22" s="57">
        <f t="shared" si="21"/>
        <v>20.83</v>
      </c>
      <c r="Q22" s="57">
        <f t="shared" si="22"/>
        <v>25</v>
      </c>
      <c r="R22" s="22">
        <f t="shared" si="23"/>
        <v>1389.49</v>
      </c>
      <c r="S22" s="22">
        <f t="shared" si="24"/>
        <v>576.37</v>
      </c>
      <c r="T22" s="22">
        <f t="shared" si="25"/>
        <v>1965.86</v>
      </c>
      <c r="U22" s="69" t="s">
        <v>84</v>
      </c>
      <c r="V22" s="69" t="s">
        <v>84</v>
      </c>
      <c r="W22" s="68"/>
      <c r="X22" s="33" t="s">
        <v>64</v>
      </c>
    </row>
    <row r="23" s="1" customFormat="1" ht="15" customHeight="1" spans="1:24">
      <c r="A23" s="18">
        <v>18</v>
      </c>
      <c r="B23" s="17" t="s">
        <v>85</v>
      </c>
      <c r="C23" s="17" t="s">
        <v>86</v>
      </c>
      <c r="D23" s="18" t="s">
        <v>87</v>
      </c>
      <c r="E23" s="29"/>
      <c r="F23" s="20"/>
      <c r="G23" s="30">
        <v>4999</v>
      </c>
      <c r="H23" s="22">
        <f t="shared" si="14"/>
        <v>799.84</v>
      </c>
      <c r="I23" s="22">
        <f t="shared" si="15"/>
        <v>399.92</v>
      </c>
      <c r="J23" s="22">
        <f t="shared" si="16"/>
        <v>25</v>
      </c>
      <c r="K23" s="22">
        <f t="shared" si="17"/>
        <v>25</v>
      </c>
      <c r="L23" s="22">
        <f t="shared" si="18"/>
        <v>82.48</v>
      </c>
      <c r="M23" s="30">
        <v>6531</v>
      </c>
      <c r="N23" s="22">
        <f t="shared" si="19"/>
        <v>457.17</v>
      </c>
      <c r="O23" s="22">
        <f t="shared" si="20"/>
        <v>130.62</v>
      </c>
      <c r="P23" s="57">
        <f t="shared" si="21"/>
        <v>20.83</v>
      </c>
      <c r="Q23" s="57">
        <f t="shared" si="22"/>
        <v>25</v>
      </c>
      <c r="R23" s="22">
        <f t="shared" si="23"/>
        <v>1389.49</v>
      </c>
      <c r="S23" s="22">
        <f t="shared" si="24"/>
        <v>576.37</v>
      </c>
      <c r="T23" s="22">
        <f t="shared" si="25"/>
        <v>1965.86</v>
      </c>
      <c r="U23" s="63" t="s">
        <v>33</v>
      </c>
      <c r="V23" s="63" t="s">
        <v>33</v>
      </c>
      <c r="W23" s="68"/>
      <c r="X23" s="33" t="s">
        <v>64</v>
      </c>
    </row>
    <row r="24" s="1" customFormat="1" ht="15" customHeight="1" spans="1:24">
      <c r="A24" s="18">
        <v>19</v>
      </c>
      <c r="B24" s="17" t="s">
        <v>88</v>
      </c>
      <c r="C24" s="73" t="s">
        <v>89</v>
      </c>
      <c r="D24" s="18" t="s">
        <v>90</v>
      </c>
      <c r="E24" s="29"/>
      <c r="F24" s="20"/>
      <c r="G24" s="30">
        <v>4999</v>
      </c>
      <c r="H24" s="22">
        <f t="shared" si="14"/>
        <v>799.84</v>
      </c>
      <c r="I24" s="22">
        <f t="shared" si="15"/>
        <v>399.92</v>
      </c>
      <c r="J24" s="22">
        <f t="shared" si="16"/>
        <v>25</v>
      </c>
      <c r="K24" s="22">
        <f t="shared" si="17"/>
        <v>25</v>
      </c>
      <c r="L24" s="22">
        <f t="shared" si="18"/>
        <v>82.48</v>
      </c>
      <c r="M24" s="30">
        <v>6531</v>
      </c>
      <c r="N24" s="22">
        <f t="shared" si="19"/>
        <v>457.17</v>
      </c>
      <c r="O24" s="22">
        <f t="shared" si="20"/>
        <v>130.62</v>
      </c>
      <c r="P24" s="57">
        <f t="shared" si="21"/>
        <v>20.83</v>
      </c>
      <c r="Q24" s="57">
        <f t="shared" si="22"/>
        <v>25</v>
      </c>
      <c r="R24" s="22">
        <f t="shared" si="23"/>
        <v>1389.49</v>
      </c>
      <c r="S24" s="22">
        <f t="shared" si="24"/>
        <v>576.37</v>
      </c>
      <c r="T24" s="22">
        <f t="shared" si="25"/>
        <v>1965.86</v>
      </c>
      <c r="U24" s="63" t="s">
        <v>33</v>
      </c>
      <c r="V24" s="63" t="s">
        <v>33</v>
      </c>
      <c r="W24" s="68"/>
      <c r="X24" s="33" t="s">
        <v>64</v>
      </c>
    </row>
    <row r="25" s="1" customFormat="1" ht="15" customHeight="1" spans="1:24">
      <c r="A25" s="18">
        <v>20</v>
      </c>
      <c r="B25" s="73" t="s">
        <v>91</v>
      </c>
      <c r="C25" s="73" t="s">
        <v>92</v>
      </c>
      <c r="D25" s="34" t="s">
        <v>93</v>
      </c>
      <c r="E25" s="35"/>
      <c r="F25" s="36"/>
      <c r="G25" s="30">
        <v>4999</v>
      </c>
      <c r="H25" s="30">
        <f t="shared" si="14"/>
        <v>799.84</v>
      </c>
      <c r="I25" s="30">
        <f t="shared" si="15"/>
        <v>399.92</v>
      </c>
      <c r="J25" s="30">
        <f t="shared" ref="J25:J30" si="26">ROUND(G25*0.005,0)</f>
        <v>25</v>
      </c>
      <c r="K25" s="30">
        <f t="shared" ref="K25:K30" si="27">ROUND(G25*0.005,0)</f>
        <v>25</v>
      </c>
      <c r="L25" s="30">
        <f t="shared" si="18"/>
        <v>82.48</v>
      </c>
      <c r="M25" s="59">
        <v>4999</v>
      </c>
      <c r="N25" s="30">
        <f t="shared" si="19"/>
        <v>349.93</v>
      </c>
      <c r="O25" s="30">
        <f t="shared" si="20"/>
        <v>99.98</v>
      </c>
      <c r="P25" s="30">
        <f t="shared" si="21"/>
        <v>20.83</v>
      </c>
      <c r="Q25" s="30">
        <f t="shared" ref="Q25:Q27" si="28">ROUND(8332*0.3%,0)</f>
        <v>25</v>
      </c>
      <c r="R25" s="30">
        <f t="shared" si="23"/>
        <v>1282.25</v>
      </c>
      <c r="S25" s="30">
        <f t="shared" si="24"/>
        <v>545.73</v>
      </c>
      <c r="T25" s="30">
        <f t="shared" si="25"/>
        <v>1827.98</v>
      </c>
      <c r="U25" s="33" t="s">
        <v>64</v>
      </c>
      <c r="V25" s="63"/>
      <c r="W25" s="68"/>
      <c r="X25" s="33"/>
    </row>
    <row r="26" s="1" customFormat="1" ht="15" customHeight="1" spans="1:24">
      <c r="A26" s="18">
        <v>21</v>
      </c>
      <c r="B26" s="17">
        <v>6505750538</v>
      </c>
      <c r="C26" s="73" t="s">
        <v>150</v>
      </c>
      <c r="D26" s="37" t="s">
        <v>151</v>
      </c>
      <c r="E26" s="35"/>
      <c r="F26" s="36"/>
      <c r="G26" s="30">
        <v>4999</v>
      </c>
      <c r="H26" s="30">
        <f t="shared" si="14"/>
        <v>799.84</v>
      </c>
      <c r="I26" s="30">
        <f t="shared" si="15"/>
        <v>399.92</v>
      </c>
      <c r="J26" s="30">
        <f t="shared" si="26"/>
        <v>25</v>
      </c>
      <c r="K26" s="30">
        <f t="shared" si="27"/>
        <v>25</v>
      </c>
      <c r="L26" s="30">
        <f t="shared" si="18"/>
        <v>82.48</v>
      </c>
      <c r="M26" s="30">
        <v>4999</v>
      </c>
      <c r="N26" s="30">
        <f t="shared" si="19"/>
        <v>349.93</v>
      </c>
      <c r="O26" s="30">
        <f t="shared" si="20"/>
        <v>99.98</v>
      </c>
      <c r="P26" s="30">
        <f t="shared" si="21"/>
        <v>20.83</v>
      </c>
      <c r="Q26" s="30">
        <f t="shared" si="28"/>
        <v>25</v>
      </c>
      <c r="R26" s="30">
        <f t="shared" si="23"/>
        <v>1282.25</v>
      </c>
      <c r="S26" s="30">
        <f t="shared" si="24"/>
        <v>545.73</v>
      </c>
      <c r="T26" s="30">
        <f t="shared" si="25"/>
        <v>1827.98</v>
      </c>
      <c r="U26" s="33" t="s">
        <v>64</v>
      </c>
      <c r="V26" s="63"/>
      <c r="W26" s="68"/>
      <c r="X26" s="33"/>
    </row>
    <row r="27" s="1" customFormat="1" ht="15" customHeight="1" spans="1:24">
      <c r="A27" s="18">
        <v>22</v>
      </c>
      <c r="B27" s="17">
        <v>6512196619</v>
      </c>
      <c r="C27" s="73" t="s">
        <v>96</v>
      </c>
      <c r="D27" s="37" t="s">
        <v>97</v>
      </c>
      <c r="E27" s="35"/>
      <c r="F27" s="36"/>
      <c r="G27" s="30">
        <v>4999</v>
      </c>
      <c r="H27" s="30">
        <f t="shared" si="14"/>
        <v>799.84</v>
      </c>
      <c r="I27" s="30">
        <f t="shared" si="15"/>
        <v>399.92</v>
      </c>
      <c r="J27" s="30">
        <f t="shared" si="26"/>
        <v>25</v>
      </c>
      <c r="K27" s="30">
        <f t="shared" si="27"/>
        <v>25</v>
      </c>
      <c r="L27" s="30">
        <f t="shared" si="18"/>
        <v>82.48</v>
      </c>
      <c r="M27" s="30">
        <v>4999</v>
      </c>
      <c r="N27" s="30">
        <f t="shared" si="19"/>
        <v>349.93</v>
      </c>
      <c r="O27" s="30">
        <f t="shared" si="20"/>
        <v>99.98</v>
      </c>
      <c r="P27" s="30">
        <f t="shared" si="21"/>
        <v>20.83</v>
      </c>
      <c r="Q27" s="30">
        <f t="shared" si="28"/>
        <v>25</v>
      </c>
      <c r="R27" s="30">
        <f t="shared" si="23"/>
        <v>1282.25</v>
      </c>
      <c r="S27" s="30">
        <f t="shared" si="24"/>
        <v>545.73</v>
      </c>
      <c r="T27" s="30">
        <f t="shared" si="25"/>
        <v>1827.98</v>
      </c>
      <c r="U27" s="33" t="s">
        <v>64</v>
      </c>
      <c r="V27" s="63"/>
      <c r="W27" s="68"/>
      <c r="X27" s="33"/>
    </row>
    <row r="28" s="1" customFormat="1" ht="15" customHeight="1" spans="1:24">
      <c r="A28" s="18">
        <v>23</v>
      </c>
      <c r="B28" s="73" t="s">
        <v>161</v>
      </c>
      <c r="C28" s="73" t="s">
        <v>162</v>
      </c>
      <c r="D28" s="37" t="s">
        <v>163</v>
      </c>
      <c r="E28" s="35"/>
      <c r="F28" s="36"/>
      <c r="G28" s="30">
        <v>4999</v>
      </c>
      <c r="H28" s="30">
        <f t="shared" si="14"/>
        <v>799.84</v>
      </c>
      <c r="I28" s="30">
        <f t="shared" si="15"/>
        <v>399.92</v>
      </c>
      <c r="J28" s="30">
        <f t="shared" si="26"/>
        <v>25</v>
      </c>
      <c r="K28" s="30">
        <f t="shared" si="27"/>
        <v>25</v>
      </c>
      <c r="L28" s="30">
        <f t="shared" si="18"/>
        <v>82.48</v>
      </c>
      <c r="M28" s="30"/>
      <c r="N28" s="30">
        <f t="shared" si="19"/>
        <v>0</v>
      </c>
      <c r="O28" s="30">
        <f t="shared" si="20"/>
        <v>0</v>
      </c>
      <c r="P28" s="30"/>
      <c r="Q28" s="30"/>
      <c r="R28" s="30">
        <f t="shared" si="23"/>
        <v>907.32</v>
      </c>
      <c r="S28" s="30">
        <f t="shared" si="24"/>
        <v>424.92</v>
      </c>
      <c r="T28" s="30">
        <f t="shared" si="25"/>
        <v>1332.24</v>
      </c>
      <c r="U28" s="33" t="s">
        <v>64</v>
      </c>
      <c r="V28" s="63"/>
      <c r="W28" s="68"/>
      <c r="X28" s="33"/>
    </row>
    <row r="29" s="1" customFormat="1" ht="15" customHeight="1" spans="1:24">
      <c r="A29" s="18">
        <v>24</v>
      </c>
      <c r="B29" s="73" t="s">
        <v>164</v>
      </c>
      <c r="C29" s="73" t="s">
        <v>165</v>
      </c>
      <c r="D29" s="37" t="s">
        <v>166</v>
      </c>
      <c r="E29" s="35"/>
      <c r="F29" s="36"/>
      <c r="G29" s="30">
        <v>4999</v>
      </c>
      <c r="H29" s="30">
        <f t="shared" si="14"/>
        <v>799.84</v>
      </c>
      <c r="I29" s="30">
        <f t="shared" si="15"/>
        <v>399.92</v>
      </c>
      <c r="J29" s="30">
        <f t="shared" si="26"/>
        <v>25</v>
      </c>
      <c r="K29" s="30">
        <f t="shared" si="27"/>
        <v>25</v>
      </c>
      <c r="L29" s="30">
        <f t="shared" si="18"/>
        <v>82.48</v>
      </c>
      <c r="M29" s="30"/>
      <c r="N29" s="30">
        <f t="shared" si="19"/>
        <v>0</v>
      </c>
      <c r="O29" s="30">
        <f t="shared" si="20"/>
        <v>0</v>
      </c>
      <c r="P29" s="30"/>
      <c r="Q29" s="30"/>
      <c r="R29" s="30">
        <f t="shared" si="23"/>
        <v>907.32</v>
      </c>
      <c r="S29" s="30">
        <f t="shared" si="24"/>
        <v>424.92</v>
      </c>
      <c r="T29" s="30">
        <f t="shared" si="25"/>
        <v>1332.24</v>
      </c>
      <c r="U29" s="33" t="s">
        <v>64</v>
      </c>
      <c r="V29" s="63"/>
      <c r="W29" s="68"/>
      <c r="X29" s="33"/>
    </row>
    <row r="30" s="1" customFormat="1" ht="15" customHeight="1" spans="1:24">
      <c r="A30" s="18">
        <v>25</v>
      </c>
      <c r="B30" s="17">
        <v>65100363461</v>
      </c>
      <c r="C30" s="73" t="s">
        <v>167</v>
      </c>
      <c r="D30" s="37" t="s">
        <v>168</v>
      </c>
      <c r="E30" s="35"/>
      <c r="F30" s="36"/>
      <c r="G30" s="30">
        <v>4999</v>
      </c>
      <c r="H30" s="30">
        <f t="shared" si="14"/>
        <v>799.84</v>
      </c>
      <c r="I30" s="30">
        <f t="shared" si="15"/>
        <v>399.92</v>
      </c>
      <c r="J30" s="30">
        <f t="shared" si="26"/>
        <v>25</v>
      </c>
      <c r="K30" s="30">
        <f t="shared" si="27"/>
        <v>25</v>
      </c>
      <c r="L30" s="30">
        <f t="shared" si="18"/>
        <v>82.48</v>
      </c>
      <c r="M30" s="30"/>
      <c r="N30" s="30">
        <f t="shared" si="19"/>
        <v>0</v>
      </c>
      <c r="O30" s="30">
        <f t="shared" si="20"/>
        <v>0</v>
      </c>
      <c r="P30" s="30"/>
      <c r="Q30" s="30"/>
      <c r="R30" s="30">
        <f t="shared" si="23"/>
        <v>907.32</v>
      </c>
      <c r="S30" s="30">
        <f t="shared" si="24"/>
        <v>424.92</v>
      </c>
      <c r="T30" s="30">
        <f t="shared" si="25"/>
        <v>1332.24</v>
      </c>
      <c r="U30" s="33" t="s">
        <v>64</v>
      </c>
      <c r="V30" s="63"/>
      <c r="W30" s="68"/>
      <c r="X30" s="33"/>
    </row>
    <row r="31" s="1" customFormat="1" ht="15" customHeight="1" spans="1:24">
      <c r="A31" s="18">
        <v>26</v>
      </c>
      <c r="B31" s="17" t="s">
        <v>98</v>
      </c>
      <c r="C31" s="73" t="s">
        <v>99</v>
      </c>
      <c r="D31" s="18" t="s">
        <v>100</v>
      </c>
      <c r="E31" s="38"/>
      <c r="F31" s="11"/>
      <c r="G31" s="30">
        <v>4999</v>
      </c>
      <c r="H31" s="22">
        <f t="shared" si="14"/>
        <v>799.84</v>
      </c>
      <c r="I31" s="22">
        <f t="shared" si="15"/>
        <v>399.92</v>
      </c>
      <c r="J31" s="22">
        <f t="shared" ref="J31:J34" si="29">ROUND(G31*0.005,2)</f>
        <v>25</v>
      </c>
      <c r="K31" s="22">
        <f t="shared" ref="K31:K34" si="30">ROUND(G31*0.005,2)</f>
        <v>25</v>
      </c>
      <c r="L31" s="22">
        <f t="shared" si="18"/>
        <v>82.48</v>
      </c>
      <c r="M31" s="30">
        <v>6531</v>
      </c>
      <c r="N31" s="22">
        <f t="shared" si="19"/>
        <v>457.17</v>
      </c>
      <c r="O31" s="22">
        <f t="shared" si="20"/>
        <v>130.62</v>
      </c>
      <c r="P31" s="57">
        <f t="shared" ref="P31:P34" si="31">ROUND(8332*0.25%,2)</f>
        <v>20.83</v>
      </c>
      <c r="Q31" s="57">
        <f t="shared" ref="Q31:Q34" si="32">ROUND(8332*0.3%,2)</f>
        <v>25</v>
      </c>
      <c r="R31" s="22">
        <f t="shared" si="23"/>
        <v>1389.49</v>
      </c>
      <c r="S31" s="22">
        <f t="shared" si="24"/>
        <v>576.37</v>
      </c>
      <c r="T31" s="22">
        <f t="shared" si="25"/>
        <v>1965.86</v>
      </c>
      <c r="U31" s="36" t="s">
        <v>101</v>
      </c>
      <c r="V31" s="36" t="s">
        <v>101</v>
      </c>
      <c r="W31" s="68"/>
      <c r="X31" s="53"/>
    </row>
    <row r="32" s="1" customFormat="1" ht="15" customHeight="1" spans="1:24">
      <c r="A32" s="18">
        <v>27</v>
      </c>
      <c r="B32" s="17" t="s">
        <v>102</v>
      </c>
      <c r="C32" s="73" t="s">
        <v>103</v>
      </c>
      <c r="D32" s="18" t="s">
        <v>104</v>
      </c>
      <c r="E32" s="27"/>
      <c r="F32" s="20"/>
      <c r="G32" s="30">
        <v>4999</v>
      </c>
      <c r="H32" s="22">
        <f t="shared" si="14"/>
        <v>799.84</v>
      </c>
      <c r="I32" s="22">
        <f t="shared" si="15"/>
        <v>399.92</v>
      </c>
      <c r="J32" s="22">
        <f t="shared" si="29"/>
        <v>25</v>
      </c>
      <c r="K32" s="22">
        <f t="shared" si="30"/>
        <v>25</v>
      </c>
      <c r="L32" s="22">
        <f t="shared" si="18"/>
        <v>82.48</v>
      </c>
      <c r="M32" s="30">
        <v>6531</v>
      </c>
      <c r="N32" s="22">
        <f t="shared" si="19"/>
        <v>457.17</v>
      </c>
      <c r="O32" s="22">
        <f t="shared" si="20"/>
        <v>130.62</v>
      </c>
      <c r="P32" s="57">
        <f t="shared" si="31"/>
        <v>20.83</v>
      </c>
      <c r="Q32" s="57">
        <f t="shared" si="32"/>
        <v>25</v>
      </c>
      <c r="R32" s="22">
        <f t="shared" si="23"/>
        <v>1389.49</v>
      </c>
      <c r="S32" s="22">
        <f t="shared" si="24"/>
        <v>576.37</v>
      </c>
      <c r="T32" s="22">
        <f t="shared" si="25"/>
        <v>1965.86</v>
      </c>
      <c r="U32" s="36" t="s">
        <v>74</v>
      </c>
      <c r="V32" s="36" t="s">
        <v>74</v>
      </c>
      <c r="W32" s="68"/>
      <c r="X32" s="33" t="s">
        <v>64</v>
      </c>
    </row>
    <row r="33" s="1" customFormat="1" ht="15" customHeight="1" spans="1:24">
      <c r="A33" s="18">
        <v>28</v>
      </c>
      <c r="B33" s="73" t="s">
        <v>105</v>
      </c>
      <c r="C33" s="73" t="s">
        <v>106</v>
      </c>
      <c r="D33" s="18" t="s">
        <v>107</v>
      </c>
      <c r="E33" s="33"/>
      <c r="F33" s="11"/>
      <c r="G33" s="30">
        <v>4999</v>
      </c>
      <c r="H33" s="22">
        <f t="shared" si="14"/>
        <v>799.84</v>
      </c>
      <c r="I33" s="22">
        <f t="shared" si="15"/>
        <v>399.92</v>
      </c>
      <c r="J33" s="22">
        <f t="shared" si="29"/>
        <v>25</v>
      </c>
      <c r="K33" s="22">
        <f t="shared" si="30"/>
        <v>25</v>
      </c>
      <c r="L33" s="22">
        <f t="shared" si="18"/>
        <v>82.48</v>
      </c>
      <c r="M33" s="30">
        <v>6531</v>
      </c>
      <c r="N33" s="22">
        <f t="shared" si="19"/>
        <v>457.17</v>
      </c>
      <c r="O33" s="22">
        <f t="shared" si="20"/>
        <v>130.62</v>
      </c>
      <c r="P33" s="57">
        <f t="shared" si="31"/>
        <v>20.83</v>
      </c>
      <c r="Q33" s="57">
        <f t="shared" si="32"/>
        <v>25</v>
      </c>
      <c r="R33" s="22">
        <f t="shared" si="23"/>
        <v>1389.49</v>
      </c>
      <c r="S33" s="22">
        <f t="shared" si="24"/>
        <v>576.37</v>
      </c>
      <c r="T33" s="22">
        <f t="shared" si="25"/>
        <v>1965.86</v>
      </c>
      <c r="U33" s="63" t="s">
        <v>32</v>
      </c>
      <c r="V33" s="63" t="s">
        <v>32</v>
      </c>
      <c r="W33" s="68"/>
      <c r="X33" s="33"/>
    </row>
    <row r="34" s="1" customFormat="1" ht="15" customHeight="1" spans="1:24">
      <c r="A34" s="18">
        <v>29</v>
      </c>
      <c r="B34" s="17" t="s">
        <v>108</v>
      </c>
      <c r="C34" s="17" t="s">
        <v>109</v>
      </c>
      <c r="D34" s="18" t="s">
        <v>110</v>
      </c>
      <c r="E34" s="33"/>
      <c r="F34" s="33"/>
      <c r="G34" s="30">
        <v>4999</v>
      </c>
      <c r="H34" s="22">
        <f t="shared" si="14"/>
        <v>799.84</v>
      </c>
      <c r="I34" s="22">
        <f t="shared" si="15"/>
        <v>399.92</v>
      </c>
      <c r="J34" s="22">
        <f t="shared" si="29"/>
        <v>25</v>
      </c>
      <c r="K34" s="22">
        <f t="shared" si="30"/>
        <v>25</v>
      </c>
      <c r="L34" s="22">
        <f t="shared" si="18"/>
        <v>82.48</v>
      </c>
      <c r="M34" s="60">
        <v>6531</v>
      </c>
      <c r="N34" s="22">
        <f t="shared" si="19"/>
        <v>457.17</v>
      </c>
      <c r="O34" s="22">
        <f t="shared" si="20"/>
        <v>130.62</v>
      </c>
      <c r="P34" s="57">
        <f t="shared" si="31"/>
        <v>20.83</v>
      </c>
      <c r="Q34" s="57">
        <f t="shared" si="32"/>
        <v>25</v>
      </c>
      <c r="R34" s="22">
        <f t="shared" si="23"/>
        <v>1389.49</v>
      </c>
      <c r="S34" s="22">
        <f t="shared" si="24"/>
        <v>576.37</v>
      </c>
      <c r="T34" s="22">
        <f t="shared" si="25"/>
        <v>1965.86</v>
      </c>
      <c r="U34" s="63" t="s">
        <v>32</v>
      </c>
      <c r="V34" s="63" t="s">
        <v>32</v>
      </c>
      <c r="W34" s="68"/>
      <c r="X34" s="53"/>
    </row>
    <row r="35" s="1" customFormat="1" ht="15" customHeight="1" spans="1:24">
      <c r="A35" s="39" t="s">
        <v>34</v>
      </c>
      <c r="B35" s="39"/>
      <c r="C35" s="39"/>
      <c r="D35" s="39"/>
      <c r="E35" s="39"/>
      <c r="F35" s="39"/>
      <c r="G35" s="40">
        <f t="shared" ref="G35:T35" si="33">SUM(G12:G34)</f>
        <v>124979</v>
      </c>
      <c r="H35" s="40">
        <f t="shared" si="33"/>
        <v>19996.64</v>
      </c>
      <c r="I35" s="40">
        <f t="shared" si="33"/>
        <v>9998.32</v>
      </c>
      <c r="J35" s="40">
        <f t="shared" si="33"/>
        <v>625</v>
      </c>
      <c r="K35" s="40">
        <f t="shared" si="33"/>
        <v>625</v>
      </c>
      <c r="L35" s="40">
        <f t="shared" si="33"/>
        <v>2062.08</v>
      </c>
      <c r="M35" s="40">
        <f t="shared" si="33"/>
        <v>129898</v>
      </c>
      <c r="N35" s="40">
        <f t="shared" si="33"/>
        <v>9092.86</v>
      </c>
      <c r="O35" s="40">
        <f t="shared" si="33"/>
        <v>2597.96</v>
      </c>
      <c r="P35" s="40">
        <f t="shared" si="33"/>
        <v>416.6</v>
      </c>
      <c r="Q35" s="40">
        <f t="shared" si="33"/>
        <v>500</v>
      </c>
      <c r="R35" s="40">
        <f t="shared" si="33"/>
        <v>32276.58</v>
      </c>
      <c r="S35" s="40">
        <f t="shared" si="33"/>
        <v>13637.88</v>
      </c>
      <c r="T35" s="40">
        <f t="shared" si="33"/>
        <v>45914.46</v>
      </c>
      <c r="U35" s="35"/>
      <c r="V35" s="35"/>
      <c r="W35" s="68"/>
      <c r="X35" s="53"/>
    </row>
    <row r="36" s="1" customFormat="1" ht="15" customHeight="1" spans="1:24">
      <c r="A36" s="16">
        <v>30</v>
      </c>
      <c r="B36" s="17" t="s">
        <v>111</v>
      </c>
      <c r="C36" s="17" t="s">
        <v>112</v>
      </c>
      <c r="D36" s="18" t="s">
        <v>113</v>
      </c>
      <c r="E36" s="27"/>
      <c r="F36" s="11"/>
      <c r="G36" s="30"/>
      <c r="H36" s="22">
        <f t="shared" ref="H36:H40" si="34">ROUND(G36*0.16,2)</f>
        <v>0</v>
      </c>
      <c r="I36" s="22">
        <f t="shared" ref="I36:I40" si="35">ROUND(G36*0.08,2)</f>
        <v>0</v>
      </c>
      <c r="J36" s="22">
        <f t="shared" ref="J36:J40" si="36">ROUND(G36*0.005,2)</f>
        <v>0</v>
      </c>
      <c r="K36" s="22">
        <f t="shared" ref="K36:K40" si="37">ROUND(G36*0.005,2)</f>
        <v>0</v>
      </c>
      <c r="L36" s="22">
        <f>ROUND(G36*0.004,2)</f>
        <v>0</v>
      </c>
      <c r="M36" s="30">
        <v>3919</v>
      </c>
      <c r="N36" s="26">
        <f t="shared" ref="N36:N39" si="38">ROUND(M36*0.06,2)</f>
        <v>235.14</v>
      </c>
      <c r="O36" s="22"/>
      <c r="P36" s="57">
        <f t="shared" ref="P36:P40" si="39">ROUND(8332*0.25%,2)</f>
        <v>20.83</v>
      </c>
      <c r="Q36" s="57">
        <f t="shared" ref="Q36:Q40" si="40">ROUND(8332*0.3%,2)</f>
        <v>25</v>
      </c>
      <c r="R36" s="22">
        <f t="shared" ref="R36:R40" si="41">H36+N36+J36+L36+Q36</f>
        <v>260.14</v>
      </c>
      <c r="S36" s="22">
        <f t="shared" ref="S36:S40" si="42">I36+O36+K36+P36</f>
        <v>20.83</v>
      </c>
      <c r="T36" s="22">
        <f t="shared" ref="T36:T40" si="43">R36+S36</f>
        <v>280.97</v>
      </c>
      <c r="U36" s="69" t="s">
        <v>84</v>
      </c>
      <c r="V36" s="69" t="s">
        <v>84</v>
      </c>
      <c r="W36" s="65" t="s">
        <v>114</v>
      </c>
      <c r="X36" s="33" t="s">
        <v>64</v>
      </c>
    </row>
    <row r="37" s="1" customFormat="1" ht="15" customHeight="1" spans="1:24">
      <c r="A37" s="16">
        <v>31</v>
      </c>
      <c r="B37" s="17" t="s">
        <v>115</v>
      </c>
      <c r="C37" s="17" t="s">
        <v>116</v>
      </c>
      <c r="D37" s="18" t="s">
        <v>117</v>
      </c>
      <c r="E37" s="27"/>
      <c r="F37" s="11"/>
      <c r="G37" s="30"/>
      <c r="H37" s="22">
        <f t="shared" si="34"/>
        <v>0</v>
      </c>
      <c r="I37" s="22">
        <f t="shared" si="35"/>
        <v>0</v>
      </c>
      <c r="J37" s="22">
        <f t="shared" si="36"/>
        <v>0</v>
      </c>
      <c r="K37" s="22">
        <f t="shared" si="37"/>
        <v>0</v>
      </c>
      <c r="L37" s="22">
        <f t="shared" ref="L37:L40" si="44">ROUND(G37*0.0165,2)</f>
        <v>0</v>
      </c>
      <c r="M37" s="30">
        <v>2746</v>
      </c>
      <c r="N37" s="26">
        <f t="shared" si="38"/>
        <v>164.76</v>
      </c>
      <c r="O37" s="22"/>
      <c r="P37" s="57">
        <f t="shared" si="39"/>
        <v>20.83</v>
      </c>
      <c r="Q37" s="57">
        <f t="shared" si="40"/>
        <v>25</v>
      </c>
      <c r="R37" s="22">
        <f t="shared" si="41"/>
        <v>189.76</v>
      </c>
      <c r="S37" s="22">
        <f t="shared" si="42"/>
        <v>20.83</v>
      </c>
      <c r="T37" s="22">
        <f t="shared" si="43"/>
        <v>210.59</v>
      </c>
      <c r="U37" s="69" t="s">
        <v>33</v>
      </c>
      <c r="V37" s="69" t="s">
        <v>33</v>
      </c>
      <c r="W37" s="70"/>
      <c r="X37" s="33" t="s">
        <v>64</v>
      </c>
    </row>
    <row r="38" s="1" customFormat="1" ht="15" customHeight="1" spans="1:24">
      <c r="A38" s="16">
        <v>32</v>
      </c>
      <c r="B38" s="17" t="s">
        <v>118</v>
      </c>
      <c r="C38" s="73" t="s">
        <v>119</v>
      </c>
      <c r="D38" s="18" t="s">
        <v>120</v>
      </c>
      <c r="E38" s="27"/>
      <c r="F38" s="11"/>
      <c r="G38" s="30"/>
      <c r="H38" s="22">
        <f t="shared" si="34"/>
        <v>0</v>
      </c>
      <c r="I38" s="22">
        <f t="shared" si="35"/>
        <v>0</v>
      </c>
      <c r="J38" s="22">
        <f t="shared" si="36"/>
        <v>0</v>
      </c>
      <c r="K38" s="22">
        <f t="shared" si="37"/>
        <v>0</v>
      </c>
      <c r="L38" s="22">
        <f t="shared" si="44"/>
        <v>0</v>
      </c>
      <c r="M38" s="30">
        <v>6531</v>
      </c>
      <c r="N38" s="22">
        <f>ROUND(M38*0.07,2)</f>
        <v>457.17</v>
      </c>
      <c r="O38" s="22">
        <f>ROUND(M38*0.02,2)</f>
        <v>130.62</v>
      </c>
      <c r="P38" s="57">
        <f t="shared" si="39"/>
        <v>20.83</v>
      </c>
      <c r="Q38" s="57">
        <f t="shared" si="40"/>
        <v>25</v>
      </c>
      <c r="R38" s="22">
        <f t="shared" si="41"/>
        <v>482.17</v>
      </c>
      <c r="S38" s="22">
        <f t="shared" si="42"/>
        <v>151.45</v>
      </c>
      <c r="T38" s="22">
        <f t="shared" si="43"/>
        <v>633.62</v>
      </c>
      <c r="U38" s="35"/>
      <c r="V38" s="35"/>
      <c r="W38" s="70"/>
      <c r="X38" s="33" t="s">
        <v>64</v>
      </c>
    </row>
    <row r="39" s="1" customFormat="1" ht="15" customHeight="1" spans="1:24">
      <c r="A39" s="16">
        <v>33</v>
      </c>
      <c r="B39" s="17" t="s">
        <v>121</v>
      </c>
      <c r="C39" s="17" t="s">
        <v>122</v>
      </c>
      <c r="D39" s="18" t="s">
        <v>123</v>
      </c>
      <c r="E39" s="33"/>
      <c r="F39" s="11"/>
      <c r="G39" s="30"/>
      <c r="H39" s="22">
        <f t="shared" si="34"/>
        <v>0</v>
      </c>
      <c r="I39" s="22">
        <f t="shared" si="35"/>
        <v>0</v>
      </c>
      <c r="J39" s="22">
        <f t="shared" si="36"/>
        <v>0</v>
      </c>
      <c r="K39" s="22">
        <f t="shared" si="37"/>
        <v>0</v>
      </c>
      <c r="L39" s="22">
        <f>ROUND(G39*0.011,2)</f>
        <v>0</v>
      </c>
      <c r="M39" s="30">
        <v>4142</v>
      </c>
      <c r="N39" s="26">
        <f t="shared" si="38"/>
        <v>248.52</v>
      </c>
      <c r="O39" s="22"/>
      <c r="P39" s="57">
        <f t="shared" si="39"/>
        <v>20.83</v>
      </c>
      <c r="Q39" s="57">
        <f t="shared" si="40"/>
        <v>25</v>
      </c>
      <c r="R39" s="22">
        <f t="shared" si="41"/>
        <v>273.52</v>
      </c>
      <c r="S39" s="22">
        <f t="shared" si="42"/>
        <v>20.83</v>
      </c>
      <c r="T39" s="22">
        <f t="shared" si="43"/>
        <v>294.35</v>
      </c>
      <c r="U39" s="69" t="s">
        <v>84</v>
      </c>
      <c r="V39" s="69" t="s">
        <v>84</v>
      </c>
      <c r="W39" s="71"/>
      <c r="X39" s="33" t="s">
        <v>64</v>
      </c>
    </row>
    <row r="40" s="1" customFormat="1" ht="15" customHeight="1" spans="1:24">
      <c r="A40" s="16">
        <v>34</v>
      </c>
      <c r="B40" s="17" t="s">
        <v>124</v>
      </c>
      <c r="C40" s="17" t="s">
        <v>125</v>
      </c>
      <c r="D40" s="18" t="s">
        <v>126</v>
      </c>
      <c r="E40" s="29"/>
      <c r="F40" s="20"/>
      <c r="G40" s="30"/>
      <c r="H40" s="22">
        <f t="shared" si="34"/>
        <v>0</v>
      </c>
      <c r="I40" s="22">
        <f t="shared" si="35"/>
        <v>0</v>
      </c>
      <c r="J40" s="22">
        <f t="shared" si="36"/>
        <v>0</v>
      </c>
      <c r="K40" s="22">
        <f t="shared" si="37"/>
        <v>0</v>
      </c>
      <c r="L40" s="22">
        <f t="shared" si="44"/>
        <v>0</v>
      </c>
      <c r="M40" s="30">
        <v>6531</v>
      </c>
      <c r="N40" s="22">
        <f>ROUND(M40*0.07,2)</f>
        <v>457.17</v>
      </c>
      <c r="O40" s="22">
        <f>ROUND(M40*0.02,2)</f>
        <v>130.62</v>
      </c>
      <c r="P40" s="57">
        <f t="shared" si="39"/>
        <v>20.83</v>
      </c>
      <c r="Q40" s="57">
        <f t="shared" si="40"/>
        <v>25</v>
      </c>
      <c r="R40" s="22">
        <f t="shared" si="41"/>
        <v>482.17</v>
      </c>
      <c r="S40" s="22">
        <f t="shared" si="42"/>
        <v>151.45</v>
      </c>
      <c r="T40" s="22">
        <f t="shared" si="43"/>
        <v>633.62</v>
      </c>
      <c r="U40" s="69"/>
      <c r="V40" s="69"/>
      <c r="W40" s="71"/>
      <c r="X40" s="33"/>
    </row>
    <row r="41" s="1" customFormat="1" ht="15" customHeight="1" spans="1:24">
      <c r="A41" s="39" t="s">
        <v>34</v>
      </c>
      <c r="B41" s="39"/>
      <c r="C41" s="39"/>
      <c r="D41" s="39"/>
      <c r="E41" s="39"/>
      <c r="F41" s="39"/>
      <c r="G41" s="40">
        <f t="shared" ref="G41:L41" si="45">SUM(G36:G39)</f>
        <v>0</v>
      </c>
      <c r="H41" s="40">
        <f t="shared" si="45"/>
        <v>0</v>
      </c>
      <c r="I41" s="40">
        <f t="shared" si="45"/>
        <v>0</v>
      </c>
      <c r="J41" s="40">
        <f t="shared" si="45"/>
        <v>0</v>
      </c>
      <c r="K41" s="40">
        <f t="shared" si="45"/>
        <v>0</v>
      </c>
      <c r="L41" s="40">
        <f t="shared" si="45"/>
        <v>0</v>
      </c>
      <c r="M41" s="40">
        <f t="shared" ref="M41:T41" si="46">SUM(M36:M40)</f>
        <v>23869</v>
      </c>
      <c r="N41" s="40">
        <f t="shared" si="46"/>
        <v>1562.76</v>
      </c>
      <c r="O41" s="40">
        <f t="shared" si="46"/>
        <v>261.24</v>
      </c>
      <c r="P41" s="40">
        <f t="shared" si="46"/>
        <v>104.15</v>
      </c>
      <c r="Q41" s="40">
        <f t="shared" si="46"/>
        <v>125</v>
      </c>
      <c r="R41" s="40">
        <f t="shared" si="46"/>
        <v>1687.76</v>
      </c>
      <c r="S41" s="40">
        <f t="shared" si="46"/>
        <v>365.39</v>
      </c>
      <c r="T41" s="40">
        <f t="shared" si="46"/>
        <v>2053.15</v>
      </c>
      <c r="U41" s="35"/>
      <c r="V41" s="35"/>
      <c r="W41" s="68"/>
      <c r="X41" s="35"/>
    </row>
    <row r="42" s="1" customFormat="1" ht="15" customHeight="1" spans="1:24">
      <c r="A42" s="33">
        <v>35</v>
      </c>
      <c r="B42" s="17" t="s">
        <v>127</v>
      </c>
      <c r="C42" s="17" t="s">
        <v>128</v>
      </c>
      <c r="D42" s="18" t="s">
        <v>129</v>
      </c>
      <c r="E42" s="39"/>
      <c r="F42" s="33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57"/>
      <c r="R42" s="41">
        <f t="shared" ref="R42:R47" si="47">H42+N42+J42+L42+Q42</f>
        <v>0</v>
      </c>
      <c r="S42" s="41"/>
      <c r="T42" s="41">
        <f t="shared" ref="T42:T47" si="48">R42+S42</f>
        <v>0</v>
      </c>
      <c r="U42" s="35"/>
      <c r="V42" s="35"/>
      <c r="W42" s="65" t="s">
        <v>114</v>
      </c>
      <c r="X42" s="35"/>
    </row>
    <row r="43" s="1" customFormat="1" ht="15" customHeight="1" spans="1:24">
      <c r="A43" s="33">
        <v>36</v>
      </c>
      <c r="B43" s="17" t="s">
        <v>130</v>
      </c>
      <c r="C43" s="17" t="s">
        <v>131</v>
      </c>
      <c r="D43" s="18" t="s">
        <v>132</v>
      </c>
      <c r="E43" s="39"/>
      <c r="F43" s="33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57"/>
      <c r="R43" s="41">
        <f t="shared" si="47"/>
        <v>0</v>
      </c>
      <c r="S43" s="41"/>
      <c r="T43" s="41">
        <f t="shared" si="48"/>
        <v>0</v>
      </c>
      <c r="U43" s="35"/>
      <c r="V43" s="35"/>
      <c r="W43" s="70"/>
      <c r="X43" s="35"/>
    </row>
    <row r="44" s="1" customFormat="1" ht="15" customHeight="1" spans="1:24">
      <c r="A44" s="33">
        <v>37</v>
      </c>
      <c r="B44" s="17" t="s">
        <v>133</v>
      </c>
      <c r="C44" s="17" t="s">
        <v>134</v>
      </c>
      <c r="D44" s="18" t="s">
        <v>135</v>
      </c>
      <c r="E44" s="39"/>
      <c r="F44" s="33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57"/>
      <c r="R44" s="41">
        <f t="shared" si="47"/>
        <v>0</v>
      </c>
      <c r="S44" s="41"/>
      <c r="T44" s="41">
        <f t="shared" si="48"/>
        <v>0</v>
      </c>
      <c r="U44" s="35"/>
      <c r="V44" s="35"/>
      <c r="W44" s="70"/>
      <c r="X44" s="35"/>
    </row>
    <row r="45" s="1" customFormat="1" ht="15" customHeight="1" spans="1:24">
      <c r="A45" s="33">
        <v>38</v>
      </c>
      <c r="B45" s="17" t="s">
        <v>136</v>
      </c>
      <c r="C45" s="17" t="s">
        <v>137</v>
      </c>
      <c r="D45" s="18" t="s">
        <v>138</v>
      </c>
      <c r="E45" s="39"/>
      <c r="F45" s="33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57"/>
      <c r="R45" s="41">
        <f t="shared" si="47"/>
        <v>0</v>
      </c>
      <c r="S45" s="41"/>
      <c r="T45" s="41">
        <f t="shared" si="48"/>
        <v>0</v>
      </c>
      <c r="U45" s="35"/>
      <c r="V45" s="35"/>
      <c r="W45" s="70"/>
      <c r="X45" s="35"/>
    </row>
    <row r="46" s="1" customFormat="1" ht="15" customHeight="1" spans="1:24">
      <c r="A46" s="33">
        <v>39</v>
      </c>
      <c r="B46" s="17" t="s">
        <v>139</v>
      </c>
      <c r="C46" s="17" t="s">
        <v>140</v>
      </c>
      <c r="D46" s="18" t="s">
        <v>141</v>
      </c>
      <c r="E46" s="39"/>
      <c r="F46" s="33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57"/>
      <c r="R46" s="41">
        <f t="shared" si="47"/>
        <v>0</v>
      </c>
      <c r="S46" s="41"/>
      <c r="T46" s="41">
        <f t="shared" si="48"/>
        <v>0</v>
      </c>
      <c r="U46" s="35"/>
      <c r="V46" s="35"/>
      <c r="W46" s="70"/>
      <c r="X46" s="35"/>
    </row>
    <row r="47" s="1" customFormat="1" ht="15" customHeight="1" spans="1:24">
      <c r="A47" s="33">
        <v>40</v>
      </c>
      <c r="B47" s="17" t="s">
        <v>142</v>
      </c>
      <c r="C47" s="17" t="s">
        <v>143</v>
      </c>
      <c r="D47" s="18" t="s">
        <v>144</v>
      </c>
      <c r="E47" s="39"/>
      <c r="F47" s="33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57"/>
      <c r="R47" s="41">
        <f t="shared" si="47"/>
        <v>0</v>
      </c>
      <c r="S47" s="41"/>
      <c r="T47" s="41">
        <f t="shared" si="48"/>
        <v>0</v>
      </c>
      <c r="U47" s="35"/>
      <c r="V47" s="35"/>
      <c r="W47" s="71"/>
      <c r="X47" s="35"/>
    </row>
    <row r="48" s="1" customFormat="1" ht="15" customHeight="1" spans="1:24">
      <c r="A48" s="42" t="s">
        <v>34</v>
      </c>
      <c r="B48" s="43"/>
      <c r="C48" s="43"/>
      <c r="D48" s="43"/>
      <c r="E48" s="43"/>
      <c r="F48" s="44"/>
      <c r="G48" s="40">
        <f t="shared" ref="G48:T48" si="49">SUM(G42:G47)</f>
        <v>0</v>
      </c>
      <c r="H48" s="40">
        <f t="shared" si="49"/>
        <v>0</v>
      </c>
      <c r="I48" s="40">
        <f t="shared" si="49"/>
        <v>0</v>
      </c>
      <c r="J48" s="40">
        <f t="shared" si="49"/>
        <v>0</v>
      </c>
      <c r="K48" s="40">
        <f t="shared" si="49"/>
        <v>0</v>
      </c>
      <c r="L48" s="40">
        <f t="shared" si="49"/>
        <v>0</v>
      </c>
      <c r="M48" s="40">
        <f t="shared" si="49"/>
        <v>0</v>
      </c>
      <c r="N48" s="40">
        <f t="shared" si="49"/>
        <v>0</v>
      </c>
      <c r="O48" s="40">
        <f t="shared" si="49"/>
        <v>0</v>
      </c>
      <c r="P48" s="40">
        <f t="shared" si="49"/>
        <v>0</v>
      </c>
      <c r="Q48" s="40">
        <f t="shared" si="49"/>
        <v>0</v>
      </c>
      <c r="R48" s="40">
        <f t="shared" si="49"/>
        <v>0</v>
      </c>
      <c r="S48" s="40">
        <f t="shared" si="49"/>
        <v>0</v>
      </c>
      <c r="T48" s="40">
        <f t="shared" si="49"/>
        <v>0</v>
      </c>
      <c r="U48" s="35"/>
      <c r="V48" s="35"/>
      <c r="W48" s="68"/>
      <c r="X48" s="35"/>
    </row>
    <row r="49" s="1" customFormat="1" ht="15" customHeight="1" spans="1:24">
      <c r="A49" s="45" t="s">
        <v>14</v>
      </c>
      <c r="B49" s="46"/>
      <c r="C49" s="46"/>
      <c r="D49" s="47"/>
      <c r="E49" s="48"/>
      <c r="F49" s="48"/>
      <c r="G49" s="49">
        <f t="shared" ref="G49:T49" si="50">G5+G11+G35+G41+G48</f>
        <v>154979</v>
      </c>
      <c r="H49" s="49">
        <f t="shared" si="50"/>
        <v>24796.64</v>
      </c>
      <c r="I49" s="49">
        <f t="shared" si="50"/>
        <v>12398.32</v>
      </c>
      <c r="J49" s="49">
        <f t="shared" si="50"/>
        <v>775</v>
      </c>
      <c r="K49" s="49">
        <f t="shared" si="50"/>
        <v>775</v>
      </c>
      <c r="L49" s="49">
        <f t="shared" si="50"/>
        <v>2557.08</v>
      </c>
      <c r="M49" s="49">
        <f t="shared" si="50"/>
        <v>192953</v>
      </c>
      <c r="N49" s="49">
        <f t="shared" si="50"/>
        <v>13398.64</v>
      </c>
      <c r="O49" s="49">
        <f t="shared" si="50"/>
        <v>3642.92</v>
      </c>
      <c r="P49" s="49">
        <f t="shared" si="50"/>
        <v>645.73</v>
      </c>
      <c r="Q49" s="49">
        <f t="shared" si="50"/>
        <v>775</v>
      </c>
      <c r="R49" s="49">
        <f t="shared" si="50"/>
        <v>42302.36</v>
      </c>
      <c r="S49" s="49">
        <f t="shared" si="50"/>
        <v>17461.97</v>
      </c>
      <c r="T49" s="49">
        <f t="shared" si="50"/>
        <v>59764.33</v>
      </c>
      <c r="U49" s="35"/>
      <c r="V49" s="35"/>
      <c r="W49" s="68"/>
      <c r="X49" s="35"/>
    </row>
    <row r="50" s="1" customFormat="1" spans="2:23">
      <c r="B50" s="3"/>
      <c r="C50" s="3"/>
      <c r="F50" s="4"/>
      <c r="W50" s="5"/>
    </row>
    <row r="51" s="1" customFormat="1" spans="2:23">
      <c r="B51" s="3"/>
      <c r="C51" s="3"/>
      <c r="F51" s="4"/>
      <c r="W51" s="5"/>
    </row>
    <row r="52" s="1" customFormat="1" spans="2:23">
      <c r="B52" s="3"/>
      <c r="C52" s="3"/>
      <c r="F52" s="4"/>
      <c r="W52" s="5"/>
    </row>
    <row r="53" s="1" customFormat="1" spans="2:23">
      <c r="B53" s="3"/>
      <c r="C53" s="3"/>
      <c r="F53" s="4"/>
      <c r="W53" s="5"/>
    </row>
    <row r="54" s="1" customFormat="1" spans="2:23">
      <c r="B54" s="3"/>
      <c r="C54" s="3"/>
      <c r="F54" s="4"/>
      <c r="W54" s="5"/>
    </row>
    <row r="55" s="1" customFormat="1" ht="27" spans="1:23">
      <c r="A55" s="6" t="s">
        <v>169</v>
      </c>
      <c r="B55" s="7"/>
      <c r="C55" s="8"/>
      <c r="D55" s="6"/>
      <c r="E55" s="6"/>
      <c r="F55" s="9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W55" s="5"/>
    </row>
    <row r="56" s="1" customFormat="1" spans="1:23">
      <c r="A56" s="50" t="s">
        <v>1</v>
      </c>
      <c r="B56" s="51" t="s">
        <v>2</v>
      </c>
      <c r="C56" s="51" t="s">
        <v>3</v>
      </c>
      <c r="D56" s="51" t="s">
        <v>4</v>
      </c>
      <c r="E56" s="51" t="s">
        <v>5</v>
      </c>
      <c r="F56" s="51" t="s">
        <v>6</v>
      </c>
      <c r="G56" s="52" t="s">
        <v>7</v>
      </c>
      <c r="H56" s="14" t="s">
        <v>8</v>
      </c>
      <c r="I56" s="14"/>
      <c r="J56" s="14" t="s">
        <v>9</v>
      </c>
      <c r="K56" s="14"/>
      <c r="L56" s="14" t="s">
        <v>10</v>
      </c>
      <c r="M56" s="54" t="s">
        <v>11</v>
      </c>
      <c r="N56" s="14" t="s">
        <v>12</v>
      </c>
      <c r="O56" s="14"/>
      <c r="P56" s="54" t="s">
        <v>13</v>
      </c>
      <c r="Q56" s="14"/>
      <c r="R56" s="14" t="s">
        <v>14</v>
      </c>
      <c r="S56" s="14"/>
      <c r="T56" s="14"/>
      <c r="U56" s="62" t="s">
        <v>15</v>
      </c>
      <c r="V56" s="62" t="s">
        <v>16</v>
      </c>
      <c r="W56" s="62" t="s">
        <v>17</v>
      </c>
    </row>
    <row r="57" spans="1:23">
      <c r="A57" s="50"/>
      <c r="B57" s="51"/>
      <c r="C57" s="51"/>
      <c r="D57" s="51"/>
      <c r="E57" s="51"/>
      <c r="F57" s="51"/>
      <c r="G57" s="52"/>
      <c r="H57" s="14" t="s">
        <v>19</v>
      </c>
      <c r="I57" s="14" t="s">
        <v>20</v>
      </c>
      <c r="J57" s="14" t="s">
        <v>21</v>
      </c>
      <c r="K57" s="14" t="s">
        <v>22</v>
      </c>
      <c r="L57" s="56" t="s">
        <v>23</v>
      </c>
      <c r="M57" s="54"/>
      <c r="N57" s="14" t="s">
        <v>24</v>
      </c>
      <c r="O57" s="14" t="s">
        <v>25</v>
      </c>
      <c r="P57" s="14" t="s">
        <v>26</v>
      </c>
      <c r="Q57" s="56" t="s">
        <v>27</v>
      </c>
      <c r="R57" s="14" t="s">
        <v>27</v>
      </c>
      <c r="S57" s="14" t="s">
        <v>26</v>
      </c>
      <c r="T57" s="14" t="s">
        <v>14</v>
      </c>
      <c r="U57" s="62"/>
      <c r="V57" s="62"/>
      <c r="W57" s="62"/>
    </row>
    <row r="58" spans="1:23">
      <c r="A58" s="53">
        <v>1</v>
      </c>
      <c r="B58" s="73" t="s">
        <v>154</v>
      </c>
      <c r="C58" s="73" t="s">
        <v>155</v>
      </c>
      <c r="D58" s="18" t="s">
        <v>156</v>
      </c>
      <c r="E58" s="33"/>
      <c r="F58" s="11"/>
      <c r="G58" s="30">
        <v>4999</v>
      </c>
      <c r="H58" s="22">
        <f>ROUND(G58*0.16*2,2)</f>
        <v>1599.68</v>
      </c>
      <c r="I58" s="22">
        <f>ROUND(G58*0.08*2,2)</f>
        <v>799.84</v>
      </c>
      <c r="J58" s="22">
        <f>ROUND(G58*0.005+25,2)</f>
        <v>50</v>
      </c>
      <c r="K58" s="22">
        <f>ROUND(G58*0.005+25,2)</f>
        <v>50</v>
      </c>
      <c r="L58" s="22">
        <f>ROUND(G58*0.0165*2,2)</f>
        <v>164.97</v>
      </c>
      <c r="M58" s="30">
        <v>4999</v>
      </c>
      <c r="N58" s="22">
        <f>ROUND(M58*0.07*2,2)</f>
        <v>699.86</v>
      </c>
      <c r="O58" s="22">
        <f>ROUND(M58*0.02*2-0.01,2)</f>
        <v>199.95</v>
      </c>
      <c r="P58" s="57">
        <f>ROUND(8332*0.25%*2,2)</f>
        <v>41.66</v>
      </c>
      <c r="Q58" s="57">
        <f>ROUND(8332*0.3%+25,2)</f>
        <v>50</v>
      </c>
      <c r="R58" s="22">
        <f>H58+N58+J58+L58+Q58</f>
        <v>2564.51</v>
      </c>
      <c r="S58" s="22">
        <f>I58+O58+K58+P58</f>
        <v>1091.45</v>
      </c>
      <c r="T58" s="22">
        <f>R58+S58</f>
        <v>3655.96</v>
      </c>
      <c r="U58" s="36" t="s">
        <v>157</v>
      </c>
      <c r="V58" s="36" t="s">
        <v>157</v>
      </c>
      <c r="W58" s="68"/>
    </row>
    <row r="59" spans="1:23">
      <c r="A59" s="53">
        <v>2</v>
      </c>
      <c r="B59" s="73" t="s">
        <v>158</v>
      </c>
      <c r="C59" s="73" t="s">
        <v>159</v>
      </c>
      <c r="D59" s="18" t="s">
        <v>160</v>
      </c>
      <c r="E59" s="33"/>
      <c r="F59" s="11"/>
      <c r="G59" s="30">
        <v>4999</v>
      </c>
      <c r="H59" s="22">
        <f>ROUND(G59*0.16*2,2)</f>
        <v>1599.68</v>
      </c>
      <c r="I59" s="22">
        <f>ROUND(G59*0.08*2,2)</f>
        <v>799.84</v>
      </c>
      <c r="J59" s="22">
        <f>ROUND(G59*0.005+25,2)</f>
        <v>50</v>
      </c>
      <c r="K59" s="22">
        <f>ROUND(G59*0.005+25,2)</f>
        <v>50</v>
      </c>
      <c r="L59" s="22">
        <f>ROUND(G59*0.0165*2,2)</f>
        <v>164.97</v>
      </c>
      <c r="M59" s="30">
        <v>4999</v>
      </c>
      <c r="N59" s="22">
        <f>ROUND(M59*0.07*2,2)</f>
        <v>699.86</v>
      </c>
      <c r="O59" s="22">
        <f>ROUND(M59*0.02*2-0.01,2)</f>
        <v>199.95</v>
      </c>
      <c r="P59" s="57">
        <f>ROUND(8332*0.25%*2,2)</f>
        <v>41.66</v>
      </c>
      <c r="Q59" s="57">
        <f>ROUND(8332*0.3%+25,2)</f>
        <v>50</v>
      </c>
      <c r="R59" s="22">
        <f>H59+N59+J59+L59+Q59</f>
        <v>2564.51</v>
      </c>
      <c r="S59" s="22">
        <f>I59+O59+K59+P59</f>
        <v>1091.45</v>
      </c>
      <c r="T59" s="22">
        <f>R59+S59</f>
        <v>3655.96</v>
      </c>
      <c r="U59" s="36" t="s">
        <v>157</v>
      </c>
      <c r="V59" s="36" t="s">
        <v>157</v>
      </c>
      <c r="W59" s="68"/>
    </row>
    <row r="60" spans="1:23">
      <c r="A60" s="45" t="s">
        <v>34</v>
      </c>
      <c r="B60" s="46"/>
      <c r="C60" s="46"/>
      <c r="D60" s="47"/>
      <c r="E60" s="48"/>
      <c r="F60" s="48"/>
      <c r="G60" s="49">
        <f t="shared" ref="A60:T60" si="51">SUM(G58:G59)</f>
        <v>9998</v>
      </c>
      <c r="H60" s="49">
        <f t="shared" si="51"/>
        <v>3199.36</v>
      </c>
      <c r="I60" s="49">
        <f t="shared" si="51"/>
        <v>1599.68</v>
      </c>
      <c r="J60" s="49">
        <f t="shared" si="51"/>
        <v>100</v>
      </c>
      <c r="K60" s="49">
        <f t="shared" si="51"/>
        <v>100</v>
      </c>
      <c r="L60" s="49">
        <f t="shared" si="51"/>
        <v>329.94</v>
      </c>
      <c r="M60" s="49">
        <f t="shared" si="51"/>
        <v>9998</v>
      </c>
      <c r="N60" s="49">
        <f t="shared" si="51"/>
        <v>1399.72</v>
      </c>
      <c r="O60" s="49">
        <f t="shared" si="51"/>
        <v>399.9</v>
      </c>
      <c r="P60" s="49">
        <f t="shared" si="51"/>
        <v>83.32</v>
      </c>
      <c r="Q60" s="49">
        <f t="shared" si="51"/>
        <v>100</v>
      </c>
      <c r="R60" s="49">
        <f t="shared" si="51"/>
        <v>5129.02</v>
      </c>
      <c r="S60" s="49">
        <f t="shared" si="51"/>
        <v>2182.9</v>
      </c>
      <c r="T60" s="49">
        <f t="shared" si="51"/>
        <v>7311.92</v>
      </c>
      <c r="U60" s="35"/>
      <c r="V60" s="35"/>
      <c r="W60" s="68"/>
    </row>
    <row r="63" spans="1:20">
      <c r="A63" s="45" t="s">
        <v>14</v>
      </c>
      <c r="B63" s="46"/>
      <c r="C63" s="46"/>
      <c r="D63" s="47"/>
      <c r="F63" s="48"/>
      <c r="G63" s="49">
        <f>G49+G60</f>
        <v>164977</v>
      </c>
      <c r="H63" s="49">
        <f>H49+H60</f>
        <v>27996</v>
      </c>
      <c r="I63" s="49">
        <f t="shared" ref="I63:T63" si="52">I49+I60</f>
        <v>13998</v>
      </c>
      <c r="J63" s="49">
        <f t="shared" si="52"/>
        <v>875</v>
      </c>
      <c r="K63" s="49">
        <f t="shared" si="52"/>
        <v>875</v>
      </c>
      <c r="L63" s="49">
        <f t="shared" si="52"/>
        <v>2887.02</v>
      </c>
      <c r="M63" s="49">
        <f t="shared" si="52"/>
        <v>202951</v>
      </c>
      <c r="N63" s="49">
        <f t="shared" si="52"/>
        <v>14798.36</v>
      </c>
      <c r="O63" s="49">
        <f t="shared" si="52"/>
        <v>4042.82</v>
      </c>
      <c r="P63" s="49">
        <f t="shared" si="52"/>
        <v>729.05</v>
      </c>
      <c r="Q63" s="49">
        <f t="shared" si="52"/>
        <v>875</v>
      </c>
      <c r="R63" s="49">
        <f t="shared" si="52"/>
        <v>47431.38</v>
      </c>
      <c r="S63" s="49">
        <f t="shared" si="52"/>
        <v>19644.87</v>
      </c>
      <c r="T63" s="49">
        <f t="shared" si="52"/>
        <v>67076.25</v>
      </c>
    </row>
    <row r="66" spans="11:16">
      <c r="K66" s="1">
        <f>H63+J63+L63</f>
        <v>31758.02</v>
      </c>
      <c r="L66" s="1">
        <f>I63+K63</f>
        <v>14873</v>
      </c>
      <c r="N66" s="1">
        <f>N63+Q63</f>
        <v>15673.36</v>
      </c>
      <c r="O66" s="1">
        <f>O63+P63</f>
        <v>4771.87</v>
      </c>
      <c r="P66" s="1">
        <f>SUM(K66:O66)</f>
        <v>67076.25</v>
      </c>
    </row>
  </sheetData>
  <mergeCells count="46">
    <mergeCell ref="A1:T1"/>
    <mergeCell ref="H2:I2"/>
    <mergeCell ref="J2:K2"/>
    <mergeCell ref="N2:O2"/>
    <mergeCell ref="P2:Q2"/>
    <mergeCell ref="R2:T2"/>
    <mergeCell ref="A5:D5"/>
    <mergeCell ref="A11:D11"/>
    <mergeCell ref="A35:F35"/>
    <mergeCell ref="A41:F41"/>
    <mergeCell ref="A48:F48"/>
    <mergeCell ref="A49:D49"/>
    <mergeCell ref="A55:T55"/>
    <mergeCell ref="H56:I56"/>
    <mergeCell ref="J56:K56"/>
    <mergeCell ref="N56:O56"/>
    <mergeCell ref="P56:Q56"/>
    <mergeCell ref="R56:T56"/>
    <mergeCell ref="A60:D60"/>
    <mergeCell ref="A63:D63"/>
    <mergeCell ref="A2:A3"/>
    <mergeCell ref="A56:A57"/>
    <mergeCell ref="B2:B3"/>
    <mergeCell ref="B56:B57"/>
    <mergeCell ref="C2:C3"/>
    <mergeCell ref="C56:C57"/>
    <mergeCell ref="D2:D3"/>
    <mergeCell ref="D56:D57"/>
    <mergeCell ref="E2:E3"/>
    <mergeCell ref="E56:E57"/>
    <mergeCell ref="F2:F3"/>
    <mergeCell ref="F56:F57"/>
    <mergeCell ref="G2:G3"/>
    <mergeCell ref="G56:G57"/>
    <mergeCell ref="M2:M3"/>
    <mergeCell ref="M56:M57"/>
    <mergeCell ref="U2:U3"/>
    <mergeCell ref="U56:U57"/>
    <mergeCell ref="V2:V3"/>
    <mergeCell ref="V56:V57"/>
    <mergeCell ref="W2:W3"/>
    <mergeCell ref="W6:W10"/>
    <mergeCell ref="W36:W39"/>
    <mergeCell ref="W42:W47"/>
    <mergeCell ref="W56:W57"/>
    <mergeCell ref="X2:X3"/>
  </mergeCells>
  <pageMargins left="0.75" right="0.75" top="1" bottom="1" header="0.5" footer="0.5"/>
  <pageSetup paperSize="9" scale="46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熊启东</cp:lastModifiedBy>
  <dcterms:created xsi:type="dcterms:W3CDTF">2022-10-09T03:56:00Z</dcterms:created>
  <dcterms:modified xsi:type="dcterms:W3CDTF">2025-08-20T09:05:24Z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B66CD856FD624E03B8FBEAADD64B91E1</vt:lpwstr>
  </property>
  <property fmtid="{D5CDD505-2E9C-101B-9397-08002B2CF9AE}" pid="3" name="KSOProductBuildVer">
    <vt:lpwstr>2052-12.1.0.21915</vt:lpwstr>
  </property>
</Properties>
</file>