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10" windowHeight="10697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2" hidden="1">考勤!$A$5:$AY$11</definedName>
    <definedName name="_xlnm.Print_Area" localSheetId="2">考勤!$A$1:$AZ$37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<sst xmlns="http://schemas.openxmlformats.org/spreadsheetml/2006/main" count="1164" uniqueCount="137">
  <si>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</si>
  <si>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</si>
  <si>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</si>
  <si>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</si>
  <si>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</si>
  <si>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</si>
  <si>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</si>
  <si>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</si>
  <si>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</si>
  <si>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</si>
  <si>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</si>
  <si>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</si>
  <si>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</si>
  <si>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</si>
  <si>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</si>
  <si>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</si>
  <si>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</si>
  <si>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</si>
  <si>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</si>
  <si>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</si>
  <si>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</si>
  <si>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</si>
  <si>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</si>
  <si>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</si>
  <si>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</si>
  <si>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</si>
  <si>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</si>
  <si>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</si>
  <si>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</si>
  <si>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</si>
  <si>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新疆通力房地产开发有限公司库尔勒二分公司2025年7月工资表</t>
  </si>
  <si>
    <t>序号</t>
  </si>
  <si>
    <t>姓名</t>
  </si>
  <si>
    <t>岗位</t>
  </si>
  <si>
    <t>职务序列</t>
  </si>
  <si>
    <t>应出勤
天数</t>
  </si>
  <si>
    <t>李全伟</t>
  </si>
  <si>
    <t>业务支持中心副总经理</t>
  </si>
  <si>
    <t>M1</t>
  </si>
  <si>
    <t>杨文杰</t>
  </si>
  <si>
    <t>工程管理部副经理</t>
  </si>
  <si>
    <t>M2</t>
  </si>
  <si>
    <t>管锡哲</t>
  </si>
  <si>
    <t>工程主管</t>
  </si>
  <si>
    <t>PM</t>
  </si>
  <si>
    <t>徐惠蓉</t>
  </si>
  <si>
    <t>投资开发部副经理</t>
  </si>
  <si>
    <t>沈陈瑾慧</t>
  </si>
  <si>
    <t>会计</t>
  </si>
  <si>
    <t>PB</t>
  </si>
  <si>
    <t>管丽萍</t>
  </si>
  <si>
    <t>人事运营</t>
  </si>
  <si>
    <t>刘科</t>
  </si>
  <si>
    <t>招采工程师</t>
  </si>
  <si>
    <t>迟到1次</t>
  </si>
  <si>
    <t>高建梅</t>
  </si>
  <si>
    <t>出纳</t>
  </si>
  <si>
    <t>周佳奇</t>
  </si>
  <si>
    <t>造价工程师</t>
  </si>
  <si>
    <t>迟到1次，未打卡一次</t>
  </si>
  <si>
    <t>白媛媛</t>
  </si>
  <si>
    <t>开发报建工程师</t>
  </si>
  <si>
    <t>未打卡一次</t>
  </si>
  <si>
    <t>温进进</t>
  </si>
  <si>
    <t>土建工程师</t>
  </si>
  <si>
    <t>尹江</t>
  </si>
  <si>
    <t>水暖工程师</t>
  </si>
  <si>
    <t>王玉慧</t>
  </si>
  <si>
    <t>案场销售经理</t>
  </si>
  <si>
    <t>本月续扣597元</t>
  </si>
  <si>
    <t>谢华军</t>
  </si>
  <si>
    <t>招商专员</t>
  </si>
  <si>
    <t>张志慧</t>
  </si>
  <si>
    <t>置业顾问</t>
  </si>
  <si>
    <t>PA</t>
  </si>
  <si>
    <t>张玉琴</t>
  </si>
  <si>
    <t>王荣</t>
  </si>
  <si>
    <t>下月续扣1456.94元</t>
  </si>
  <si>
    <t>肖陶丽</t>
  </si>
  <si>
    <t>李秀莲</t>
  </si>
  <si>
    <t>霍苒</t>
  </si>
  <si>
    <t>连阵阵</t>
  </si>
  <si>
    <t>闫金秀</t>
  </si>
  <si>
    <t>潘亦玹</t>
  </si>
  <si>
    <t>赵江龙</t>
  </si>
  <si>
    <t>张新艳</t>
  </si>
  <si>
    <t>刘宁宁</t>
  </si>
  <si>
    <t>米云鹤</t>
  </si>
  <si>
    <t>刘思汉</t>
  </si>
  <si>
    <t>李福晴</t>
  </si>
  <si>
    <t>合计</t>
  </si>
  <si>
    <t>注：</t>
  </si>
  <si>
    <t>本月中层管理人员预留全额工资15%；徐惠蓉、管丽萍其他项为法人补助；王玉慧本月续扣上月绩效597元；刘科7月14-18日休年假，李全伟7月1-4日休年假；白媛媛其他项为办证费用，30元/户*16户。王玉慧7月需扣除绩效-2716元，本月执行-1203元，未执行的绩效共计-1513元。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</si>
  <si>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</si>
  <si>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</si>
  <si>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</si>
  <si>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</si>
  <si>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</si>
  <si>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</si>
  <si>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</si>
  <si>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</si>
  <si>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</si>
  <si>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</si>
  <si>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</si>
  <si>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</si>
  <si>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</si>
  <si>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</si>
  <si>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</si>
  <si>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</si>
  <si>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</si>
  <si>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</si>
  <si>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</si>
  <si>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</si>
  <si>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</si>
  <si>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</si>
  <si>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</si>
  <si>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</si>
  <si>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</si>
  <si>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</si>
  <si>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</si>
  <si>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</si>
  <si>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</si>
  <si>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</si>
  <si>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补贴</t>
  </si>
  <si>
    <t>扣款</t>
  </si>
  <si>
    <t>办证费</t>
  </si>
  <si>
    <t>扣绩效及佣金</t>
  </si>
  <si>
    <t>扣除上月未足额扣款部分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</si>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</sst>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7" borderId="15" applyNumberFormat="0" applyAlignment="0" applyProtection="0">
      <alignment vertical="center"/>
    </xf>
    <xf numFmtId="0" fontId="30" fillId="8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5" fillId="2" borderId="3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center" vertical="center" wrapText="1"/>
    </xf>
    <xf numFmtId="0" fontId="5" fillId="2" borderId="5" xfId="50" applyFont="1" applyFill="1" applyBorder="1" applyAlignment="1">
      <alignment horizontal="center" vertical="center" wrapText="1"/>
    </xf>
    <xf numFmtId="0" fontId="5" fillId="2" borderId="6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right" vertical="center" wrapText="1"/>
    </xf>
    <xf numFmtId="0" fontId="5" fillId="2" borderId="5" xfId="50" applyFont="1" applyFill="1" applyBorder="1" applyAlignment="1">
      <alignment horizontal="right" vertical="center" wrapText="1"/>
    </xf>
    <xf numFmtId="0" fontId="5" fillId="2" borderId="7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52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52" applyFont="1" applyFill="1" applyBorder="1" applyAlignment="1">
      <alignment horizontal="center" vertical="center" wrapText="1"/>
    </xf>
    <xf numFmtId="0" fontId="6" fillId="0" borderId="0" xfId="51" applyFont="1" applyFill="1" applyBorder="1" applyAlignment="1">
      <alignment horizontal="center" vertical="center"/>
    </xf>
    <xf numFmtId="0" fontId="5" fillId="0" borderId="0" xfId="50" applyFont="1" applyFill="1" applyBorder="1" applyAlignment="1">
      <alignment horizontal="left" vertical="center"/>
    </xf>
    <xf numFmtId="0" fontId="6" fillId="0" borderId="0" xfId="52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5" fillId="2" borderId="5" xfId="5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center" vertical="center" wrapText="1"/>
    </xf>
    <xf numFmtId="0" fontId="4" fillId="2" borderId="9" xfId="50" applyFont="1" applyFill="1" applyBorder="1" applyAlignment="1">
      <alignment horizontal="center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5" fillId="2" borderId="8" xfId="50" applyFont="1" applyFill="1" applyBorder="1" applyAlignment="1">
      <alignment horizontal="left" vertical="center" wrapText="1"/>
    </xf>
    <xf numFmtId="0" fontId="4" fillId="2" borderId="11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horizontal="center" vertical="center" wrapText="1"/>
    </xf>
    <xf numFmtId="0" fontId="10" fillId="2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176" fontId="17" fillId="0" borderId="0" xfId="0" applyNumberFormat="1" applyFont="1" applyFill="1" applyAlignment="1">
      <alignment horizontal="left" vertical="center" wrapText="1" shrinkToFit="1"/>
    </xf>
    <xf numFmtId="176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3" borderId="1" xfId="0" applyNumberFormat="1" applyFont="1" applyFill="1" applyBorder="1" applyAlignment="1">
      <alignment vertical="center" shrinkToFit="1"/>
    </xf>
    <xf numFmtId="177" fontId="18" fillId="0" borderId="0" xfId="0" applyNumberFormat="1" applyFont="1" applyAlignment="1">
      <alignment horizontal="center" vertical="center"/>
    </xf>
    <xf numFmtId="177" fontId="15" fillId="4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43" fontId="14" fillId="2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55" zoomScaleNormal="55" workbookViewId="0">
      <selection activeCell="B4" sqref="B4:Y4"/>
    </sheetView>
  </sheetViews>
  <sheetFormatPr defaultColWidth="9" defaultRowHeight="14.5"/>
  <cols>
    <col min="1" max="1" width="49.6238532110092" style="1" customWidth="1"/>
    <col min="2" max="2" width="9" style="1"/>
    <col min="3" max="3" width="13.2477064220183" style="1" customWidth="1"/>
    <col min="4" max="4" width="11.5045871559633" style="1" customWidth="1"/>
    <col min="5" max="5" width="13.2477064220183" style="1" customWidth="1"/>
    <col min="6" max="6" width="12.5045871559633" style="1" customWidth="1"/>
    <col min="7" max="7" width="11.6238532110092" style="1" customWidth="1"/>
    <col min="8" max="8" width="9" style="1"/>
    <col min="9" max="9" width="10.5504587155963" style="1" customWidth="1"/>
    <col min="10" max="10" width="9" style="1"/>
    <col min="11" max="12" width="11.2477064220183" style="1" customWidth="1"/>
    <col min="13" max="13" width="10.3761467889908" style="1"/>
    <col min="14" max="16" width="13.7522935779817" style="1" customWidth="1"/>
    <col min="17" max="17" width="13.2477064220183" style="1" customWidth="1"/>
    <col min="18" max="18" width="10.3761467889908" style="1" customWidth="1"/>
    <col min="19" max="19" width="9" style="1"/>
    <col min="20" max="20" width="10.6238532110092" style="1" customWidth="1"/>
    <col min="21" max="22" width="13.7522935779817" style="1" customWidth="1"/>
    <col min="23" max="23" width="11.50458715596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6" t="s">
        <v>0</v>
      </c>
      <c r="B2" s="86"/>
      <c r="C2" s="86"/>
      <c r="D2" s="86"/>
      <c r="E2" s="86"/>
      <c r="F2" s="86"/>
      <c r="G2" s="86"/>
      <c r="H2" s="86" t="s">
        <v>1</v>
      </c>
      <c r="I2" s="86"/>
      <c r="J2" s="86"/>
      <c r="K2" s="86"/>
      <c r="L2" s="86"/>
      <c r="M2" s="86"/>
      <c r="N2" s="86" t="s">
        <v>2</v>
      </c>
      <c r="O2" s="86"/>
      <c r="P2" s="86"/>
      <c r="Q2" s="86"/>
      <c r="R2" s="86" t="s">
        <v>3</v>
      </c>
      <c r="S2" s="86"/>
      <c r="T2" s="86"/>
      <c r="U2" s="86"/>
      <c r="V2" s="86"/>
      <c r="W2" s="86"/>
      <c r="X2" s="86"/>
      <c r="Y2" s="86" t="s">
        <v>4</v>
      </c>
      <c r="Z2" s="86" t="s">
        <v>5</v>
      </c>
    </row>
    <row r="3" s="55" customFormat="1" ht="50" customHeight="1" spans="1:26">
      <c r="A3" s="86" t="s">
        <v>6</v>
      </c>
      <c r="B3" s="86" t="s">
        <v>7</v>
      </c>
      <c r="C3" s="86" t="s">
        <v>8</v>
      </c>
      <c r="D3" s="86" t="s">
        <v>9</v>
      </c>
      <c r="E3" s="86" t="s">
        <v>10</v>
      </c>
      <c r="F3" s="86" t="s">
        <v>11</v>
      </c>
      <c r="G3" s="86" t="s">
        <v>12</v>
      </c>
      <c r="H3" s="86" t="s">
        <v>13</v>
      </c>
      <c r="I3" s="86" t="s">
        <v>14</v>
      </c>
      <c r="J3" s="86" t="s">
        <v>15</v>
      </c>
      <c r="K3" s="86" t="s">
        <v>16</v>
      </c>
      <c r="L3" s="86" t="s">
        <v>17</v>
      </c>
      <c r="M3" s="86" t="s">
        <v>18</v>
      </c>
      <c r="N3" s="86" t="s">
        <v>19</v>
      </c>
      <c r="O3" s="86" t="s">
        <v>20</v>
      </c>
      <c r="P3" s="86" t="s">
        <v>21</v>
      </c>
      <c r="Q3" s="86" t="s">
        <v>22</v>
      </c>
      <c r="R3" s="86" t="s">
        <v>23</v>
      </c>
      <c r="S3" s="86" t="s">
        <v>24</v>
      </c>
      <c r="T3" s="86" t="s">
        <v>25</v>
      </c>
      <c r="U3" s="86" t="s">
        <v>26</v>
      </c>
      <c r="V3" s="86" t="s">
        <v>27</v>
      </c>
      <c r="W3" s="86" t="s">
        <v>28</v>
      </c>
      <c r="X3" s="86" t="s">
        <v>18</v>
      </c>
      <c r="Y3" s="86"/>
      <c r="Z3" s="86"/>
    </row>
    <row r="4" s="54" customFormat="1" ht="50" customHeight="1" spans="1:26">
      <c r="A4" s="2" t="s">
        <v>29</v>
      </c>
      <c r="B4" s="2">
        <f>工资表!A32</f>
        <v>29</v>
      </c>
      <c r="C4" s="87">
        <f>工资表!E33</f>
        <v>205800</v>
      </c>
      <c r="D4" s="87"/>
      <c r="E4" s="87">
        <f>工资表!G33</f>
        <v>136380</v>
      </c>
      <c r="F4" s="87">
        <f>工资表!H33</f>
        <v>59670</v>
      </c>
      <c r="G4" s="87">
        <f>工资表!I33</f>
        <v>9750</v>
      </c>
      <c r="H4" s="87">
        <f>工资表!J33</f>
        <v>0</v>
      </c>
      <c r="I4" s="87">
        <f>工资表!K33</f>
        <v>-3973</v>
      </c>
      <c r="J4" s="87"/>
      <c r="K4" s="87">
        <f>工资表!M33</f>
        <v>900</v>
      </c>
      <c r="L4" s="87">
        <f>工资表!N33</f>
        <v>98021.98</v>
      </c>
      <c r="M4" s="87">
        <f>工资表!O33</f>
        <v>94948.98</v>
      </c>
      <c r="N4" s="87">
        <f>工资表!P33</f>
        <v>0</v>
      </c>
      <c r="O4" s="87">
        <f>工资表!Q33</f>
        <v>0</v>
      </c>
      <c r="P4" s="87"/>
      <c r="Q4" s="87">
        <f>工资表!S33</f>
        <v>290665.646666667</v>
      </c>
      <c r="R4" s="87">
        <f>工资表!T33</f>
        <v>9598.32</v>
      </c>
      <c r="S4" s="87">
        <f>工资表!U33</f>
        <v>600</v>
      </c>
      <c r="T4" s="87">
        <f>工资表!V33</f>
        <v>2552.76</v>
      </c>
      <c r="U4" s="87">
        <f>工资表!W33</f>
        <v>514.83</v>
      </c>
      <c r="V4" s="87">
        <f>工资表!X33</f>
        <v>6200</v>
      </c>
      <c r="W4" s="87">
        <f>工资表!Y33</f>
        <v>6752.4</v>
      </c>
      <c r="X4" s="87">
        <f>工资表!AA33</f>
        <v>26218.31</v>
      </c>
      <c r="Y4" s="87">
        <f>工资表!AB33</f>
        <v>264447.336666667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36"/>
  <sheetViews>
    <sheetView showZeros="0" tabSelected="1" zoomScale="40" zoomScaleNormal="40" topLeftCell="A11" workbookViewId="0">
      <selection activeCell="N20" sqref="N20"/>
    </sheetView>
  </sheetViews>
  <sheetFormatPr defaultColWidth="9" defaultRowHeight="20" customHeight="1"/>
  <cols>
    <col min="1" max="1" width="6" style="1" customWidth="1"/>
    <col min="2" max="2" width="16.2477064220184" style="1" customWidth="1"/>
    <col min="3" max="3" width="24.0550458715596" style="1" customWidth="1"/>
    <col min="4" max="4" width="11.5596330275229" style="1" customWidth="1"/>
    <col min="5" max="5" width="19.5871559633028" style="57" customWidth="1"/>
    <col min="6" max="6" width="11.2477064220183" style="57" customWidth="1"/>
    <col min="7" max="7" width="20.9357798165138" style="57" customWidth="1"/>
    <col min="8" max="8" width="17.9174311926606" style="57" customWidth="1"/>
    <col min="9" max="9" width="17.1834862385321" style="57" customWidth="1"/>
    <col min="10" max="10" width="16.4587155963303" style="1" customWidth="1"/>
    <col min="11" max="11" width="18.7522935779816" style="57" customWidth="1"/>
    <col min="12" max="14" width="18.7522935779816" style="1" customWidth="1"/>
    <col min="15" max="15" width="17.3761467889908" style="1" customWidth="1"/>
    <col min="16" max="16" width="21.4587155963303" style="1" customWidth="1"/>
    <col min="17" max="17" width="21.6697247706422" style="1" customWidth="1"/>
    <col min="18" max="18" width="14.5871559633028" style="1" customWidth="1"/>
    <col min="19" max="19" width="28.302752293578" style="1" customWidth="1"/>
    <col min="20" max="20" width="19.5871559633028" style="1" customWidth="1"/>
    <col min="21" max="21" width="17.7064220183486" style="1" customWidth="1"/>
    <col min="22" max="22" width="20" style="1" customWidth="1"/>
    <col min="23" max="24" width="21.045871559633" style="1" customWidth="1"/>
    <col min="25" max="25" width="16" style="1" customWidth="1"/>
    <col min="26" max="26" width="9.12844036697248" style="1" hidden="1" customWidth="1"/>
    <col min="27" max="27" width="21.8623853211009" style="1" customWidth="1"/>
    <col min="28" max="28" width="22.1834862385321" style="1" customWidth="1"/>
    <col min="29" max="29" width="20.3119266055046" style="1" customWidth="1"/>
    <col min="30" max="30" width="18.1284403669725" style="1" customWidth="1"/>
    <col min="31" max="16384" width="9" style="1"/>
  </cols>
  <sheetData>
    <row r="1" s="54" customFormat="1" ht="46" customHeight="1" spans="1:29">
      <c r="A1" s="58" t="s">
        <v>30</v>
      </c>
      <c r="B1" s="58"/>
      <c r="C1" s="58"/>
      <c r="D1" s="58"/>
      <c r="E1" s="59"/>
      <c r="F1" s="59"/>
      <c r="G1" s="59"/>
      <c r="H1" s="59"/>
      <c r="I1" s="59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</row>
    <row r="2" s="55" customFormat="1" ht="55" customHeight="1" spans="1:29">
      <c r="A2" s="60" t="s">
        <v>31</v>
      </c>
      <c r="B2" s="61" t="s">
        <v>0</v>
      </c>
      <c r="C2" s="61"/>
      <c r="D2" s="61"/>
      <c r="E2" s="62"/>
      <c r="F2" s="62"/>
      <c r="G2" s="62"/>
      <c r="H2" s="62"/>
      <c r="I2" s="62"/>
      <c r="J2" s="68" t="s">
        <v>1</v>
      </c>
      <c r="K2" s="74"/>
      <c r="L2" s="75"/>
      <c r="M2" s="75"/>
      <c r="N2" s="75"/>
      <c r="O2" s="69"/>
      <c r="P2" s="68" t="s">
        <v>2</v>
      </c>
      <c r="Q2" s="75"/>
      <c r="R2" s="75"/>
      <c r="S2" s="69"/>
      <c r="T2" s="68" t="s">
        <v>3</v>
      </c>
      <c r="U2" s="75"/>
      <c r="V2" s="75"/>
      <c r="W2" s="75"/>
      <c r="X2" s="75"/>
      <c r="Y2" s="75"/>
      <c r="Z2" s="75"/>
      <c r="AA2" s="69"/>
      <c r="AB2" s="61" t="s">
        <v>4</v>
      </c>
      <c r="AC2" s="61" t="s">
        <v>5</v>
      </c>
    </row>
    <row r="3" s="55" customFormat="1" ht="55" customHeight="1" spans="1:29">
      <c r="A3" s="63"/>
      <c r="B3" s="61" t="s">
        <v>32</v>
      </c>
      <c r="C3" s="61" t="s">
        <v>33</v>
      </c>
      <c r="D3" s="64" t="s">
        <v>34</v>
      </c>
      <c r="E3" s="65" t="s">
        <v>8</v>
      </c>
      <c r="F3" s="65" t="s">
        <v>35</v>
      </c>
      <c r="G3" s="65" t="s">
        <v>10</v>
      </c>
      <c r="H3" s="65" t="s">
        <v>11</v>
      </c>
      <c r="I3" s="65" t="s">
        <v>12</v>
      </c>
      <c r="J3" s="64" t="s">
        <v>13</v>
      </c>
      <c r="K3" s="65" t="s">
        <v>14</v>
      </c>
      <c r="L3" s="64" t="s">
        <v>15</v>
      </c>
      <c r="M3" s="61" t="s">
        <v>16</v>
      </c>
      <c r="N3" s="61" t="s">
        <v>17</v>
      </c>
      <c r="O3" s="61" t="s">
        <v>18</v>
      </c>
      <c r="P3" s="64" t="s">
        <v>19</v>
      </c>
      <c r="Q3" s="64" t="s">
        <v>20</v>
      </c>
      <c r="R3" s="64" t="s">
        <v>21</v>
      </c>
      <c r="S3" s="70" t="s">
        <v>22</v>
      </c>
      <c r="T3" s="61" t="s">
        <v>23</v>
      </c>
      <c r="U3" s="61" t="s">
        <v>24</v>
      </c>
      <c r="V3" s="61" t="s">
        <v>25</v>
      </c>
      <c r="W3" s="64" t="s">
        <v>26</v>
      </c>
      <c r="X3" s="64" t="s">
        <v>27</v>
      </c>
      <c r="Y3" s="61" t="s">
        <v>28</v>
      </c>
      <c r="Z3" s="61" t="s">
        <v>16</v>
      </c>
      <c r="AA3" s="61" t="s">
        <v>18</v>
      </c>
      <c r="AB3" s="61"/>
      <c r="AC3" s="61"/>
    </row>
    <row r="4" s="54" customFormat="1" ht="50" customHeight="1" spans="1:29">
      <c r="A4" s="66">
        <v>1</v>
      </c>
      <c r="B4" s="66" t="s">
        <v>36</v>
      </c>
      <c r="C4" s="66" t="s">
        <v>37</v>
      </c>
      <c r="D4" s="66" t="s">
        <v>38</v>
      </c>
      <c r="E4" s="67">
        <v>30000</v>
      </c>
      <c r="F4" s="67">
        <v>23</v>
      </c>
      <c r="G4" s="67">
        <f>E4*VLOOKUP(D4,职务序列取数!B:E,2,0)</f>
        <v>15300</v>
      </c>
      <c r="H4" s="67">
        <f>E4*VLOOKUP(D4,职务序列取数!B:E,3,0)</f>
        <v>10200</v>
      </c>
      <c r="I4" s="67">
        <f>E4*VLOOKUP(D4,职务序列取数!B:E,4,0)</f>
        <v>4500</v>
      </c>
      <c r="J4" s="76"/>
      <c r="K4" s="67">
        <v>-2173</v>
      </c>
      <c r="L4" s="76"/>
      <c r="M4" s="76"/>
      <c r="N4" s="76"/>
      <c r="O4" s="77">
        <f>SUM(J4:N4)</f>
        <v>-2173</v>
      </c>
      <c r="P4" s="76">
        <f t="shared" ref="P4:P14" si="0">G4/F4</f>
        <v>665.217391304348</v>
      </c>
      <c r="Q4" s="76">
        <f t="shared" ref="Q4:Q14" si="1">H4/F4</f>
        <v>443.478260869565</v>
      </c>
      <c r="R4" s="78">
        <f>VLOOKUP(B4,考勤!B:AI,34,0)</f>
        <v>23</v>
      </c>
      <c r="S4" s="70">
        <f>(P4*R4)+(Q4*R4)+O4</f>
        <v>23327</v>
      </c>
      <c r="T4" s="79">
        <v>400</v>
      </c>
      <c r="U4" s="79">
        <v>25</v>
      </c>
      <c r="V4" s="79">
        <v>130.62</v>
      </c>
      <c r="W4" s="79">
        <v>19.06</v>
      </c>
      <c r="X4" s="79">
        <v>350</v>
      </c>
      <c r="Y4" s="81">
        <v>1599.93</v>
      </c>
      <c r="Z4" s="76"/>
      <c r="AA4" s="77">
        <f>SUM(T4:Z4)</f>
        <v>2524.61</v>
      </c>
      <c r="AB4" s="70">
        <f t="shared" ref="AB4:AB14" si="2">S4-AA4</f>
        <v>20802.39</v>
      </c>
      <c r="AC4" s="66"/>
    </row>
    <row r="5" s="54" customFormat="1" ht="50" customHeight="1" spans="1:29">
      <c r="A5" s="66">
        <v>2</v>
      </c>
      <c r="B5" s="66" t="s">
        <v>39</v>
      </c>
      <c r="C5" s="66" t="s">
        <v>40</v>
      </c>
      <c r="D5" s="66" t="s">
        <v>41</v>
      </c>
      <c r="E5" s="67">
        <v>20000</v>
      </c>
      <c r="F5" s="67">
        <v>23</v>
      </c>
      <c r="G5" s="67">
        <f>E5*VLOOKUP(D5,职务序列取数!B:E,2,0)</f>
        <v>10200</v>
      </c>
      <c r="H5" s="67">
        <f>E5*VLOOKUP(D5,职务序列取数!B:E,3,0)</f>
        <v>6800</v>
      </c>
      <c r="I5" s="67">
        <f>E5*VLOOKUP(D5,职务序列取数!B:E,4,0)</f>
        <v>3000</v>
      </c>
      <c r="J5" s="76"/>
      <c r="K5" s="67"/>
      <c r="L5" s="76"/>
      <c r="M5" s="76"/>
      <c r="N5" s="76"/>
      <c r="O5" s="77">
        <f t="shared" ref="O5:O32" si="3">SUM(J5:N5)</f>
        <v>0</v>
      </c>
      <c r="P5" s="76">
        <f t="shared" si="0"/>
        <v>443.478260869565</v>
      </c>
      <c r="Q5" s="76">
        <f t="shared" si="1"/>
        <v>295.652173913043</v>
      </c>
      <c r="R5" s="78">
        <f>VLOOKUP(B5,考勤!B:AI,34,0)</f>
        <v>23</v>
      </c>
      <c r="S5" s="70">
        <f t="shared" ref="S5:S32" si="4">(P5*R5)+(Q5*R5)+O5</f>
        <v>17000</v>
      </c>
      <c r="T5" s="79">
        <f>400</f>
        <v>400</v>
      </c>
      <c r="U5" s="79">
        <f>25</f>
        <v>25</v>
      </c>
      <c r="V5" s="79">
        <f>100</f>
        <v>100</v>
      </c>
      <c r="W5" s="79">
        <f>25</f>
        <v>25</v>
      </c>
      <c r="X5" s="79">
        <f>350</f>
        <v>350</v>
      </c>
      <c r="Y5" s="81">
        <v>760</v>
      </c>
      <c r="Z5" s="76"/>
      <c r="AA5" s="77">
        <f t="shared" ref="AA5:AA32" si="5">SUM(T5:Z5)</f>
        <v>1660</v>
      </c>
      <c r="AB5" s="70">
        <f t="shared" si="2"/>
        <v>15340</v>
      </c>
      <c r="AC5" s="66"/>
    </row>
    <row r="6" s="54" customFormat="1" ht="50" customHeight="1" spans="1:29">
      <c r="A6" s="66">
        <v>3</v>
      </c>
      <c r="B6" s="66" t="s">
        <v>42</v>
      </c>
      <c r="C6" s="66" t="s">
        <v>43</v>
      </c>
      <c r="D6" s="66" t="s">
        <v>44</v>
      </c>
      <c r="E6" s="67">
        <v>12000</v>
      </c>
      <c r="F6" s="67">
        <v>23</v>
      </c>
      <c r="G6" s="67">
        <f>E6*VLOOKUP(D6,职务序列取数!B:E,2,0)</f>
        <v>8400</v>
      </c>
      <c r="H6" s="67">
        <f>E6*VLOOKUP(D6,职务序列取数!B:E,3,0)</f>
        <v>3600</v>
      </c>
      <c r="I6" s="67">
        <f>E6*VLOOKUP(D6,职务序列取数!B:E,4,0)</f>
        <v>0</v>
      </c>
      <c r="J6" s="76"/>
      <c r="K6" s="67"/>
      <c r="L6" s="76"/>
      <c r="M6" s="76"/>
      <c r="N6" s="76"/>
      <c r="O6" s="77">
        <f t="shared" si="3"/>
        <v>0</v>
      </c>
      <c r="P6" s="76">
        <f t="shared" si="0"/>
        <v>365.217391304348</v>
      </c>
      <c r="Q6" s="76">
        <f t="shared" si="1"/>
        <v>156.521739130435</v>
      </c>
      <c r="R6" s="78">
        <f>VLOOKUP(B6,考勤!B:AI,34,0)</f>
        <v>23</v>
      </c>
      <c r="S6" s="70">
        <f t="shared" si="4"/>
        <v>12000</v>
      </c>
      <c r="T6" s="79">
        <v>399.92</v>
      </c>
      <c r="U6" s="79">
        <v>25</v>
      </c>
      <c r="V6" s="79">
        <v>99.98</v>
      </c>
      <c r="W6" s="79">
        <v>25</v>
      </c>
      <c r="X6" s="79"/>
      <c r="Y6" s="81">
        <v>148.5</v>
      </c>
      <c r="Z6" s="76"/>
      <c r="AA6" s="77">
        <f t="shared" si="5"/>
        <v>698.4</v>
      </c>
      <c r="AB6" s="70">
        <f t="shared" si="2"/>
        <v>11301.6</v>
      </c>
      <c r="AC6" s="66"/>
    </row>
    <row r="7" s="54" customFormat="1" ht="50" customHeight="1" spans="1:29">
      <c r="A7" s="66">
        <v>4</v>
      </c>
      <c r="B7" s="66" t="s">
        <v>45</v>
      </c>
      <c r="C7" s="66" t="s">
        <v>46</v>
      </c>
      <c r="D7" s="66" t="s">
        <v>41</v>
      </c>
      <c r="E7" s="67">
        <v>15000</v>
      </c>
      <c r="F7" s="67">
        <v>23</v>
      </c>
      <c r="G7" s="67">
        <f>E7*VLOOKUP(D7,职务序列取数!B:E,2,0)</f>
        <v>7650</v>
      </c>
      <c r="H7" s="67">
        <f>E7*VLOOKUP(D7,职务序列取数!B:E,3,0)</f>
        <v>5100</v>
      </c>
      <c r="I7" s="67">
        <f>E7*VLOOKUP(D7,职务序列取数!B:E,4,0)</f>
        <v>2250</v>
      </c>
      <c r="J7" s="76"/>
      <c r="K7" s="67"/>
      <c r="L7" s="76"/>
      <c r="M7" s="76">
        <v>300</v>
      </c>
      <c r="N7" s="76"/>
      <c r="O7" s="77">
        <f t="shared" si="3"/>
        <v>300</v>
      </c>
      <c r="P7" s="76">
        <f t="shared" si="0"/>
        <v>332.608695652174</v>
      </c>
      <c r="Q7" s="76">
        <f t="shared" si="1"/>
        <v>221.739130434783</v>
      </c>
      <c r="R7" s="78">
        <f>VLOOKUP(B7,考勤!B:AI,34,0)</f>
        <v>23</v>
      </c>
      <c r="S7" s="70">
        <f t="shared" si="4"/>
        <v>13050</v>
      </c>
      <c r="T7" s="79"/>
      <c r="U7" s="79"/>
      <c r="V7" s="79"/>
      <c r="W7" s="79"/>
      <c r="X7" s="79"/>
      <c r="Y7" s="81">
        <v>805</v>
      </c>
      <c r="Z7" s="76"/>
      <c r="AA7" s="77">
        <f t="shared" si="5"/>
        <v>805</v>
      </c>
      <c r="AB7" s="70">
        <f t="shared" si="2"/>
        <v>12245</v>
      </c>
      <c r="AC7" s="66"/>
    </row>
    <row r="8" s="54" customFormat="1" ht="50" customHeight="1" spans="1:29">
      <c r="A8" s="66">
        <v>5</v>
      </c>
      <c r="B8" s="66" t="s">
        <v>47</v>
      </c>
      <c r="C8" s="66" t="s">
        <v>48</v>
      </c>
      <c r="D8" s="66" t="s">
        <v>49</v>
      </c>
      <c r="E8" s="67">
        <v>7000</v>
      </c>
      <c r="F8" s="67">
        <v>23</v>
      </c>
      <c r="G8" s="67">
        <f>E8*VLOOKUP(D8,职务序列取数!B:E,2,0)</f>
        <v>5600</v>
      </c>
      <c r="H8" s="67">
        <f>E8*VLOOKUP(D8,职务序列取数!B:E,3,0)</f>
        <v>1400</v>
      </c>
      <c r="I8" s="67">
        <f>E8*VLOOKUP(D8,职务序列取数!B:E,4,0)</f>
        <v>0</v>
      </c>
      <c r="J8" s="76"/>
      <c r="K8" s="67"/>
      <c r="L8" s="76"/>
      <c r="M8" s="76"/>
      <c r="N8" s="76"/>
      <c r="O8" s="77">
        <f t="shared" si="3"/>
        <v>0</v>
      </c>
      <c r="P8" s="76">
        <f t="shared" si="0"/>
        <v>243.478260869565</v>
      </c>
      <c r="Q8" s="76">
        <f t="shared" si="1"/>
        <v>60.8695652173913</v>
      </c>
      <c r="R8" s="78">
        <f>VLOOKUP(B8,考勤!B:AI,34,0)</f>
        <v>23</v>
      </c>
      <c r="S8" s="70">
        <f t="shared" si="4"/>
        <v>6999.99999999999</v>
      </c>
      <c r="T8" s="79">
        <v>399.92</v>
      </c>
      <c r="U8" s="79">
        <v>25</v>
      </c>
      <c r="V8" s="79">
        <v>130.62</v>
      </c>
      <c r="W8" s="79">
        <v>20.83</v>
      </c>
      <c r="X8" s="79">
        <v>250</v>
      </c>
      <c r="Y8" s="81"/>
      <c r="Z8" s="76"/>
      <c r="AA8" s="77">
        <f t="shared" si="5"/>
        <v>826.37</v>
      </c>
      <c r="AB8" s="70">
        <f t="shared" si="2"/>
        <v>6173.62999999999</v>
      </c>
      <c r="AC8" s="82"/>
    </row>
    <row r="9" s="54" customFormat="1" ht="50" customHeight="1" spans="1:29">
      <c r="A9" s="66">
        <v>6</v>
      </c>
      <c r="B9" s="66" t="s">
        <v>50</v>
      </c>
      <c r="C9" s="66" t="s">
        <v>51</v>
      </c>
      <c r="D9" s="66" t="s">
        <v>49</v>
      </c>
      <c r="E9" s="67">
        <v>6000</v>
      </c>
      <c r="F9" s="67">
        <v>23</v>
      </c>
      <c r="G9" s="67">
        <f>E9*VLOOKUP(D9,职务序列取数!B:E,2,0)</f>
        <v>4800</v>
      </c>
      <c r="H9" s="67">
        <f>E9*VLOOKUP(D9,职务序列取数!B:E,3,0)</f>
        <v>1200</v>
      </c>
      <c r="I9" s="67">
        <f>E9*VLOOKUP(D9,职务序列取数!B:E,4,0)</f>
        <v>0</v>
      </c>
      <c r="J9" s="76"/>
      <c r="K9" s="67"/>
      <c r="L9" s="76"/>
      <c r="M9" s="76">
        <v>200</v>
      </c>
      <c r="N9" s="76"/>
      <c r="O9" s="77">
        <f t="shared" si="3"/>
        <v>200</v>
      </c>
      <c r="P9" s="76">
        <f t="shared" si="0"/>
        <v>208.695652173913</v>
      </c>
      <c r="Q9" s="76">
        <f t="shared" si="1"/>
        <v>52.1739130434783</v>
      </c>
      <c r="R9" s="78">
        <f>VLOOKUP(B9,考勤!B:AI,34,0)</f>
        <v>23</v>
      </c>
      <c r="S9" s="70">
        <f t="shared" si="4"/>
        <v>6200</v>
      </c>
      <c r="T9" s="79">
        <v>399.92</v>
      </c>
      <c r="U9" s="79">
        <v>25</v>
      </c>
      <c r="V9" s="79">
        <v>130.62</v>
      </c>
      <c r="W9" s="79">
        <v>20.83</v>
      </c>
      <c r="X9" s="79">
        <v>250</v>
      </c>
      <c r="Y9" s="81"/>
      <c r="Z9" s="76"/>
      <c r="AA9" s="77">
        <f t="shared" si="5"/>
        <v>826.37</v>
      </c>
      <c r="AB9" s="70">
        <f t="shared" si="2"/>
        <v>5373.63</v>
      </c>
      <c r="AC9" s="66"/>
    </row>
    <row r="10" s="54" customFormat="1" ht="50" customHeight="1" spans="1:29">
      <c r="A10" s="66">
        <v>7</v>
      </c>
      <c r="B10" s="66" t="s">
        <v>52</v>
      </c>
      <c r="C10" s="66" t="s">
        <v>53</v>
      </c>
      <c r="D10" s="66" t="s">
        <v>49</v>
      </c>
      <c r="E10" s="67">
        <v>7500</v>
      </c>
      <c r="F10" s="67">
        <v>23</v>
      </c>
      <c r="G10" s="67">
        <f>E10*VLOOKUP(D10,职务序列取数!B:E,2,0)</f>
        <v>6000</v>
      </c>
      <c r="H10" s="67">
        <f>E10*VLOOKUP(D10,职务序列取数!B:E,3,0)</f>
        <v>1500</v>
      </c>
      <c r="I10" s="67">
        <f>E10*VLOOKUP(D10,职务序列取数!B:E,4,0)</f>
        <v>0</v>
      </c>
      <c r="J10" s="76"/>
      <c r="K10" s="67"/>
      <c r="L10" s="76"/>
      <c r="M10" s="76">
        <v>-20</v>
      </c>
      <c r="N10" s="76"/>
      <c r="O10" s="77">
        <f t="shared" si="3"/>
        <v>-20</v>
      </c>
      <c r="P10" s="76">
        <f t="shared" si="0"/>
        <v>260.869565217391</v>
      </c>
      <c r="Q10" s="76">
        <f t="shared" si="1"/>
        <v>65.2173913043478</v>
      </c>
      <c r="R10" s="78">
        <f>VLOOKUP(B10,考勤!B:AI,34,0)</f>
        <v>23</v>
      </c>
      <c r="S10" s="70">
        <f t="shared" si="4"/>
        <v>7479.99999999999</v>
      </c>
      <c r="T10" s="79"/>
      <c r="U10" s="79"/>
      <c r="V10" s="79"/>
      <c r="W10" s="79"/>
      <c r="X10" s="79"/>
      <c r="Y10" s="81"/>
      <c r="Z10" s="76"/>
      <c r="AA10" s="77">
        <f t="shared" si="5"/>
        <v>0</v>
      </c>
      <c r="AB10" s="70">
        <f t="shared" si="2"/>
        <v>7479.99999999999</v>
      </c>
      <c r="AC10" s="82" t="s">
        <v>54</v>
      </c>
    </row>
    <row r="11" s="54" customFormat="1" ht="50" customHeight="1" spans="1:29">
      <c r="A11" s="66">
        <v>8</v>
      </c>
      <c r="B11" s="66" t="s">
        <v>55</v>
      </c>
      <c r="C11" s="66" t="s">
        <v>56</v>
      </c>
      <c r="D11" s="66" t="s">
        <v>49</v>
      </c>
      <c r="E11" s="67">
        <v>6500</v>
      </c>
      <c r="F11" s="67">
        <v>23</v>
      </c>
      <c r="G11" s="67">
        <f>E11*VLOOKUP(D11,职务序列取数!B:E,2,0)</f>
        <v>5200</v>
      </c>
      <c r="H11" s="67">
        <f>E11*VLOOKUP(D11,职务序列取数!B:E,3,0)</f>
        <v>1300</v>
      </c>
      <c r="I11" s="67">
        <f>E11*VLOOKUP(D11,职务序列取数!B:E,4,0)</f>
        <v>0</v>
      </c>
      <c r="J11" s="76"/>
      <c r="K11" s="67"/>
      <c r="L11" s="76"/>
      <c r="M11" s="76"/>
      <c r="N11" s="76"/>
      <c r="O11" s="77">
        <f t="shared" si="3"/>
        <v>0</v>
      </c>
      <c r="P11" s="76">
        <f t="shared" si="0"/>
        <v>226.086956521739</v>
      </c>
      <c r="Q11" s="76">
        <f t="shared" si="1"/>
        <v>56.5217391304348</v>
      </c>
      <c r="R11" s="78">
        <f>VLOOKUP(B11,考勤!B:AI,34,0)</f>
        <v>23</v>
      </c>
      <c r="S11" s="70">
        <f t="shared" si="4"/>
        <v>6500</v>
      </c>
      <c r="T11" s="79">
        <v>399.92</v>
      </c>
      <c r="U11" s="79">
        <v>25</v>
      </c>
      <c r="V11" s="79">
        <v>130.62</v>
      </c>
      <c r="W11" s="79">
        <v>20.83</v>
      </c>
      <c r="X11" s="79">
        <v>250</v>
      </c>
      <c r="Y11" s="81"/>
      <c r="Z11" s="76"/>
      <c r="AA11" s="77">
        <f t="shared" si="5"/>
        <v>826.37</v>
      </c>
      <c r="AB11" s="70">
        <f t="shared" si="2"/>
        <v>5673.63</v>
      </c>
      <c r="AC11" s="66"/>
    </row>
    <row r="12" s="54" customFormat="1" ht="50" customHeight="1" spans="1:29">
      <c r="A12" s="66">
        <v>9</v>
      </c>
      <c r="B12" s="66" t="s">
        <v>57</v>
      </c>
      <c r="C12" s="66" t="s">
        <v>58</v>
      </c>
      <c r="D12" s="66" t="s">
        <v>49</v>
      </c>
      <c r="E12" s="67">
        <v>7800</v>
      </c>
      <c r="F12" s="67">
        <v>23</v>
      </c>
      <c r="G12" s="67">
        <f>E12*0.6</f>
        <v>4680</v>
      </c>
      <c r="H12" s="67">
        <f>E12*0.4</f>
        <v>3120</v>
      </c>
      <c r="I12" s="67">
        <v>0</v>
      </c>
      <c r="J12" s="76"/>
      <c r="K12" s="67"/>
      <c r="L12" s="76"/>
      <c r="M12" s="76">
        <f>-20-20</f>
        <v>-40</v>
      </c>
      <c r="N12" s="76"/>
      <c r="O12" s="77">
        <f t="shared" si="3"/>
        <v>-40</v>
      </c>
      <c r="P12" s="76">
        <f t="shared" si="0"/>
        <v>203.478260869565</v>
      </c>
      <c r="Q12" s="76">
        <f t="shared" si="1"/>
        <v>135.652173913043</v>
      </c>
      <c r="R12" s="78">
        <f>VLOOKUP(B12,考勤!B:AI,34,0)</f>
        <v>23</v>
      </c>
      <c r="S12" s="70">
        <f t="shared" si="4"/>
        <v>7759.99999999998</v>
      </c>
      <c r="T12" s="79"/>
      <c r="U12" s="79"/>
      <c r="V12" s="79"/>
      <c r="W12" s="79"/>
      <c r="X12" s="79"/>
      <c r="Y12" s="81">
        <v>82.8</v>
      </c>
      <c r="Z12" s="76"/>
      <c r="AA12" s="77">
        <f t="shared" si="5"/>
        <v>82.8</v>
      </c>
      <c r="AB12" s="70">
        <f t="shared" si="2"/>
        <v>7677.19999999998</v>
      </c>
      <c r="AC12" s="82" t="s">
        <v>59</v>
      </c>
    </row>
    <row r="13" s="54" customFormat="1" ht="50" customHeight="1" spans="1:29">
      <c r="A13" s="66">
        <v>10</v>
      </c>
      <c r="B13" s="66" t="s">
        <v>60</v>
      </c>
      <c r="C13" s="66" t="s">
        <v>61</v>
      </c>
      <c r="D13" s="66" t="s">
        <v>49</v>
      </c>
      <c r="E13" s="67">
        <v>4500</v>
      </c>
      <c r="F13" s="67">
        <v>23</v>
      </c>
      <c r="G13" s="67">
        <f>E13*VLOOKUP(D13,职务序列取数!B:E,2,0)</f>
        <v>3600</v>
      </c>
      <c r="H13" s="67">
        <f>E13*VLOOKUP(D13,职务序列取数!B:E,3,0)</f>
        <v>900</v>
      </c>
      <c r="I13" s="67">
        <f>E13*VLOOKUP(D13,职务序列取数!B:E,4,0)</f>
        <v>0</v>
      </c>
      <c r="J13" s="76"/>
      <c r="K13" s="67"/>
      <c r="L13" s="76"/>
      <c r="M13" s="76">
        <f>16*30-20</f>
        <v>460</v>
      </c>
      <c r="N13" s="76"/>
      <c r="O13" s="77">
        <f t="shared" si="3"/>
        <v>460</v>
      </c>
      <c r="P13" s="76">
        <f t="shared" si="0"/>
        <v>156.521739130435</v>
      </c>
      <c r="Q13" s="76">
        <f t="shared" si="1"/>
        <v>39.1304347826087</v>
      </c>
      <c r="R13" s="78">
        <f>VLOOKUP(B13,考勤!B:AI,34,0)</f>
        <v>23</v>
      </c>
      <c r="S13" s="70">
        <f t="shared" si="4"/>
        <v>4960.00000000001</v>
      </c>
      <c r="T13" s="79">
        <v>399.92</v>
      </c>
      <c r="U13" s="79">
        <v>25</v>
      </c>
      <c r="V13" s="79">
        <v>130.62</v>
      </c>
      <c r="W13" s="79">
        <v>20.83</v>
      </c>
      <c r="X13" s="79">
        <v>250</v>
      </c>
      <c r="Y13" s="81"/>
      <c r="Z13" s="76"/>
      <c r="AA13" s="77">
        <f t="shared" si="5"/>
        <v>826.37</v>
      </c>
      <c r="AB13" s="70">
        <f t="shared" si="2"/>
        <v>4133.63000000001</v>
      </c>
      <c r="AC13" s="66" t="s">
        <v>62</v>
      </c>
    </row>
    <row r="14" s="54" customFormat="1" ht="50" customHeight="1" spans="1:29">
      <c r="A14" s="66">
        <v>11</v>
      </c>
      <c r="B14" s="66" t="s">
        <v>63</v>
      </c>
      <c r="C14" s="66" t="s">
        <v>64</v>
      </c>
      <c r="D14" s="66" t="s">
        <v>49</v>
      </c>
      <c r="E14" s="67">
        <v>13500</v>
      </c>
      <c r="F14" s="67">
        <v>23</v>
      </c>
      <c r="G14" s="67">
        <f>E14*VLOOKUP(D14,职务序列取数!B:E,2,0)</f>
        <v>10800</v>
      </c>
      <c r="H14" s="67">
        <f>E14*VLOOKUP(D14,职务序列取数!B:E,3,0)</f>
        <v>2700</v>
      </c>
      <c r="I14" s="67">
        <f>E14*VLOOKUP(D14,职务序列取数!B:E,4,0)</f>
        <v>0</v>
      </c>
      <c r="J14" s="76"/>
      <c r="K14" s="67"/>
      <c r="L14" s="76"/>
      <c r="M14" s="76"/>
      <c r="N14" s="76"/>
      <c r="O14" s="77">
        <f t="shared" si="3"/>
        <v>0</v>
      </c>
      <c r="P14" s="76">
        <f t="shared" si="0"/>
        <v>469.565217391304</v>
      </c>
      <c r="Q14" s="76">
        <f t="shared" si="1"/>
        <v>117.391304347826</v>
      </c>
      <c r="R14" s="78">
        <f>VLOOKUP(B14,考勤!B:AI,34,0)</f>
        <v>23</v>
      </c>
      <c r="S14" s="70">
        <f t="shared" si="4"/>
        <v>13500</v>
      </c>
      <c r="T14" s="79">
        <v>399.92</v>
      </c>
      <c r="U14" s="79">
        <v>25</v>
      </c>
      <c r="V14" s="79">
        <v>99.98</v>
      </c>
      <c r="W14" s="79">
        <v>25</v>
      </c>
      <c r="X14" s="79">
        <v>250</v>
      </c>
      <c r="Y14" s="81">
        <v>129</v>
      </c>
      <c r="Z14" s="76"/>
      <c r="AA14" s="77">
        <f t="shared" si="5"/>
        <v>928.9</v>
      </c>
      <c r="AB14" s="70">
        <f t="shared" si="2"/>
        <v>12571.1</v>
      </c>
      <c r="AC14" s="66"/>
    </row>
    <row r="15" s="1" customFormat="1" ht="50" customHeight="1" spans="1:29">
      <c r="A15" s="66">
        <v>12</v>
      </c>
      <c r="B15" s="66" t="s">
        <v>65</v>
      </c>
      <c r="C15" s="66" t="s">
        <v>66</v>
      </c>
      <c r="D15" s="66" t="s">
        <v>49</v>
      </c>
      <c r="E15" s="67">
        <v>12000</v>
      </c>
      <c r="F15" s="67">
        <v>23</v>
      </c>
      <c r="G15" s="67">
        <f>E15*VLOOKUP(D15,职务序列取数!B:E,2,0)</f>
        <v>9600</v>
      </c>
      <c r="H15" s="67">
        <f>E15*VLOOKUP(D15,职务序列取数!B:E,3,0)</f>
        <v>2400</v>
      </c>
      <c r="I15" s="67"/>
      <c r="J15" s="76"/>
      <c r="K15" s="67"/>
      <c r="L15" s="76"/>
      <c r="M15" s="76"/>
      <c r="N15" s="76"/>
      <c r="O15" s="77">
        <f t="shared" si="3"/>
        <v>0</v>
      </c>
      <c r="P15" s="76">
        <f t="shared" ref="P15:P25" si="6">G15/F15</f>
        <v>417.391304347826</v>
      </c>
      <c r="Q15" s="76">
        <f t="shared" ref="Q15:Q25" si="7">H15/F15</f>
        <v>104.347826086957</v>
      </c>
      <c r="R15" s="78">
        <f>VLOOKUP(B15,考勤!B:AI,34,0)</f>
        <v>23</v>
      </c>
      <c r="S15" s="70">
        <f t="shared" si="4"/>
        <v>12000</v>
      </c>
      <c r="T15" s="79">
        <v>400</v>
      </c>
      <c r="U15" s="79">
        <v>25</v>
      </c>
      <c r="V15" s="79">
        <v>100</v>
      </c>
      <c r="W15" s="79">
        <v>25</v>
      </c>
      <c r="X15" s="79">
        <v>250</v>
      </c>
      <c r="Y15" s="81">
        <v>186</v>
      </c>
      <c r="Z15" s="76"/>
      <c r="AA15" s="77">
        <f t="shared" si="5"/>
        <v>986</v>
      </c>
      <c r="AB15" s="70">
        <f t="shared" ref="AB15:AB25" si="8">S15-AA15</f>
        <v>11014</v>
      </c>
      <c r="AC15" s="66"/>
    </row>
    <row r="16" s="1" customFormat="1" ht="50" customHeight="1" spans="1:29">
      <c r="A16" s="66">
        <v>13</v>
      </c>
      <c r="B16" s="66" t="s">
        <v>67</v>
      </c>
      <c r="C16" s="66" t="s">
        <v>68</v>
      </c>
      <c r="D16" s="66" t="s">
        <v>44</v>
      </c>
      <c r="E16" s="67">
        <v>6000</v>
      </c>
      <c r="F16" s="67">
        <v>27</v>
      </c>
      <c r="G16" s="67">
        <f>E16*VLOOKUP(D16,职务序列取数!B:E,2,0)</f>
        <v>4200</v>
      </c>
      <c r="H16" s="67">
        <f>E16*VLOOKUP(D16,职务序列取数!B:E,3,0)</f>
        <v>1800</v>
      </c>
      <c r="I16" s="67">
        <f>E16*VLOOKUP(D16,职务序列取数!B:E,4,0)</f>
        <v>0</v>
      </c>
      <c r="J16" s="76"/>
      <c r="K16" s="67">
        <f>-1203-597</f>
        <v>-1800</v>
      </c>
      <c r="L16" s="76"/>
      <c r="M16" s="76"/>
      <c r="N16" s="76">
        <f>13015.23</f>
        <v>13015.23</v>
      </c>
      <c r="O16" s="77">
        <f t="shared" si="3"/>
        <v>11215.23</v>
      </c>
      <c r="P16" s="76">
        <f t="shared" ref="P16:P32" si="9">G16/F16</f>
        <v>155.555555555556</v>
      </c>
      <c r="Q16" s="76">
        <f t="shared" ref="Q16:Q32" si="10">H16/F16</f>
        <v>66.6666666666667</v>
      </c>
      <c r="R16" s="78">
        <f>VLOOKUP(B16,考勤!B:AI,34,0)</f>
        <v>27</v>
      </c>
      <c r="S16" s="70">
        <f t="shared" si="4"/>
        <v>17215.23</v>
      </c>
      <c r="T16" s="79">
        <v>399.92</v>
      </c>
      <c r="U16" s="79">
        <v>25</v>
      </c>
      <c r="V16" s="79">
        <v>99.98</v>
      </c>
      <c r="W16" s="79">
        <v>20.83</v>
      </c>
      <c r="X16" s="79">
        <v>250</v>
      </c>
      <c r="Y16" s="81">
        <v>591.95</v>
      </c>
      <c r="Z16" s="76"/>
      <c r="AA16" s="77">
        <f t="shared" si="5"/>
        <v>1387.68</v>
      </c>
      <c r="AB16" s="70">
        <f t="shared" ref="AB16:AB32" si="11">S16-AA16</f>
        <v>15827.55</v>
      </c>
      <c r="AC16" s="82" t="s">
        <v>69</v>
      </c>
    </row>
    <row r="17" s="1" customFormat="1" ht="50" customHeight="1" spans="1:29">
      <c r="A17" s="66">
        <v>14</v>
      </c>
      <c r="B17" s="66" t="s">
        <v>70</v>
      </c>
      <c r="C17" s="66" t="s">
        <v>71</v>
      </c>
      <c r="D17" s="66" t="s">
        <v>49</v>
      </c>
      <c r="E17" s="67">
        <v>4500</v>
      </c>
      <c r="F17" s="67">
        <v>23</v>
      </c>
      <c r="G17" s="67">
        <f>E17*VLOOKUP(D17,职务序列取数!B:E,2,0)</f>
        <v>3600</v>
      </c>
      <c r="H17" s="67">
        <f>E17*VLOOKUP(D17,职务序列取数!B:E,3,0)</f>
        <v>900</v>
      </c>
      <c r="I17" s="67">
        <f>E17*VLOOKUP(D17,职务序列取数!B:E,4,0)</f>
        <v>0</v>
      </c>
      <c r="J17" s="76"/>
      <c r="K17" s="67"/>
      <c r="L17" s="76"/>
      <c r="M17" s="76"/>
      <c r="N17" s="76"/>
      <c r="O17" s="77">
        <f t="shared" si="3"/>
        <v>0</v>
      </c>
      <c r="P17" s="76">
        <f t="shared" si="9"/>
        <v>156.521739130435</v>
      </c>
      <c r="Q17" s="76">
        <f t="shared" si="10"/>
        <v>39.1304347826087</v>
      </c>
      <c r="R17" s="78">
        <f>VLOOKUP(B17,考勤!B:AI,34,0)</f>
        <v>23</v>
      </c>
      <c r="S17" s="70">
        <f t="shared" si="4"/>
        <v>4500.00000000001</v>
      </c>
      <c r="T17" s="79">
        <v>399.92</v>
      </c>
      <c r="U17" s="79">
        <v>25</v>
      </c>
      <c r="V17" s="79">
        <v>99.98</v>
      </c>
      <c r="W17" s="79">
        <v>20.83</v>
      </c>
      <c r="X17" s="79">
        <v>250</v>
      </c>
      <c r="Y17" s="81"/>
      <c r="Z17" s="76"/>
      <c r="AA17" s="77">
        <f t="shared" si="5"/>
        <v>795.73</v>
      </c>
      <c r="AB17" s="70">
        <f t="shared" si="11"/>
        <v>3704.27000000001</v>
      </c>
      <c r="AC17" s="66"/>
    </row>
    <row r="18" s="1" customFormat="1" ht="50" customHeight="1" spans="1:29">
      <c r="A18" s="66">
        <v>15</v>
      </c>
      <c r="B18" s="66" t="s">
        <v>72</v>
      </c>
      <c r="C18" s="66" t="s">
        <v>73</v>
      </c>
      <c r="D18" s="66" t="s">
        <v>74</v>
      </c>
      <c r="E18" s="67">
        <v>5000</v>
      </c>
      <c r="F18" s="67">
        <v>27</v>
      </c>
      <c r="G18" s="67">
        <v>2450</v>
      </c>
      <c r="H18" s="67">
        <f t="shared" ref="H18:H32" si="12">E18-G18</f>
        <v>2550</v>
      </c>
      <c r="I18" s="67">
        <f>E18*VLOOKUP(D18,职务序列取数!B:E,4,0)</f>
        <v>0</v>
      </c>
      <c r="J18" s="76"/>
      <c r="K18" s="67"/>
      <c r="L18" s="76"/>
      <c r="M18" s="76"/>
      <c r="N18" s="76"/>
      <c r="O18" s="77">
        <f t="shared" si="3"/>
        <v>0</v>
      </c>
      <c r="P18" s="76">
        <f t="shared" si="9"/>
        <v>90.7407407407407</v>
      </c>
      <c r="Q18" s="76">
        <f t="shared" si="10"/>
        <v>94.4444444444444</v>
      </c>
      <c r="R18" s="78">
        <f>VLOOKUP(B18,考勤!B:AI,34,0)</f>
        <v>27</v>
      </c>
      <c r="S18" s="70">
        <f t="shared" si="4"/>
        <v>5000</v>
      </c>
      <c r="T18" s="79"/>
      <c r="U18" s="79"/>
      <c r="V18" s="79"/>
      <c r="W18" s="79"/>
      <c r="X18" s="79"/>
      <c r="Y18" s="81"/>
      <c r="Z18" s="76"/>
      <c r="AA18" s="77">
        <f t="shared" si="5"/>
        <v>0</v>
      </c>
      <c r="AB18" s="70">
        <f t="shared" si="11"/>
        <v>5000</v>
      </c>
      <c r="AC18" s="83"/>
    </row>
    <row r="19" s="1" customFormat="1" ht="50" customHeight="1" spans="1:29">
      <c r="A19" s="66">
        <v>16</v>
      </c>
      <c r="B19" s="66" t="s">
        <v>75</v>
      </c>
      <c r="C19" s="66" t="s">
        <v>73</v>
      </c>
      <c r="D19" s="66" t="s">
        <v>74</v>
      </c>
      <c r="E19" s="67">
        <v>3000</v>
      </c>
      <c r="F19" s="67">
        <v>27</v>
      </c>
      <c r="G19" s="67">
        <v>2450</v>
      </c>
      <c r="H19" s="67">
        <f t="shared" si="12"/>
        <v>550</v>
      </c>
      <c r="I19" s="67">
        <f>E19*VLOOKUP(D19,职务序列取数!B:E,4,0)</f>
        <v>0</v>
      </c>
      <c r="J19" s="76"/>
      <c r="K19" s="67"/>
      <c r="L19" s="76"/>
      <c r="M19" s="76"/>
      <c r="N19" s="76">
        <v>-295.2</v>
      </c>
      <c r="O19" s="77">
        <f t="shared" si="3"/>
        <v>-295.2</v>
      </c>
      <c r="P19" s="76">
        <f t="shared" si="9"/>
        <v>90.7407407407407</v>
      </c>
      <c r="Q19" s="76">
        <f t="shared" si="10"/>
        <v>20.3703703703704</v>
      </c>
      <c r="R19" s="78">
        <f>VLOOKUP(B19,考勤!B:AI,34,0)</f>
        <v>27</v>
      </c>
      <c r="S19" s="70">
        <f t="shared" si="4"/>
        <v>2704.8</v>
      </c>
      <c r="T19" s="79">
        <v>399.92</v>
      </c>
      <c r="U19" s="79">
        <v>25</v>
      </c>
      <c r="V19" s="79">
        <v>99.98</v>
      </c>
      <c r="W19" s="79">
        <v>20.83</v>
      </c>
      <c r="X19" s="79">
        <v>250</v>
      </c>
      <c r="Y19" s="81"/>
      <c r="Z19" s="76"/>
      <c r="AA19" s="77">
        <f t="shared" si="5"/>
        <v>795.73</v>
      </c>
      <c r="AB19" s="70">
        <f t="shared" si="11"/>
        <v>1909.07</v>
      </c>
      <c r="AC19" s="83"/>
    </row>
    <row r="20" s="1" customFormat="1" ht="50" customHeight="1" spans="1:29">
      <c r="A20" s="66">
        <v>17</v>
      </c>
      <c r="B20" s="66" t="s">
        <v>76</v>
      </c>
      <c r="C20" s="66" t="s">
        <v>73</v>
      </c>
      <c r="D20" s="66" t="s">
        <v>74</v>
      </c>
      <c r="E20" s="67">
        <v>3000</v>
      </c>
      <c r="F20" s="67">
        <v>27</v>
      </c>
      <c r="G20" s="67">
        <v>2450</v>
      </c>
      <c r="H20" s="67">
        <f t="shared" si="12"/>
        <v>550</v>
      </c>
      <c r="I20" s="67">
        <f>E20*VLOOKUP(D20,职务序列取数!B:E,4,0)</f>
        <v>0</v>
      </c>
      <c r="J20" s="76"/>
      <c r="K20" s="67"/>
      <c r="L20" s="76"/>
      <c r="M20" s="76"/>
      <c r="N20" s="76">
        <f>-3000+795.73</f>
        <v>-2204.27</v>
      </c>
      <c r="O20" s="77">
        <f t="shared" si="3"/>
        <v>-2204.27</v>
      </c>
      <c r="P20" s="76">
        <f t="shared" si="9"/>
        <v>90.7407407407407</v>
      </c>
      <c r="Q20" s="76">
        <f t="shared" si="10"/>
        <v>20.3703703703704</v>
      </c>
      <c r="R20" s="78">
        <f>VLOOKUP(B20,考勤!B:AI,34,0)</f>
        <v>27</v>
      </c>
      <c r="S20" s="70">
        <f t="shared" si="4"/>
        <v>795.73</v>
      </c>
      <c r="T20" s="79">
        <v>399.92</v>
      </c>
      <c r="U20" s="79">
        <v>25</v>
      </c>
      <c r="V20" s="79">
        <v>99.98</v>
      </c>
      <c r="W20" s="79">
        <v>20.83</v>
      </c>
      <c r="X20" s="79">
        <v>250</v>
      </c>
      <c r="Y20" s="81"/>
      <c r="Z20" s="76"/>
      <c r="AA20" s="77">
        <f t="shared" si="5"/>
        <v>795.73</v>
      </c>
      <c r="AB20" s="70">
        <f t="shared" si="11"/>
        <v>0</v>
      </c>
      <c r="AC20" s="82" t="s">
        <v>77</v>
      </c>
    </row>
    <row r="21" s="1" customFormat="1" ht="50" customHeight="1" spans="1:29">
      <c r="A21" s="66">
        <v>18</v>
      </c>
      <c r="B21" s="66" t="s">
        <v>78</v>
      </c>
      <c r="C21" s="66" t="s">
        <v>73</v>
      </c>
      <c r="D21" s="66" t="s">
        <v>74</v>
      </c>
      <c r="E21" s="67">
        <v>3000</v>
      </c>
      <c r="F21" s="67">
        <v>27</v>
      </c>
      <c r="G21" s="67">
        <v>2450</v>
      </c>
      <c r="H21" s="67">
        <f t="shared" si="12"/>
        <v>550</v>
      </c>
      <c r="I21" s="67">
        <f>E21*VLOOKUP(D21,职务序列取数!B:E,4,0)</f>
        <v>0</v>
      </c>
      <c r="J21" s="76"/>
      <c r="K21" s="67"/>
      <c r="L21" s="76"/>
      <c r="M21" s="76"/>
      <c r="N21" s="76">
        <v>3281.07</v>
      </c>
      <c r="O21" s="77">
        <f t="shared" si="3"/>
        <v>3281.07</v>
      </c>
      <c r="P21" s="76">
        <f t="shared" si="9"/>
        <v>90.7407407407407</v>
      </c>
      <c r="Q21" s="76">
        <f t="shared" si="10"/>
        <v>20.3703703703704</v>
      </c>
      <c r="R21" s="78">
        <f>VLOOKUP(B21,考勤!B:AI,34,0)</f>
        <v>27</v>
      </c>
      <c r="S21" s="70">
        <f t="shared" si="4"/>
        <v>6281.07</v>
      </c>
      <c r="T21" s="79">
        <v>399.92</v>
      </c>
      <c r="U21" s="79">
        <v>25</v>
      </c>
      <c r="V21" s="79">
        <v>99.98</v>
      </c>
      <c r="W21" s="79">
        <v>20.83</v>
      </c>
      <c r="X21" s="79">
        <v>250</v>
      </c>
      <c r="Y21" s="81"/>
      <c r="Z21" s="76"/>
      <c r="AA21" s="77">
        <f t="shared" si="5"/>
        <v>795.73</v>
      </c>
      <c r="AB21" s="70">
        <f t="shared" si="11"/>
        <v>5485.34</v>
      </c>
      <c r="AC21" s="83"/>
    </row>
    <row r="22" s="1" customFormat="1" ht="50" customHeight="1" spans="1:29">
      <c r="A22" s="66">
        <v>19</v>
      </c>
      <c r="B22" s="66" t="s">
        <v>79</v>
      </c>
      <c r="C22" s="66" t="s">
        <v>73</v>
      </c>
      <c r="D22" s="66" t="s">
        <v>74</v>
      </c>
      <c r="E22" s="67">
        <v>3000</v>
      </c>
      <c r="F22" s="67">
        <v>27</v>
      </c>
      <c r="G22" s="67">
        <v>2450</v>
      </c>
      <c r="H22" s="67">
        <f t="shared" si="12"/>
        <v>550</v>
      </c>
      <c r="I22" s="67">
        <f>E22*VLOOKUP(D22,职务序列取数!B:E,4,0)</f>
        <v>0</v>
      </c>
      <c r="J22" s="76"/>
      <c r="K22" s="67"/>
      <c r="L22" s="76"/>
      <c r="M22" s="76"/>
      <c r="N22" s="76">
        <v>3706.64</v>
      </c>
      <c r="O22" s="77">
        <f t="shared" si="3"/>
        <v>3706.64</v>
      </c>
      <c r="P22" s="76">
        <f t="shared" si="9"/>
        <v>90.7407407407407</v>
      </c>
      <c r="Q22" s="76">
        <f t="shared" si="10"/>
        <v>20.3703703703704</v>
      </c>
      <c r="R22" s="78">
        <f>VLOOKUP(B22,考勤!B:AI,34,0)</f>
        <v>27</v>
      </c>
      <c r="S22" s="70">
        <f t="shared" si="4"/>
        <v>6706.64</v>
      </c>
      <c r="T22" s="79">
        <v>399.92</v>
      </c>
      <c r="U22" s="79">
        <v>25</v>
      </c>
      <c r="V22" s="79">
        <v>99.98</v>
      </c>
      <c r="W22" s="79">
        <v>20.83</v>
      </c>
      <c r="X22" s="79">
        <v>250</v>
      </c>
      <c r="Y22" s="81"/>
      <c r="Z22" s="76"/>
      <c r="AA22" s="77">
        <f t="shared" si="5"/>
        <v>795.73</v>
      </c>
      <c r="AB22" s="70">
        <f t="shared" si="11"/>
        <v>5910.91</v>
      </c>
      <c r="AC22" s="83"/>
    </row>
    <row r="23" s="1" customFormat="1" ht="50" customHeight="1" spans="1:29">
      <c r="A23" s="66">
        <v>20</v>
      </c>
      <c r="B23" s="66" t="s">
        <v>80</v>
      </c>
      <c r="C23" s="66" t="s">
        <v>73</v>
      </c>
      <c r="D23" s="66" t="s">
        <v>74</v>
      </c>
      <c r="E23" s="67">
        <v>5000</v>
      </c>
      <c r="F23" s="67">
        <v>27</v>
      </c>
      <c r="G23" s="67">
        <v>2450</v>
      </c>
      <c r="H23" s="67">
        <f t="shared" si="12"/>
        <v>2550</v>
      </c>
      <c r="I23" s="67">
        <f>E23*VLOOKUP(D23,职务序列取数!B:E,4,0)</f>
        <v>0</v>
      </c>
      <c r="J23" s="76"/>
      <c r="K23" s="67"/>
      <c r="L23" s="76"/>
      <c r="M23" s="76"/>
      <c r="N23" s="76">
        <v>6091.28</v>
      </c>
      <c r="O23" s="77">
        <f t="shared" si="3"/>
        <v>6091.28</v>
      </c>
      <c r="P23" s="76">
        <f t="shared" si="9"/>
        <v>90.7407407407407</v>
      </c>
      <c r="Q23" s="76">
        <f t="shared" si="10"/>
        <v>94.4444444444444</v>
      </c>
      <c r="R23" s="78">
        <f>VLOOKUP(B23,考勤!B:AI,34,0)</f>
        <v>27</v>
      </c>
      <c r="S23" s="70">
        <f t="shared" si="4"/>
        <v>11091.28</v>
      </c>
      <c r="T23" s="79">
        <v>399.92</v>
      </c>
      <c r="U23" s="79">
        <v>25</v>
      </c>
      <c r="V23" s="79">
        <v>99.98</v>
      </c>
      <c r="W23" s="79">
        <v>20.83</v>
      </c>
      <c r="X23" s="79">
        <v>250</v>
      </c>
      <c r="Y23" s="81">
        <v>79.56</v>
      </c>
      <c r="Z23" s="76"/>
      <c r="AA23" s="77">
        <f t="shared" si="5"/>
        <v>875.29</v>
      </c>
      <c r="AB23" s="70">
        <f t="shared" si="11"/>
        <v>10215.99</v>
      </c>
      <c r="AC23" s="83"/>
    </row>
    <row r="24" s="1" customFormat="1" ht="50" customHeight="1" spans="1:29">
      <c r="A24" s="66">
        <v>21</v>
      </c>
      <c r="B24" s="66" t="s">
        <v>81</v>
      </c>
      <c r="C24" s="66" t="s">
        <v>73</v>
      </c>
      <c r="D24" s="66" t="s">
        <v>74</v>
      </c>
      <c r="E24" s="67">
        <v>3000</v>
      </c>
      <c r="F24" s="67">
        <v>27</v>
      </c>
      <c r="G24" s="67">
        <v>2450</v>
      </c>
      <c r="H24" s="67">
        <f t="shared" si="12"/>
        <v>550</v>
      </c>
      <c r="I24" s="67">
        <f>E24*VLOOKUP(D24,职务序列取数!B:E,4,0)</f>
        <v>0</v>
      </c>
      <c r="J24" s="76"/>
      <c r="K24" s="67"/>
      <c r="L24" s="76"/>
      <c r="M24" s="76"/>
      <c r="N24" s="76">
        <v>3293.81</v>
      </c>
      <c r="O24" s="77">
        <f t="shared" si="3"/>
        <v>3293.81</v>
      </c>
      <c r="P24" s="76">
        <f t="shared" si="9"/>
        <v>90.7407407407407</v>
      </c>
      <c r="Q24" s="76">
        <f t="shared" si="10"/>
        <v>20.3703703703704</v>
      </c>
      <c r="R24" s="78">
        <f>VLOOKUP(B24,考勤!B:AI,34,0)</f>
        <v>27</v>
      </c>
      <c r="S24" s="70">
        <f t="shared" si="4"/>
        <v>6293.81</v>
      </c>
      <c r="T24" s="79">
        <v>399.92</v>
      </c>
      <c r="U24" s="79">
        <v>25</v>
      </c>
      <c r="V24" s="79">
        <v>99.98</v>
      </c>
      <c r="W24" s="79">
        <v>20.83</v>
      </c>
      <c r="X24" s="79">
        <v>250</v>
      </c>
      <c r="Y24" s="81"/>
      <c r="Z24" s="76"/>
      <c r="AA24" s="77">
        <f t="shared" si="5"/>
        <v>795.73</v>
      </c>
      <c r="AB24" s="70">
        <f t="shared" si="11"/>
        <v>5498.08</v>
      </c>
      <c r="AC24" s="83"/>
    </row>
    <row r="25" s="1" customFormat="1" ht="50" customHeight="1" spans="1:29">
      <c r="A25" s="66">
        <v>22</v>
      </c>
      <c r="B25" s="66" t="s">
        <v>82</v>
      </c>
      <c r="C25" s="66" t="s">
        <v>73</v>
      </c>
      <c r="D25" s="66" t="s">
        <v>74</v>
      </c>
      <c r="E25" s="67">
        <v>4000</v>
      </c>
      <c r="F25" s="67">
        <v>27</v>
      </c>
      <c r="G25" s="67">
        <v>2450</v>
      </c>
      <c r="H25" s="67">
        <f t="shared" si="12"/>
        <v>1550</v>
      </c>
      <c r="I25" s="67">
        <f>E25*VLOOKUP(D25,职务序列取数!B:E,4,0)</f>
        <v>0</v>
      </c>
      <c r="J25" s="76"/>
      <c r="K25" s="67"/>
      <c r="L25" s="76"/>
      <c r="M25" s="76"/>
      <c r="N25" s="76">
        <v>19579.89</v>
      </c>
      <c r="O25" s="77">
        <f t="shared" si="3"/>
        <v>19579.89</v>
      </c>
      <c r="P25" s="76">
        <f t="shared" si="9"/>
        <v>90.7407407407407</v>
      </c>
      <c r="Q25" s="76">
        <f t="shared" si="10"/>
        <v>57.4074074074074</v>
      </c>
      <c r="R25" s="78">
        <f>VLOOKUP(B25,考勤!B:AI,34,0)</f>
        <v>27</v>
      </c>
      <c r="S25" s="70">
        <f t="shared" si="4"/>
        <v>23579.89</v>
      </c>
      <c r="T25" s="79">
        <v>399.92</v>
      </c>
      <c r="U25" s="79">
        <v>25</v>
      </c>
      <c r="V25" s="79">
        <v>99.98</v>
      </c>
      <c r="W25" s="79">
        <v>20.83</v>
      </c>
      <c r="X25" s="79">
        <v>250</v>
      </c>
      <c r="Y25" s="81">
        <v>1578.41</v>
      </c>
      <c r="Z25" s="76"/>
      <c r="AA25" s="77">
        <f t="shared" si="5"/>
        <v>2374.14</v>
      </c>
      <c r="AB25" s="70">
        <f t="shared" si="11"/>
        <v>21205.75</v>
      </c>
      <c r="AC25" s="83"/>
    </row>
    <row r="26" s="1" customFormat="1" ht="50" customHeight="1" spans="1:29">
      <c r="A26" s="66">
        <v>23</v>
      </c>
      <c r="B26" s="66" t="s">
        <v>83</v>
      </c>
      <c r="C26" s="66" t="s">
        <v>73</v>
      </c>
      <c r="D26" s="66" t="s">
        <v>74</v>
      </c>
      <c r="E26" s="67">
        <v>3000</v>
      </c>
      <c r="F26" s="67">
        <v>27</v>
      </c>
      <c r="G26" s="67">
        <v>2450</v>
      </c>
      <c r="H26" s="67">
        <f t="shared" si="12"/>
        <v>550</v>
      </c>
      <c r="I26" s="67">
        <f>E26*VLOOKUP(D26,职务序列取数!B:E,4,0)</f>
        <v>0</v>
      </c>
      <c r="J26" s="76"/>
      <c r="K26" s="67"/>
      <c r="L26" s="76"/>
      <c r="M26" s="76"/>
      <c r="N26" s="76">
        <v>7748.73</v>
      </c>
      <c r="O26" s="77">
        <f t="shared" si="3"/>
        <v>7748.73</v>
      </c>
      <c r="P26" s="76">
        <f t="shared" si="9"/>
        <v>90.7407407407407</v>
      </c>
      <c r="Q26" s="76">
        <f t="shared" si="10"/>
        <v>20.3703703703704</v>
      </c>
      <c r="R26" s="78">
        <f>VLOOKUP(B26,考勤!B:AI,34,0)</f>
        <v>27</v>
      </c>
      <c r="S26" s="70">
        <f t="shared" si="4"/>
        <v>10748.73</v>
      </c>
      <c r="T26" s="79">
        <v>399.92</v>
      </c>
      <c r="U26" s="79">
        <v>25</v>
      </c>
      <c r="V26" s="79">
        <v>99.98</v>
      </c>
      <c r="W26" s="79">
        <v>20.83</v>
      </c>
      <c r="X26" s="79">
        <v>250</v>
      </c>
      <c r="Y26" s="81">
        <v>58.59</v>
      </c>
      <c r="Z26" s="76"/>
      <c r="AA26" s="77">
        <f t="shared" si="5"/>
        <v>854.32</v>
      </c>
      <c r="AB26" s="70">
        <f t="shared" si="11"/>
        <v>9894.41</v>
      </c>
      <c r="AC26" s="83"/>
    </row>
    <row r="27" s="1" customFormat="1" ht="50" customHeight="1" spans="1:29">
      <c r="A27" s="66">
        <v>24</v>
      </c>
      <c r="B27" s="66" t="s">
        <v>84</v>
      </c>
      <c r="C27" s="66" t="s">
        <v>73</v>
      </c>
      <c r="D27" s="66" t="s">
        <v>74</v>
      </c>
      <c r="E27" s="67">
        <v>3000</v>
      </c>
      <c r="F27" s="67">
        <v>27</v>
      </c>
      <c r="G27" s="67">
        <v>2450</v>
      </c>
      <c r="H27" s="67">
        <f t="shared" si="12"/>
        <v>550</v>
      </c>
      <c r="I27" s="67">
        <f>E27*VLOOKUP(D27,职务序列取数!B:E,4,0)</f>
        <v>0</v>
      </c>
      <c r="J27" s="76"/>
      <c r="K27" s="67"/>
      <c r="L27" s="76"/>
      <c r="M27" s="76"/>
      <c r="N27" s="76">
        <v>19533.7</v>
      </c>
      <c r="O27" s="77">
        <f t="shared" si="3"/>
        <v>19533.7</v>
      </c>
      <c r="P27" s="76">
        <f t="shared" si="9"/>
        <v>90.7407407407407</v>
      </c>
      <c r="Q27" s="76">
        <f t="shared" si="10"/>
        <v>20.3703703703704</v>
      </c>
      <c r="R27" s="78">
        <f>VLOOKUP(B27,考勤!B:AI,34,0)</f>
        <v>27</v>
      </c>
      <c r="S27" s="70">
        <f t="shared" si="4"/>
        <v>22533.7</v>
      </c>
      <c r="T27" s="79">
        <v>399.92</v>
      </c>
      <c r="U27" s="79">
        <v>25</v>
      </c>
      <c r="V27" s="79">
        <v>99.98</v>
      </c>
      <c r="W27" s="79">
        <v>20.83</v>
      </c>
      <c r="X27" s="79">
        <v>250</v>
      </c>
      <c r="Y27" s="81">
        <v>472.14</v>
      </c>
      <c r="Z27" s="76"/>
      <c r="AA27" s="77">
        <f t="shared" si="5"/>
        <v>1267.87</v>
      </c>
      <c r="AB27" s="70">
        <f t="shared" si="11"/>
        <v>21265.83</v>
      </c>
      <c r="AC27" s="83"/>
    </row>
    <row r="28" s="1" customFormat="1" ht="50" customHeight="1" spans="1:29">
      <c r="A28" s="66">
        <v>25</v>
      </c>
      <c r="B28" s="66" t="s">
        <v>85</v>
      </c>
      <c r="C28" s="66" t="s">
        <v>73</v>
      </c>
      <c r="D28" s="66" t="s">
        <v>74</v>
      </c>
      <c r="E28" s="67">
        <v>4500</v>
      </c>
      <c r="F28" s="67">
        <v>27</v>
      </c>
      <c r="G28" s="67">
        <v>2450</v>
      </c>
      <c r="H28" s="67">
        <f t="shared" si="12"/>
        <v>2050</v>
      </c>
      <c r="I28" s="67">
        <f>E28*VLOOKUP(D28,职务序列取数!B:E,4,0)</f>
        <v>0</v>
      </c>
      <c r="J28" s="76"/>
      <c r="K28" s="67"/>
      <c r="L28" s="76"/>
      <c r="M28" s="76"/>
      <c r="N28" s="76">
        <v>1440</v>
      </c>
      <c r="O28" s="77">
        <f t="shared" si="3"/>
        <v>1440</v>
      </c>
      <c r="P28" s="76">
        <f t="shared" si="9"/>
        <v>90.7407407407407</v>
      </c>
      <c r="Q28" s="76">
        <f t="shared" si="10"/>
        <v>75.9259259259259</v>
      </c>
      <c r="R28" s="78">
        <f>VLOOKUP(B28,考勤!B:AI,34,0)</f>
        <v>27</v>
      </c>
      <c r="S28" s="70">
        <f t="shared" si="4"/>
        <v>5940</v>
      </c>
      <c r="T28" s="79">
        <v>399.92</v>
      </c>
      <c r="U28" s="79">
        <v>25</v>
      </c>
      <c r="V28" s="79">
        <v>99.98</v>
      </c>
      <c r="W28" s="79">
        <v>20.83</v>
      </c>
      <c r="X28" s="79">
        <v>250</v>
      </c>
      <c r="Y28" s="81"/>
      <c r="Z28" s="76"/>
      <c r="AA28" s="77">
        <f t="shared" si="5"/>
        <v>795.73</v>
      </c>
      <c r="AB28" s="70">
        <f t="shared" si="11"/>
        <v>5144.27</v>
      </c>
      <c r="AC28" s="83"/>
    </row>
    <row r="29" s="1" customFormat="1" ht="50" customHeight="1" spans="1:29">
      <c r="A29" s="66">
        <v>26</v>
      </c>
      <c r="B29" s="66" t="s">
        <v>86</v>
      </c>
      <c r="C29" s="66" t="s">
        <v>73</v>
      </c>
      <c r="D29" s="66" t="s">
        <v>74</v>
      </c>
      <c r="E29" s="67">
        <v>3000</v>
      </c>
      <c r="F29" s="67">
        <v>27</v>
      </c>
      <c r="G29" s="67">
        <v>2450</v>
      </c>
      <c r="H29" s="67">
        <f t="shared" si="12"/>
        <v>550</v>
      </c>
      <c r="I29" s="67">
        <f>E29*VLOOKUP(D29,职务序列取数!B:E,4,0)</f>
        <v>0</v>
      </c>
      <c r="J29" s="76"/>
      <c r="K29" s="67"/>
      <c r="L29" s="76"/>
      <c r="M29" s="76"/>
      <c r="N29" s="76">
        <v>6091.4</v>
      </c>
      <c r="O29" s="77">
        <f t="shared" si="3"/>
        <v>6091.4</v>
      </c>
      <c r="P29" s="76">
        <f t="shared" si="9"/>
        <v>90.7407407407407</v>
      </c>
      <c r="Q29" s="76">
        <f t="shared" si="10"/>
        <v>20.3703703703704</v>
      </c>
      <c r="R29" s="78">
        <f>VLOOKUP(B29,考勤!B:AI,34,0)</f>
        <v>27</v>
      </c>
      <c r="S29" s="70">
        <f t="shared" si="4"/>
        <v>9091.4</v>
      </c>
      <c r="T29" s="79"/>
      <c r="U29" s="79"/>
      <c r="V29" s="79"/>
      <c r="W29" s="79"/>
      <c r="X29" s="79">
        <v>250</v>
      </c>
      <c r="Y29" s="81"/>
      <c r="Z29" s="76"/>
      <c r="AA29" s="77">
        <f t="shared" si="5"/>
        <v>250</v>
      </c>
      <c r="AB29" s="70">
        <f t="shared" si="11"/>
        <v>8841.4</v>
      </c>
      <c r="AC29" s="83"/>
    </row>
    <row r="30" s="1" customFormat="1" ht="50" customHeight="1" spans="1:29">
      <c r="A30" s="66">
        <v>27</v>
      </c>
      <c r="B30" s="66" t="s">
        <v>87</v>
      </c>
      <c r="C30" s="66" t="s">
        <v>73</v>
      </c>
      <c r="D30" s="66" t="s">
        <v>74</v>
      </c>
      <c r="E30" s="67">
        <v>3000</v>
      </c>
      <c r="F30" s="67">
        <v>27</v>
      </c>
      <c r="G30" s="67">
        <v>2450</v>
      </c>
      <c r="H30" s="67">
        <f t="shared" si="12"/>
        <v>550</v>
      </c>
      <c r="I30" s="67">
        <f>E30*VLOOKUP(D30,职务序列取数!B:E,4,0)</f>
        <v>0</v>
      </c>
      <c r="J30" s="76"/>
      <c r="K30" s="67"/>
      <c r="L30" s="76"/>
      <c r="M30" s="76"/>
      <c r="N30" s="76">
        <v>3463.85</v>
      </c>
      <c r="O30" s="77">
        <f t="shared" si="3"/>
        <v>3463.85</v>
      </c>
      <c r="P30" s="76">
        <f t="shared" si="9"/>
        <v>90.7407407407407</v>
      </c>
      <c r="Q30" s="76">
        <f t="shared" si="10"/>
        <v>20.3703703703704</v>
      </c>
      <c r="R30" s="78">
        <f>VLOOKUP(B30,考勤!B:AI,34,0)</f>
        <v>24</v>
      </c>
      <c r="S30" s="70">
        <f t="shared" si="4"/>
        <v>6130.51666666667</v>
      </c>
      <c r="T30" s="79">
        <v>399.92</v>
      </c>
      <c r="U30" s="79">
        <v>25</v>
      </c>
      <c r="V30" s="79">
        <v>99.98</v>
      </c>
      <c r="W30" s="79">
        <v>20.83</v>
      </c>
      <c r="X30" s="79">
        <v>250</v>
      </c>
      <c r="Y30" s="81"/>
      <c r="Z30" s="76"/>
      <c r="AA30" s="77">
        <f t="shared" si="5"/>
        <v>795.73</v>
      </c>
      <c r="AB30" s="70">
        <f t="shared" si="11"/>
        <v>5334.78666666667</v>
      </c>
      <c r="AC30" s="83"/>
    </row>
    <row r="31" s="1" customFormat="1" ht="50" customHeight="1" spans="1:29">
      <c r="A31" s="66">
        <v>28</v>
      </c>
      <c r="B31" s="66" t="s">
        <v>88</v>
      </c>
      <c r="C31" s="66" t="s">
        <v>73</v>
      </c>
      <c r="D31" s="66" t="s">
        <v>74</v>
      </c>
      <c r="E31" s="67">
        <v>4000</v>
      </c>
      <c r="F31" s="67">
        <v>27</v>
      </c>
      <c r="G31" s="67">
        <v>2450</v>
      </c>
      <c r="H31" s="67">
        <f t="shared" si="12"/>
        <v>1550</v>
      </c>
      <c r="I31" s="67">
        <f>E31*VLOOKUP(D31,职务序列取数!B:E,4,0)</f>
        <v>0</v>
      </c>
      <c r="J31" s="76"/>
      <c r="K31" s="67"/>
      <c r="L31" s="76"/>
      <c r="M31" s="76"/>
      <c r="N31" s="76">
        <v>7201</v>
      </c>
      <c r="O31" s="77">
        <f t="shared" si="3"/>
        <v>7201</v>
      </c>
      <c r="P31" s="76">
        <f t="shared" si="9"/>
        <v>90.7407407407407</v>
      </c>
      <c r="Q31" s="76">
        <f t="shared" si="10"/>
        <v>57.4074074074074</v>
      </c>
      <c r="R31" s="78">
        <f>VLOOKUP(B31,考勤!B:AI,34,0)</f>
        <v>27</v>
      </c>
      <c r="S31" s="70">
        <f t="shared" si="4"/>
        <v>11201</v>
      </c>
      <c r="T31" s="79">
        <v>399.92</v>
      </c>
      <c r="U31" s="79">
        <v>25</v>
      </c>
      <c r="V31" s="79">
        <v>99.98</v>
      </c>
      <c r="W31" s="79">
        <v>20.83</v>
      </c>
      <c r="X31" s="79">
        <v>250</v>
      </c>
      <c r="Y31" s="81">
        <v>132.15</v>
      </c>
      <c r="Z31" s="76"/>
      <c r="AA31" s="77">
        <f t="shared" si="5"/>
        <v>927.88</v>
      </c>
      <c r="AB31" s="70">
        <f t="shared" si="11"/>
        <v>10273.12</v>
      </c>
      <c r="AC31" s="83"/>
    </row>
    <row r="32" s="1" customFormat="1" ht="50" customHeight="1" spans="1:29">
      <c r="A32" s="66">
        <v>29</v>
      </c>
      <c r="B32" s="66" t="s">
        <v>89</v>
      </c>
      <c r="C32" s="66" t="s">
        <v>73</v>
      </c>
      <c r="D32" s="66" t="s">
        <v>74</v>
      </c>
      <c r="E32" s="67">
        <v>4000</v>
      </c>
      <c r="F32" s="67">
        <v>27</v>
      </c>
      <c r="G32" s="67">
        <v>2450</v>
      </c>
      <c r="H32" s="67">
        <f t="shared" si="12"/>
        <v>1550</v>
      </c>
      <c r="I32" s="67">
        <f>E32*VLOOKUP(D32,职务序列取数!B:E,4,0)</f>
        <v>0</v>
      </c>
      <c r="J32" s="76"/>
      <c r="K32" s="67"/>
      <c r="L32" s="76"/>
      <c r="M32" s="76"/>
      <c r="N32" s="76">
        <v>6074.85</v>
      </c>
      <c r="O32" s="77">
        <f t="shared" si="3"/>
        <v>6074.85</v>
      </c>
      <c r="P32" s="76">
        <f t="shared" si="9"/>
        <v>90.7407407407407</v>
      </c>
      <c r="Q32" s="76">
        <f t="shared" si="10"/>
        <v>57.4074074074074</v>
      </c>
      <c r="R32" s="78">
        <f>VLOOKUP(B32,考勤!B:AI,34,0)</f>
        <v>27</v>
      </c>
      <c r="S32" s="70">
        <f t="shared" si="4"/>
        <v>10074.85</v>
      </c>
      <c r="T32" s="79">
        <v>399.92</v>
      </c>
      <c r="U32" s="79">
        <v>25</v>
      </c>
      <c r="V32" s="79">
        <v>99.98</v>
      </c>
      <c r="W32" s="79">
        <v>20.83</v>
      </c>
      <c r="X32" s="79">
        <v>250</v>
      </c>
      <c r="Y32" s="81">
        <v>128.37</v>
      </c>
      <c r="Z32" s="76"/>
      <c r="AA32" s="77">
        <f t="shared" si="5"/>
        <v>924.1</v>
      </c>
      <c r="AB32" s="70">
        <f t="shared" si="11"/>
        <v>9150.75</v>
      </c>
      <c r="AC32" s="83"/>
    </row>
    <row r="33" ht="55" customHeight="1" spans="1:29">
      <c r="A33" s="66"/>
      <c r="B33" s="68" t="s">
        <v>90</v>
      </c>
      <c r="C33" s="69"/>
      <c r="D33" s="70"/>
      <c r="E33" s="62">
        <f>SUM(E4:E32)</f>
        <v>205800</v>
      </c>
      <c r="F33" s="62"/>
      <c r="G33" s="62">
        <f t="shared" ref="G33:N33" si="13">SUM(G4:G32)</f>
        <v>136380</v>
      </c>
      <c r="H33" s="62">
        <f t="shared" si="13"/>
        <v>59670</v>
      </c>
      <c r="I33" s="62">
        <f t="shared" si="13"/>
        <v>9750</v>
      </c>
      <c r="J33" s="62">
        <f t="shared" si="13"/>
        <v>0</v>
      </c>
      <c r="K33" s="62">
        <f t="shared" si="13"/>
        <v>-3973</v>
      </c>
      <c r="L33" s="62">
        <f t="shared" si="13"/>
        <v>0</v>
      </c>
      <c r="M33" s="70">
        <f t="shared" si="13"/>
        <v>900</v>
      </c>
      <c r="N33" s="70">
        <f t="shared" si="13"/>
        <v>98021.98</v>
      </c>
      <c r="O33" s="70">
        <f t="shared" ref="O33:AB33" si="14">SUM(O4:O32)</f>
        <v>94948.98</v>
      </c>
      <c r="P33" s="70"/>
      <c r="Q33" s="70"/>
      <c r="R33" s="70"/>
      <c r="S33" s="70">
        <f t="shared" si="14"/>
        <v>290665.646666667</v>
      </c>
      <c r="T33" s="70">
        <f t="shared" si="14"/>
        <v>9598.32</v>
      </c>
      <c r="U33" s="70">
        <f t="shared" si="14"/>
        <v>600</v>
      </c>
      <c r="V33" s="70">
        <f t="shared" si="14"/>
        <v>2552.76</v>
      </c>
      <c r="W33" s="70">
        <f t="shared" si="14"/>
        <v>514.83</v>
      </c>
      <c r="X33" s="70">
        <f t="shared" si="14"/>
        <v>6200</v>
      </c>
      <c r="Y33" s="70">
        <f t="shared" si="14"/>
        <v>6752.4</v>
      </c>
      <c r="Z33" s="70">
        <f t="shared" si="14"/>
        <v>0</v>
      </c>
      <c r="AA33" s="70">
        <f t="shared" si="14"/>
        <v>26218.31</v>
      </c>
      <c r="AB33" s="70">
        <f t="shared" si="14"/>
        <v>264447.336666667</v>
      </c>
      <c r="AC33" s="84"/>
    </row>
    <row r="34" ht="53" customHeight="1" spans="1:35">
      <c r="A34" s="71" t="s">
        <v>91</v>
      </c>
      <c r="B34" s="72" t="s">
        <v>92</v>
      </c>
      <c r="C34" s="72"/>
      <c r="D34" s="72"/>
      <c r="E34" s="73"/>
      <c r="F34" s="73"/>
      <c r="G34" s="73"/>
      <c r="H34" s="73"/>
      <c r="I34" s="73"/>
      <c r="J34" s="72"/>
      <c r="K34" s="73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</row>
    <row r="36" s="56" customFormat="1" ht="150" customHeight="1" spans="2:27">
      <c r="B36" s="56" t="s">
        <v>93</v>
      </c>
      <c r="K36" s="56" t="s">
        <v>94</v>
      </c>
      <c r="R36" s="56" t="s">
        <v>95</v>
      </c>
      <c r="V36" s="80"/>
      <c r="Y36" s="85"/>
      <c r="AA36" s="56" t="s">
        <v>96</v>
      </c>
    </row>
  </sheetData>
  <mergeCells count="10">
    <mergeCell ref="A1:AC1"/>
    <mergeCell ref="B2:I2"/>
    <mergeCell ref="J2:O2"/>
    <mergeCell ref="P2:S2"/>
    <mergeCell ref="T2:AA2"/>
    <mergeCell ref="B33:C33"/>
    <mergeCell ref="B34:AI34"/>
    <mergeCell ref="A2:A3"/>
    <mergeCell ref="AB2:AB3"/>
    <mergeCell ref="AC2:AC3"/>
  </mergeCells>
  <printOptions horizontalCentered="1"/>
  <pageMargins left="0.109722222222222" right="0.109722222222222" top="0.357638888888889" bottom="0.357638888888889" header="0.298611111111111" footer="0.298611111111111"/>
  <pageSetup paperSize="9" scale="25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38"/>
  <sheetViews>
    <sheetView showZeros="0" view="pageBreakPreview" zoomScale="85" zoomScaleNormal="115" workbookViewId="0">
      <pane xSplit="3" ySplit="5" topLeftCell="D18" activePane="bottomRight" state="frozen"/>
      <selection/>
      <selection pane="topRight"/>
      <selection pane="bottomLeft"/>
      <selection pane="bottomRight" activeCell="AQ24" sqref="AQ24"/>
    </sheetView>
  </sheetViews>
  <sheetFormatPr defaultColWidth="2.88073394495413" defaultRowHeight="15" customHeight="1"/>
  <cols>
    <col min="1" max="1" width="4.8348623853211" style="6" customWidth="1"/>
    <col min="2" max="2" width="8.09174311926606" style="6" customWidth="1"/>
    <col min="3" max="3" width="15.6697247706422" style="6" customWidth="1"/>
    <col min="4" max="5" width="4.11009174311927" style="8" customWidth="1"/>
    <col min="6" max="10" width="4.11009174311927" style="6" customWidth="1"/>
    <col min="11" max="14" width="4.11009174311927" style="8" customWidth="1"/>
    <col min="15" max="17" width="4.11009174311927" style="6" customWidth="1"/>
    <col min="18" max="19" width="4.11009174311927" style="8" customWidth="1"/>
    <col min="20" max="24" width="4.11009174311927" style="6" customWidth="1"/>
    <col min="25" max="26" width="4.11009174311927" style="8" customWidth="1"/>
    <col min="27" max="31" width="4.11009174311927" style="6" customWidth="1"/>
    <col min="32" max="33" width="4.11009174311927" style="8" customWidth="1"/>
    <col min="34" max="34" width="4.11009174311927" style="6" customWidth="1"/>
    <col min="35" max="35" width="4.24770642201835" style="6" customWidth="1"/>
    <col min="36" max="36" width="6.3302752293578" style="6" customWidth="1"/>
    <col min="37" max="39" width="3.22018348623853" style="6"/>
    <col min="40" max="44" width="3" style="6" customWidth="1"/>
    <col min="45" max="47" width="3.12844036697248" style="6" customWidth="1"/>
    <col min="48" max="48" width="3.22018348623853" style="6" customWidth="1"/>
    <col min="49" max="51" width="3.12844036697248" style="6" customWidth="1"/>
    <col min="52" max="52" width="8.63302752293578" style="6" customWidth="1"/>
    <col min="53" max="255" width="2.88073394495413" style="6"/>
    <col min="256" max="16384" width="2.88073394495413" style="9"/>
  </cols>
  <sheetData>
    <row r="1" ht="34.5" customHeight="1" spans="1:52">
      <c r="A1" s="10" t="str">
        <f>[1]封面!A10</f>
        <v>2025年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7</v>
      </c>
      <c r="W1" s="11"/>
      <c r="X1" s="35" t="s">
        <v>97</v>
      </c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</row>
    <row r="2" customHeight="1" spans="1:51">
      <c r="A2" s="12"/>
      <c r="B2" s="13" t="s">
        <v>98</v>
      </c>
      <c r="C2" s="12" t="s">
        <v>29</v>
      </c>
      <c r="D2" s="12"/>
      <c r="E2" s="12"/>
      <c r="F2" s="12"/>
      <c r="G2" s="12"/>
      <c r="H2" s="12"/>
      <c r="I2" s="12"/>
      <c r="J2" s="33"/>
      <c r="K2" s="34"/>
      <c r="L2" s="34"/>
      <c r="M2" s="34"/>
      <c r="N2" s="34"/>
      <c r="O2" s="33"/>
      <c r="P2" s="33"/>
      <c r="Q2" s="33"/>
      <c r="R2" s="34"/>
      <c r="S2" s="34"/>
      <c r="T2" s="33"/>
      <c r="U2" s="33"/>
      <c r="V2" s="33"/>
      <c r="W2" s="33"/>
      <c r="X2" s="33"/>
      <c r="Y2" s="34"/>
      <c r="Z2" s="34"/>
      <c r="AA2" s="33"/>
      <c r="AB2" s="33"/>
      <c r="AC2" s="33"/>
      <c r="AD2" s="33"/>
      <c r="AE2" s="33"/>
      <c r="AF2" s="34"/>
      <c r="AG2" s="34"/>
      <c r="AH2" s="33"/>
      <c r="AI2" s="33"/>
      <c r="AJ2" s="38"/>
      <c r="AK2" s="39">
        <v>45870</v>
      </c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</row>
    <row r="3" ht="30" customHeight="1" spans="1:52">
      <c r="A3" s="14" t="s">
        <v>31</v>
      </c>
      <c r="B3" s="14" t="s">
        <v>32</v>
      </c>
      <c r="C3" s="14" t="s">
        <v>99</v>
      </c>
      <c r="D3" s="15" t="s">
        <v>100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40"/>
      <c r="AI3" s="14" t="s">
        <v>21</v>
      </c>
      <c r="AJ3" s="14" t="s">
        <v>101</v>
      </c>
      <c r="AK3" s="41" t="s">
        <v>102</v>
      </c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14" t="s">
        <v>103</v>
      </c>
    </row>
    <row r="4" ht="20.1" customHeight="1" spans="1:52">
      <c r="A4" s="17"/>
      <c r="B4" s="17"/>
      <c r="C4" s="17"/>
      <c r="D4" s="18">
        <f>V1</f>
        <v>7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36" t="s">
        <v>104</v>
      </c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43"/>
      <c r="AI4" s="17"/>
      <c r="AJ4" s="17"/>
      <c r="AK4" s="44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17"/>
    </row>
    <row r="5" ht="78" customHeight="1" spans="1:52">
      <c r="A5" s="20"/>
      <c r="B5" s="20"/>
      <c r="C5" s="20"/>
      <c r="D5" s="21">
        <v>1</v>
      </c>
      <c r="E5" s="21">
        <v>2</v>
      </c>
      <c r="F5" s="21">
        <v>3</v>
      </c>
      <c r="G5" s="21">
        <v>4</v>
      </c>
      <c r="H5" s="21">
        <v>5</v>
      </c>
      <c r="I5" s="21">
        <v>6</v>
      </c>
      <c r="J5" s="21">
        <v>7</v>
      </c>
      <c r="K5" s="21">
        <v>8</v>
      </c>
      <c r="L5" s="21">
        <v>9</v>
      </c>
      <c r="M5" s="21">
        <v>10</v>
      </c>
      <c r="N5" s="21">
        <v>11</v>
      </c>
      <c r="O5" s="21">
        <v>12</v>
      </c>
      <c r="P5" s="21">
        <v>13</v>
      </c>
      <c r="Q5" s="21">
        <v>14</v>
      </c>
      <c r="R5" s="21">
        <v>15</v>
      </c>
      <c r="S5" s="21">
        <v>16</v>
      </c>
      <c r="T5" s="21">
        <v>17</v>
      </c>
      <c r="U5" s="21">
        <v>18</v>
      </c>
      <c r="V5" s="21">
        <v>19</v>
      </c>
      <c r="W5" s="21">
        <v>20</v>
      </c>
      <c r="X5" s="21">
        <v>21</v>
      </c>
      <c r="Y5" s="21">
        <v>22</v>
      </c>
      <c r="Z5" s="21">
        <v>23</v>
      </c>
      <c r="AA5" s="21">
        <v>24</v>
      </c>
      <c r="AB5" s="21">
        <v>25</v>
      </c>
      <c r="AC5" s="21">
        <v>26</v>
      </c>
      <c r="AD5" s="21">
        <v>27</v>
      </c>
      <c r="AE5" s="21">
        <v>28</v>
      </c>
      <c r="AF5" s="21">
        <v>29</v>
      </c>
      <c r="AG5" s="21">
        <v>30</v>
      </c>
      <c r="AH5" s="21">
        <v>31</v>
      </c>
      <c r="AI5" s="20"/>
      <c r="AJ5" s="20"/>
      <c r="AK5" s="88" t="s">
        <v>105</v>
      </c>
      <c r="AL5" s="46" t="s">
        <v>106</v>
      </c>
      <c r="AM5" s="46" t="s">
        <v>107</v>
      </c>
      <c r="AN5" s="46" t="s">
        <v>108</v>
      </c>
      <c r="AO5" s="46" t="s">
        <v>109</v>
      </c>
      <c r="AP5" s="46" t="s">
        <v>110</v>
      </c>
      <c r="AQ5" s="46" t="s">
        <v>111</v>
      </c>
      <c r="AR5" s="46" t="s">
        <v>112</v>
      </c>
      <c r="AS5" s="50" t="s">
        <v>113</v>
      </c>
      <c r="AT5" s="50" t="s">
        <v>114</v>
      </c>
      <c r="AU5" s="50" t="s">
        <v>115</v>
      </c>
      <c r="AV5" s="50" t="s">
        <v>116</v>
      </c>
      <c r="AW5" s="50" t="s">
        <v>117</v>
      </c>
      <c r="AX5" s="50" t="s">
        <v>118</v>
      </c>
      <c r="AY5" s="50" t="s">
        <v>119</v>
      </c>
      <c r="AZ5" s="20"/>
    </row>
    <row r="6" s="6" customFormat="1" ht="25" customHeight="1" spans="1:52">
      <c r="A6" s="22">
        <v>1</v>
      </c>
      <c r="B6" s="23" t="str">
        <f>工资表!B4</f>
        <v>李全伟</v>
      </c>
      <c r="C6" s="24" t="str">
        <f>工资表!C4</f>
        <v>业务支持中心副总经理</v>
      </c>
      <c r="D6" s="25" t="s">
        <v>120</v>
      </c>
      <c r="E6" s="25" t="s">
        <v>120</v>
      </c>
      <c r="F6" s="25" t="s">
        <v>120</v>
      </c>
      <c r="G6" s="25" t="s">
        <v>120</v>
      </c>
      <c r="H6" s="25" t="s">
        <v>107</v>
      </c>
      <c r="I6" s="25" t="s">
        <v>107</v>
      </c>
      <c r="J6" s="25" t="s">
        <v>120</v>
      </c>
      <c r="K6" s="25" t="s">
        <v>120</v>
      </c>
      <c r="L6" s="25" t="s">
        <v>120</v>
      </c>
      <c r="M6" s="25" t="s">
        <v>120</v>
      </c>
      <c r="N6" s="25" t="s">
        <v>120</v>
      </c>
      <c r="O6" s="25" t="s">
        <v>107</v>
      </c>
      <c r="P6" s="25" t="s">
        <v>107</v>
      </c>
      <c r="Q6" s="25" t="s">
        <v>120</v>
      </c>
      <c r="R6" s="25" t="s">
        <v>120</v>
      </c>
      <c r="S6" s="25" t="s">
        <v>120</v>
      </c>
      <c r="T6" s="25" t="s">
        <v>120</v>
      </c>
      <c r="U6" s="25" t="s">
        <v>120</v>
      </c>
      <c r="V6" s="25" t="s">
        <v>107</v>
      </c>
      <c r="W6" s="25" t="s">
        <v>107</v>
      </c>
      <c r="X6" s="25" t="s">
        <v>120</v>
      </c>
      <c r="Y6" s="25" t="s">
        <v>120</v>
      </c>
      <c r="Z6" s="25" t="s">
        <v>120</v>
      </c>
      <c r="AA6" s="25" t="s">
        <v>120</v>
      </c>
      <c r="AB6" s="25" t="s">
        <v>120</v>
      </c>
      <c r="AC6" s="25" t="s">
        <v>107</v>
      </c>
      <c r="AD6" s="25" t="s">
        <v>107</v>
      </c>
      <c r="AE6" s="25" t="s">
        <v>120</v>
      </c>
      <c r="AF6" s="25" t="s">
        <v>120</v>
      </c>
      <c r="AG6" s="25" t="s">
        <v>120</v>
      </c>
      <c r="AH6" s="25" t="s">
        <v>120</v>
      </c>
      <c r="AI6" s="22">
        <f t="shared" ref="AI6:AI18" si="0">AK6+AL6+AR6</f>
        <v>23</v>
      </c>
      <c r="AJ6" s="22">
        <f t="shared" ref="AJ6:AJ18" si="1">AM6</f>
        <v>8</v>
      </c>
      <c r="AK6" s="47">
        <f t="shared" ref="AK6:AK18" si="2">COUNTIF($D6:$AH6,"√")</f>
        <v>23</v>
      </c>
      <c r="AL6" s="47">
        <f t="shared" ref="AL6:AL18" si="3">COUNTIF($D6:$AH6,"出差")</f>
        <v>0</v>
      </c>
      <c r="AM6" s="47">
        <f t="shared" ref="AM6:AM18" si="4">COUNTIF($D6:$AH6,"公休")</f>
        <v>8</v>
      </c>
      <c r="AN6" s="47">
        <f t="shared" ref="AN6:AN28" si="5">COUNTIF($D6:$AH6,"病假")</f>
        <v>0</v>
      </c>
      <c r="AO6" s="47">
        <f t="shared" ref="AO6:AO28" si="6">COUNTIF($D6:$AH6,"事假")</f>
        <v>0</v>
      </c>
      <c r="AP6" s="47">
        <f t="shared" ref="AP6:AP28" si="7">COUNTIF($D6:$AH6,"旷工")</f>
        <v>0</v>
      </c>
      <c r="AQ6" s="47">
        <f t="shared" ref="AQ6:AQ28" si="8">COUNTIF($D6:$AH6,"工伤")</f>
        <v>0</v>
      </c>
      <c r="AR6" s="47">
        <f t="shared" ref="AR6:AR28" si="9">COUNTIF($D6:$AH6,"培训")</f>
        <v>0</v>
      </c>
      <c r="AS6" s="47">
        <f t="shared" ref="AS6:AS28" si="10">COUNTIF($D6:$AH6,"冬休")</f>
        <v>0</v>
      </c>
      <c r="AT6" s="47">
        <f t="shared" ref="AT6:AT28" si="11">COUNTIF($D6:$AH6,"休假")</f>
        <v>0</v>
      </c>
      <c r="AU6" s="47">
        <f t="shared" ref="AU6:AU28" si="12">COUNTIF($D6:$AH6,"探亲")</f>
        <v>0</v>
      </c>
      <c r="AV6" s="47">
        <f t="shared" ref="AV6:AV28" si="13">COUNTIF($D6:$AH6,"产假")</f>
        <v>0</v>
      </c>
      <c r="AW6" s="47">
        <f t="shared" ref="AW6:AW28" si="14">COUNTIF($D6:$AH6,"陪护假")</f>
        <v>0</v>
      </c>
      <c r="AX6" s="47">
        <f t="shared" ref="AX6:AX28" si="15">COUNTIF($D6:$AH6,"婚丧假")</f>
        <v>0</v>
      </c>
      <c r="AY6" s="47">
        <f t="shared" ref="AY6:AY28" si="16">COUNTIF($D6:$AH6,"待岗")</f>
        <v>0</v>
      </c>
      <c r="AZ6" s="51"/>
    </row>
    <row r="7" s="6" customFormat="1" ht="25" customHeight="1" spans="1:52">
      <c r="A7" s="22">
        <v>2</v>
      </c>
      <c r="B7" s="23" t="str">
        <f>工资表!B5</f>
        <v>杨文杰</v>
      </c>
      <c r="C7" s="24" t="str">
        <f>工资表!C5</f>
        <v>工程管理部副经理</v>
      </c>
      <c r="D7" s="25" t="s">
        <v>120</v>
      </c>
      <c r="E7" s="25" t="s">
        <v>120</v>
      </c>
      <c r="F7" s="25" t="s">
        <v>120</v>
      </c>
      <c r="G7" s="25" t="s">
        <v>120</v>
      </c>
      <c r="H7" s="25" t="s">
        <v>107</v>
      </c>
      <c r="I7" s="25" t="s">
        <v>107</v>
      </c>
      <c r="J7" s="25" t="s">
        <v>120</v>
      </c>
      <c r="K7" s="25" t="s">
        <v>120</v>
      </c>
      <c r="L7" s="25" t="s">
        <v>120</v>
      </c>
      <c r="M7" s="25" t="s">
        <v>120</v>
      </c>
      <c r="N7" s="25" t="s">
        <v>120</v>
      </c>
      <c r="O7" s="25" t="s">
        <v>107</v>
      </c>
      <c r="P7" s="25" t="s">
        <v>107</v>
      </c>
      <c r="Q7" s="25" t="s">
        <v>120</v>
      </c>
      <c r="R7" s="25" t="s">
        <v>120</v>
      </c>
      <c r="S7" s="25" t="s">
        <v>120</v>
      </c>
      <c r="T7" s="25" t="s">
        <v>120</v>
      </c>
      <c r="U7" s="25" t="s">
        <v>120</v>
      </c>
      <c r="V7" s="25" t="s">
        <v>107</v>
      </c>
      <c r="W7" s="25" t="s">
        <v>107</v>
      </c>
      <c r="X7" s="25" t="s">
        <v>120</v>
      </c>
      <c r="Y7" s="25" t="s">
        <v>120</v>
      </c>
      <c r="Z7" s="25" t="s">
        <v>120</v>
      </c>
      <c r="AA7" s="25" t="s">
        <v>120</v>
      </c>
      <c r="AB7" s="25" t="s">
        <v>120</v>
      </c>
      <c r="AC7" s="25" t="s">
        <v>107</v>
      </c>
      <c r="AD7" s="25" t="s">
        <v>107</v>
      </c>
      <c r="AE7" s="25" t="s">
        <v>120</v>
      </c>
      <c r="AF7" s="25" t="s">
        <v>120</v>
      </c>
      <c r="AG7" s="25" t="s">
        <v>120</v>
      </c>
      <c r="AH7" s="25" t="s">
        <v>120</v>
      </c>
      <c r="AI7" s="22">
        <f t="shared" si="0"/>
        <v>23</v>
      </c>
      <c r="AJ7" s="22">
        <f t="shared" si="1"/>
        <v>8</v>
      </c>
      <c r="AK7" s="47">
        <f t="shared" si="2"/>
        <v>23</v>
      </c>
      <c r="AL7" s="47">
        <f t="shared" si="3"/>
        <v>0</v>
      </c>
      <c r="AM7" s="47">
        <f t="shared" si="4"/>
        <v>8</v>
      </c>
      <c r="AN7" s="47">
        <f t="shared" si="5"/>
        <v>0</v>
      </c>
      <c r="AO7" s="47">
        <f t="shared" si="6"/>
        <v>0</v>
      </c>
      <c r="AP7" s="47">
        <f t="shared" si="7"/>
        <v>0</v>
      </c>
      <c r="AQ7" s="47">
        <f t="shared" si="8"/>
        <v>0</v>
      </c>
      <c r="AR7" s="47">
        <f t="shared" si="9"/>
        <v>0</v>
      </c>
      <c r="AS7" s="47">
        <f t="shared" si="10"/>
        <v>0</v>
      </c>
      <c r="AT7" s="47">
        <f t="shared" si="11"/>
        <v>0</v>
      </c>
      <c r="AU7" s="47">
        <f t="shared" si="12"/>
        <v>0</v>
      </c>
      <c r="AV7" s="47">
        <f t="shared" si="13"/>
        <v>0</v>
      </c>
      <c r="AW7" s="47">
        <f t="shared" si="14"/>
        <v>0</v>
      </c>
      <c r="AX7" s="47">
        <f t="shared" si="15"/>
        <v>0</v>
      </c>
      <c r="AY7" s="47">
        <f t="shared" si="16"/>
        <v>0</v>
      </c>
      <c r="AZ7" s="51"/>
    </row>
    <row r="8" s="6" customFormat="1" ht="25" customHeight="1" spans="1:52">
      <c r="A8" s="22">
        <v>3</v>
      </c>
      <c r="B8" s="23" t="str">
        <f>工资表!B6</f>
        <v>管锡哲</v>
      </c>
      <c r="C8" s="24" t="str">
        <f>工资表!C6</f>
        <v>工程主管</v>
      </c>
      <c r="D8" s="25" t="s">
        <v>120</v>
      </c>
      <c r="E8" s="25" t="s">
        <v>120</v>
      </c>
      <c r="F8" s="25" t="s">
        <v>120</v>
      </c>
      <c r="G8" s="25" t="s">
        <v>120</v>
      </c>
      <c r="H8" s="25" t="s">
        <v>107</v>
      </c>
      <c r="I8" s="25" t="s">
        <v>107</v>
      </c>
      <c r="J8" s="25" t="s">
        <v>120</v>
      </c>
      <c r="K8" s="25" t="s">
        <v>120</v>
      </c>
      <c r="L8" s="25" t="s">
        <v>120</v>
      </c>
      <c r="M8" s="25" t="s">
        <v>120</v>
      </c>
      <c r="N8" s="25" t="s">
        <v>120</v>
      </c>
      <c r="O8" s="25" t="s">
        <v>107</v>
      </c>
      <c r="P8" s="25" t="s">
        <v>107</v>
      </c>
      <c r="Q8" s="25" t="s">
        <v>120</v>
      </c>
      <c r="R8" s="25" t="s">
        <v>120</v>
      </c>
      <c r="S8" s="25" t="s">
        <v>120</v>
      </c>
      <c r="T8" s="25" t="s">
        <v>120</v>
      </c>
      <c r="U8" s="25" t="s">
        <v>120</v>
      </c>
      <c r="V8" s="25" t="s">
        <v>107</v>
      </c>
      <c r="W8" s="25" t="s">
        <v>107</v>
      </c>
      <c r="X8" s="25" t="s">
        <v>120</v>
      </c>
      <c r="Y8" s="25" t="s">
        <v>120</v>
      </c>
      <c r="Z8" s="25" t="s">
        <v>120</v>
      </c>
      <c r="AA8" s="25" t="s">
        <v>120</v>
      </c>
      <c r="AB8" s="25" t="s">
        <v>120</v>
      </c>
      <c r="AC8" s="25" t="s">
        <v>107</v>
      </c>
      <c r="AD8" s="25" t="s">
        <v>107</v>
      </c>
      <c r="AE8" s="25" t="s">
        <v>120</v>
      </c>
      <c r="AF8" s="25" t="s">
        <v>120</v>
      </c>
      <c r="AG8" s="25" t="s">
        <v>120</v>
      </c>
      <c r="AH8" s="25" t="s">
        <v>120</v>
      </c>
      <c r="AI8" s="22">
        <f t="shared" si="0"/>
        <v>23</v>
      </c>
      <c r="AJ8" s="22">
        <f t="shared" si="1"/>
        <v>8</v>
      </c>
      <c r="AK8" s="47">
        <f t="shared" si="2"/>
        <v>23</v>
      </c>
      <c r="AL8" s="47">
        <f t="shared" si="3"/>
        <v>0</v>
      </c>
      <c r="AM8" s="47">
        <f t="shared" si="4"/>
        <v>8</v>
      </c>
      <c r="AN8" s="47">
        <f t="shared" si="5"/>
        <v>0</v>
      </c>
      <c r="AO8" s="47">
        <f t="shared" si="6"/>
        <v>0</v>
      </c>
      <c r="AP8" s="47">
        <f t="shared" si="7"/>
        <v>0</v>
      </c>
      <c r="AQ8" s="47">
        <f t="shared" si="8"/>
        <v>0</v>
      </c>
      <c r="AR8" s="47">
        <f t="shared" si="9"/>
        <v>0</v>
      </c>
      <c r="AS8" s="47">
        <f t="shared" si="10"/>
        <v>0</v>
      </c>
      <c r="AT8" s="47">
        <f t="shared" si="11"/>
        <v>0</v>
      </c>
      <c r="AU8" s="47">
        <f t="shared" si="12"/>
        <v>0</v>
      </c>
      <c r="AV8" s="47">
        <f t="shared" si="13"/>
        <v>0</v>
      </c>
      <c r="AW8" s="47">
        <f t="shared" si="14"/>
        <v>0</v>
      </c>
      <c r="AX8" s="47">
        <f t="shared" si="15"/>
        <v>0</v>
      </c>
      <c r="AY8" s="47">
        <f t="shared" si="16"/>
        <v>0</v>
      </c>
      <c r="AZ8" s="51"/>
    </row>
    <row r="9" s="6" customFormat="1" ht="25" customHeight="1" spans="1:52">
      <c r="A9" s="22">
        <v>4</v>
      </c>
      <c r="B9" s="23" t="str">
        <f>工资表!B7</f>
        <v>徐惠蓉</v>
      </c>
      <c r="C9" s="24" t="str">
        <f>工资表!C7</f>
        <v>投资开发部副经理</v>
      </c>
      <c r="D9" s="25" t="s">
        <v>120</v>
      </c>
      <c r="E9" s="25" t="s">
        <v>120</v>
      </c>
      <c r="F9" s="25" t="s">
        <v>120</v>
      </c>
      <c r="G9" s="25" t="s">
        <v>120</v>
      </c>
      <c r="H9" s="25" t="s">
        <v>107</v>
      </c>
      <c r="I9" s="25" t="s">
        <v>107</v>
      </c>
      <c r="J9" s="25" t="s">
        <v>120</v>
      </c>
      <c r="K9" s="25" t="s">
        <v>120</v>
      </c>
      <c r="L9" s="25" t="s">
        <v>120</v>
      </c>
      <c r="M9" s="25" t="s">
        <v>120</v>
      </c>
      <c r="N9" s="25" t="s">
        <v>120</v>
      </c>
      <c r="O9" s="25" t="s">
        <v>107</v>
      </c>
      <c r="P9" s="25" t="s">
        <v>107</v>
      </c>
      <c r="Q9" s="25" t="s">
        <v>120</v>
      </c>
      <c r="R9" s="25" t="s">
        <v>120</v>
      </c>
      <c r="S9" s="25" t="s">
        <v>120</v>
      </c>
      <c r="T9" s="25" t="s">
        <v>120</v>
      </c>
      <c r="U9" s="25" t="s">
        <v>120</v>
      </c>
      <c r="V9" s="25" t="s">
        <v>107</v>
      </c>
      <c r="W9" s="25" t="s">
        <v>107</v>
      </c>
      <c r="X9" s="25" t="s">
        <v>120</v>
      </c>
      <c r="Y9" s="25" t="s">
        <v>120</v>
      </c>
      <c r="Z9" s="25" t="s">
        <v>120</v>
      </c>
      <c r="AA9" s="25" t="s">
        <v>120</v>
      </c>
      <c r="AB9" s="25" t="s">
        <v>120</v>
      </c>
      <c r="AC9" s="25" t="s">
        <v>107</v>
      </c>
      <c r="AD9" s="25" t="s">
        <v>107</v>
      </c>
      <c r="AE9" s="25" t="s">
        <v>120</v>
      </c>
      <c r="AF9" s="25" t="s">
        <v>120</v>
      </c>
      <c r="AG9" s="25" t="s">
        <v>120</v>
      </c>
      <c r="AH9" s="25" t="s">
        <v>120</v>
      </c>
      <c r="AI9" s="22">
        <f t="shared" si="0"/>
        <v>23</v>
      </c>
      <c r="AJ9" s="22">
        <f t="shared" si="1"/>
        <v>8</v>
      </c>
      <c r="AK9" s="47">
        <f t="shared" si="2"/>
        <v>23</v>
      </c>
      <c r="AL9" s="47">
        <f t="shared" si="3"/>
        <v>0</v>
      </c>
      <c r="AM9" s="47">
        <f t="shared" si="4"/>
        <v>8</v>
      </c>
      <c r="AN9" s="47">
        <f t="shared" si="5"/>
        <v>0</v>
      </c>
      <c r="AO9" s="47">
        <f t="shared" si="6"/>
        <v>0</v>
      </c>
      <c r="AP9" s="47">
        <f t="shared" si="7"/>
        <v>0</v>
      </c>
      <c r="AQ9" s="47">
        <f t="shared" si="8"/>
        <v>0</v>
      </c>
      <c r="AR9" s="47">
        <f t="shared" si="9"/>
        <v>0</v>
      </c>
      <c r="AS9" s="47">
        <f t="shared" si="10"/>
        <v>0</v>
      </c>
      <c r="AT9" s="47">
        <f t="shared" si="11"/>
        <v>0</v>
      </c>
      <c r="AU9" s="47">
        <f t="shared" si="12"/>
        <v>0</v>
      </c>
      <c r="AV9" s="47">
        <f t="shared" si="13"/>
        <v>0</v>
      </c>
      <c r="AW9" s="47">
        <f t="shared" si="14"/>
        <v>0</v>
      </c>
      <c r="AX9" s="47">
        <f t="shared" si="15"/>
        <v>0</v>
      </c>
      <c r="AY9" s="47">
        <f t="shared" si="16"/>
        <v>0</v>
      </c>
      <c r="AZ9" s="51"/>
    </row>
    <row r="10" s="6" customFormat="1" ht="25" customHeight="1" spans="1:52">
      <c r="A10" s="22">
        <v>5</v>
      </c>
      <c r="B10" s="23" t="str">
        <f>工资表!B8</f>
        <v>沈陈瑾慧</v>
      </c>
      <c r="C10" s="24" t="str">
        <f>工资表!C8</f>
        <v>会计</v>
      </c>
      <c r="D10" s="25" t="s">
        <v>120</v>
      </c>
      <c r="E10" s="25" t="s">
        <v>120</v>
      </c>
      <c r="F10" s="25" t="s">
        <v>120</v>
      </c>
      <c r="G10" s="25" t="s">
        <v>120</v>
      </c>
      <c r="H10" s="25" t="s">
        <v>107</v>
      </c>
      <c r="I10" s="25" t="s">
        <v>107</v>
      </c>
      <c r="J10" s="25" t="s">
        <v>120</v>
      </c>
      <c r="K10" s="25" t="s">
        <v>120</v>
      </c>
      <c r="L10" s="25" t="s">
        <v>120</v>
      </c>
      <c r="M10" s="25" t="s">
        <v>120</v>
      </c>
      <c r="N10" s="25" t="s">
        <v>120</v>
      </c>
      <c r="O10" s="25" t="s">
        <v>107</v>
      </c>
      <c r="P10" s="25" t="s">
        <v>107</v>
      </c>
      <c r="Q10" s="25" t="s">
        <v>120</v>
      </c>
      <c r="R10" s="25" t="s">
        <v>120</v>
      </c>
      <c r="S10" s="25" t="s">
        <v>120</v>
      </c>
      <c r="T10" s="25" t="s">
        <v>120</v>
      </c>
      <c r="U10" s="25" t="s">
        <v>120</v>
      </c>
      <c r="V10" s="25" t="s">
        <v>107</v>
      </c>
      <c r="W10" s="25" t="s">
        <v>107</v>
      </c>
      <c r="X10" s="25" t="s">
        <v>120</v>
      </c>
      <c r="Y10" s="25" t="s">
        <v>120</v>
      </c>
      <c r="Z10" s="25" t="s">
        <v>120</v>
      </c>
      <c r="AA10" s="25" t="s">
        <v>120</v>
      </c>
      <c r="AB10" s="25" t="s">
        <v>120</v>
      </c>
      <c r="AC10" s="25" t="s">
        <v>107</v>
      </c>
      <c r="AD10" s="25" t="s">
        <v>107</v>
      </c>
      <c r="AE10" s="25" t="s">
        <v>120</v>
      </c>
      <c r="AF10" s="25" t="s">
        <v>120</v>
      </c>
      <c r="AG10" s="25" t="s">
        <v>120</v>
      </c>
      <c r="AH10" s="25" t="s">
        <v>120</v>
      </c>
      <c r="AI10" s="22">
        <f t="shared" si="0"/>
        <v>23</v>
      </c>
      <c r="AJ10" s="22">
        <f t="shared" si="1"/>
        <v>8</v>
      </c>
      <c r="AK10" s="47">
        <f t="shared" si="2"/>
        <v>23</v>
      </c>
      <c r="AL10" s="47">
        <f t="shared" si="3"/>
        <v>0</v>
      </c>
      <c r="AM10" s="47">
        <f t="shared" si="4"/>
        <v>8</v>
      </c>
      <c r="AN10" s="47">
        <f t="shared" si="5"/>
        <v>0</v>
      </c>
      <c r="AO10" s="47">
        <f t="shared" si="6"/>
        <v>0</v>
      </c>
      <c r="AP10" s="47">
        <f t="shared" si="7"/>
        <v>0</v>
      </c>
      <c r="AQ10" s="47">
        <f t="shared" si="8"/>
        <v>0</v>
      </c>
      <c r="AR10" s="47">
        <f t="shared" si="9"/>
        <v>0</v>
      </c>
      <c r="AS10" s="47">
        <f t="shared" si="10"/>
        <v>0</v>
      </c>
      <c r="AT10" s="47">
        <f t="shared" si="11"/>
        <v>0</v>
      </c>
      <c r="AU10" s="47">
        <f t="shared" si="12"/>
        <v>0</v>
      </c>
      <c r="AV10" s="47">
        <f t="shared" si="13"/>
        <v>0</v>
      </c>
      <c r="AW10" s="47">
        <f t="shared" si="14"/>
        <v>0</v>
      </c>
      <c r="AX10" s="47"/>
      <c r="AY10" s="47">
        <f t="shared" si="16"/>
        <v>0</v>
      </c>
      <c r="AZ10" s="51"/>
    </row>
    <row r="11" s="6" customFormat="1" ht="25" customHeight="1" spans="1:52">
      <c r="A11" s="22">
        <v>6</v>
      </c>
      <c r="B11" s="23" t="str">
        <f>工资表!B9</f>
        <v>管丽萍</v>
      </c>
      <c r="C11" s="24" t="str">
        <f>工资表!C9</f>
        <v>人事运营</v>
      </c>
      <c r="D11" s="25" t="s">
        <v>120</v>
      </c>
      <c r="E11" s="25" t="s">
        <v>120</v>
      </c>
      <c r="F11" s="25" t="s">
        <v>120</v>
      </c>
      <c r="G11" s="25" t="s">
        <v>120</v>
      </c>
      <c r="H11" s="25" t="s">
        <v>107</v>
      </c>
      <c r="I11" s="25" t="s">
        <v>107</v>
      </c>
      <c r="J11" s="25" t="s">
        <v>120</v>
      </c>
      <c r="K11" s="25" t="s">
        <v>120</v>
      </c>
      <c r="L11" s="25" t="s">
        <v>120</v>
      </c>
      <c r="M11" s="25" t="s">
        <v>120</v>
      </c>
      <c r="N11" s="25" t="s">
        <v>120</v>
      </c>
      <c r="O11" s="25" t="s">
        <v>107</v>
      </c>
      <c r="P11" s="25" t="s">
        <v>107</v>
      </c>
      <c r="Q11" s="25" t="s">
        <v>120</v>
      </c>
      <c r="R11" s="25" t="s">
        <v>120</v>
      </c>
      <c r="S11" s="25" t="s">
        <v>120</v>
      </c>
      <c r="T11" s="25" t="s">
        <v>120</v>
      </c>
      <c r="U11" s="25" t="s">
        <v>120</v>
      </c>
      <c r="V11" s="25" t="s">
        <v>107</v>
      </c>
      <c r="W11" s="25" t="s">
        <v>107</v>
      </c>
      <c r="X11" s="25" t="s">
        <v>120</v>
      </c>
      <c r="Y11" s="25" t="s">
        <v>120</v>
      </c>
      <c r="Z11" s="25" t="s">
        <v>120</v>
      </c>
      <c r="AA11" s="25" t="s">
        <v>120</v>
      </c>
      <c r="AB11" s="25" t="s">
        <v>120</v>
      </c>
      <c r="AC11" s="25" t="s">
        <v>107</v>
      </c>
      <c r="AD11" s="25" t="s">
        <v>107</v>
      </c>
      <c r="AE11" s="25" t="s">
        <v>120</v>
      </c>
      <c r="AF11" s="25" t="s">
        <v>120</v>
      </c>
      <c r="AG11" s="25" t="s">
        <v>120</v>
      </c>
      <c r="AH11" s="25" t="s">
        <v>120</v>
      </c>
      <c r="AI11" s="22">
        <f t="shared" si="0"/>
        <v>23</v>
      </c>
      <c r="AJ11" s="22">
        <f t="shared" si="1"/>
        <v>8</v>
      </c>
      <c r="AK11" s="47">
        <f t="shared" si="2"/>
        <v>23</v>
      </c>
      <c r="AL11" s="47">
        <f t="shared" si="3"/>
        <v>0</v>
      </c>
      <c r="AM11" s="47">
        <f t="shared" si="4"/>
        <v>8</v>
      </c>
      <c r="AN11" s="47">
        <f t="shared" si="5"/>
        <v>0</v>
      </c>
      <c r="AO11" s="47">
        <f t="shared" si="6"/>
        <v>0</v>
      </c>
      <c r="AP11" s="47">
        <f t="shared" si="7"/>
        <v>0</v>
      </c>
      <c r="AQ11" s="47">
        <f t="shared" si="8"/>
        <v>0</v>
      </c>
      <c r="AR11" s="47">
        <f t="shared" si="9"/>
        <v>0</v>
      </c>
      <c r="AS11" s="47">
        <f t="shared" si="10"/>
        <v>0</v>
      </c>
      <c r="AT11" s="47">
        <f t="shared" si="11"/>
        <v>0</v>
      </c>
      <c r="AU11" s="47">
        <f t="shared" si="12"/>
        <v>0</v>
      </c>
      <c r="AV11" s="47">
        <f t="shared" si="13"/>
        <v>0</v>
      </c>
      <c r="AW11" s="47">
        <f t="shared" si="14"/>
        <v>0</v>
      </c>
      <c r="AX11" s="47">
        <f t="shared" si="15"/>
        <v>0</v>
      </c>
      <c r="AY11" s="47">
        <f t="shared" si="16"/>
        <v>0</v>
      </c>
      <c r="AZ11" s="51"/>
    </row>
    <row r="12" s="6" customFormat="1" ht="25" customHeight="1" spans="1:52">
      <c r="A12" s="22">
        <v>7</v>
      </c>
      <c r="B12" s="23" t="str">
        <f>工资表!B10</f>
        <v>刘科</v>
      </c>
      <c r="C12" s="24" t="str">
        <f>工资表!C10</f>
        <v>招采工程师</v>
      </c>
      <c r="D12" s="25" t="s">
        <v>120</v>
      </c>
      <c r="E12" s="25" t="s">
        <v>120</v>
      </c>
      <c r="F12" s="25" t="s">
        <v>120</v>
      </c>
      <c r="G12" s="25" t="s">
        <v>120</v>
      </c>
      <c r="H12" s="25" t="s">
        <v>107</v>
      </c>
      <c r="I12" s="25" t="s">
        <v>107</v>
      </c>
      <c r="J12" s="25" t="s">
        <v>120</v>
      </c>
      <c r="K12" s="25" t="s">
        <v>120</v>
      </c>
      <c r="L12" s="25" t="s">
        <v>120</v>
      </c>
      <c r="M12" s="25" t="s">
        <v>120</v>
      </c>
      <c r="N12" s="25" t="s">
        <v>120</v>
      </c>
      <c r="O12" s="25" t="s">
        <v>107</v>
      </c>
      <c r="P12" s="25" t="s">
        <v>107</v>
      </c>
      <c r="Q12" s="25" t="s">
        <v>120</v>
      </c>
      <c r="R12" s="25" t="s">
        <v>120</v>
      </c>
      <c r="S12" s="25" t="s">
        <v>120</v>
      </c>
      <c r="T12" s="25" t="s">
        <v>120</v>
      </c>
      <c r="U12" s="25" t="s">
        <v>120</v>
      </c>
      <c r="V12" s="25" t="s">
        <v>107</v>
      </c>
      <c r="W12" s="25" t="s">
        <v>107</v>
      </c>
      <c r="X12" s="25" t="s">
        <v>120</v>
      </c>
      <c r="Y12" s="25" t="s">
        <v>120</v>
      </c>
      <c r="Z12" s="25" t="s">
        <v>120</v>
      </c>
      <c r="AA12" s="25" t="s">
        <v>120</v>
      </c>
      <c r="AB12" s="25" t="s">
        <v>120</v>
      </c>
      <c r="AC12" s="25" t="s">
        <v>107</v>
      </c>
      <c r="AD12" s="25" t="s">
        <v>107</v>
      </c>
      <c r="AE12" s="25" t="s">
        <v>120</v>
      </c>
      <c r="AF12" s="25" t="s">
        <v>120</v>
      </c>
      <c r="AG12" s="25" t="s">
        <v>120</v>
      </c>
      <c r="AH12" s="25" t="s">
        <v>120</v>
      </c>
      <c r="AI12" s="22">
        <f t="shared" si="0"/>
        <v>23</v>
      </c>
      <c r="AJ12" s="22">
        <f t="shared" si="1"/>
        <v>8</v>
      </c>
      <c r="AK12" s="47">
        <f t="shared" si="2"/>
        <v>23</v>
      </c>
      <c r="AL12" s="47">
        <f t="shared" si="3"/>
        <v>0</v>
      </c>
      <c r="AM12" s="47">
        <f t="shared" si="4"/>
        <v>8</v>
      </c>
      <c r="AN12" s="47">
        <f t="shared" si="5"/>
        <v>0</v>
      </c>
      <c r="AO12" s="47">
        <f t="shared" si="6"/>
        <v>0</v>
      </c>
      <c r="AP12" s="47">
        <f t="shared" si="7"/>
        <v>0</v>
      </c>
      <c r="AQ12" s="47">
        <f t="shared" si="8"/>
        <v>0</v>
      </c>
      <c r="AR12" s="47">
        <f t="shared" si="9"/>
        <v>0</v>
      </c>
      <c r="AS12" s="47">
        <f t="shared" si="10"/>
        <v>0</v>
      </c>
      <c r="AT12" s="47">
        <f t="shared" si="11"/>
        <v>0</v>
      </c>
      <c r="AU12" s="47">
        <f t="shared" si="12"/>
        <v>0</v>
      </c>
      <c r="AV12" s="47">
        <f t="shared" si="13"/>
        <v>0</v>
      </c>
      <c r="AW12" s="47">
        <f t="shared" si="14"/>
        <v>0</v>
      </c>
      <c r="AX12" s="47">
        <f t="shared" si="15"/>
        <v>0</v>
      </c>
      <c r="AY12" s="47">
        <f t="shared" si="16"/>
        <v>0</v>
      </c>
      <c r="AZ12" s="51"/>
    </row>
    <row r="13" s="6" customFormat="1" ht="25" customHeight="1" spans="1:52">
      <c r="A13" s="22">
        <v>8</v>
      </c>
      <c r="B13" s="23" t="str">
        <f>工资表!B11</f>
        <v>高建梅</v>
      </c>
      <c r="C13" s="24" t="str">
        <f>工资表!C11</f>
        <v>出纳</v>
      </c>
      <c r="D13" s="25" t="s">
        <v>120</v>
      </c>
      <c r="E13" s="25" t="s">
        <v>120</v>
      </c>
      <c r="F13" s="25" t="s">
        <v>120</v>
      </c>
      <c r="G13" s="25" t="s">
        <v>120</v>
      </c>
      <c r="H13" s="25" t="s">
        <v>107</v>
      </c>
      <c r="I13" s="25" t="s">
        <v>107</v>
      </c>
      <c r="J13" s="25" t="s">
        <v>120</v>
      </c>
      <c r="K13" s="25" t="s">
        <v>120</v>
      </c>
      <c r="L13" s="25" t="s">
        <v>120</v>
      </c>
      <c r="M13" s="25" t="s">
        <v>120</v>
      </c>
      <c r="N13" s="25" t="s">
        <v>120</v>
      </c>
      <c r="O13" s="25" t="s">
        <v>107</v>
      </c>
      <c r="P13" s="25" t="s">
        <v>107</v>
      </c>
      <c r="Q13" s="25" t="s">
        <v>120</v>
      </c>
      <c r="R13" s="25" t="s">
        <v>120</v>
      </c>
      <c r="S13" s="25" t="s">
        <v>120</v>
      </c>
      <c r="T13" s="25" t="s">
        <v>120</v>
      </c>
      <c r="U13" s="25" t="s">
        <v>120</v>
      </c>
      <c r="V13" s="25" t="s">
        <v>107</v>
      </c>
      <c r="W13" s="25" t="s">
        <v>107</v>
      </c>
      <c r="X13" s="25" t="s">
        <v>120</v>
      </c>
      <c r="Y13" s="25" t="s">
        <v>120</v>
      </c>
      <c r="Z13" s="25" t="s">
        <v>120</v>
      </c>
      <c r="AA13" s="25" t="s">
        <v>120</v>
      </c>
      <c r="AB13" s="25" t="s">
        <v>120</v>
      </c>
      <c r="AC13" s="25" t="s">
        <v>107</v>
      </c>
      <c r="AD13" s="25" t="s">
        <v>107</v>
      </c>
      <c r="AE13" s="25" t="s">
        <v>120</v>
      </c>
      <c r="AF13" s="25" t="s">
        <v>120</v>
      </c>
      <c r="AG13" s="25" t="s">
        <v>120</v>
      </c>
      <c r="AH13" s="25" t="s">
        <v>120</v>
      </c>
      <c r="AI13" s="22">
        <f t="shared" si="0"/>
        <v>23</v>
      </c>
      <c r="AJ13" s="22">
        <f t="shared" si="1"/>
        <v>8</v>
      </c>
      <c r="AK13" s="47">
        <f t="shared" si="2"/>
        <v>23</v>
      </c>
      <c r="AL13" s="47">
        <f t="shared" si="3"/>
        <v>0</v>
      </c>
      <c r="AM13" s="47">
        <f t="shared" si="4"/>
        <v>8</v>
      </c>
      <c r="AN13" s="47">
        <f t="shared" si="5"/>
        <v>0</v>
      </c>
      <c r="AO13" s="47">
        <f t="shared" si="6"/>
        <v>0</v>
      </c>
      <c r="AP13" s="47">
        <f t="shared" si="7"/>
        <v>0</v>
      </c>
      <c r="AQ13" s="47">
        <f t="shared" si="8"/>
        <v>0</v>
      </c>
      <c r="AR13" s="47">
        <f t="shared" si="9"/>
        <v>0</v>
      </c>
      <c r="AS13" s="47">
        <f t="shared" si="10"/>
        <v>0</v>
      </c>
      <c r="AT13" s="47">
        <f t="shared" si="11"/>
        <v>0</v>
      </c>
      <c r="AU13" s="47">
        <f t="shared" si="12"/>
        <v>0</v>
      </c>
      <c r="AV13" s="47">
        <f t="shared" si="13"/>
        <v>0</v>
      </c>
      <c r="AW13" s="47">
        <f t="shared" si="14"/>
        <v>0</v>
      </c>
      <c r="AX13" s="47">
        <f t="shared" si="15"/>
        <v>0</v>
      </c>
      <c r="AY13" s="47">
        <f t="shared" si="16"/>
        <v>0</v>
      </c>
      <c r="AZ13" s="51"/>
    </row>
    <row r="14" s="6" customFormat="1" ht="25" customHeight="1" spans="1:52">
      <c r="A14" s="22">
        <v>9</v>
      </c>
      <c r="B14" s="23" t="str">
        <f>工资表!B12</f>
        <v>周佳奇</v>
      </c>
      <c r="C14" s="24" t="str">
        <f>工资表!C12</f>
        <v>造价工程师</v>
      </c>
      <c r="D14" s="25" t="s">
        <v>120</v>
      </c>
      <c r="E14" s="25" t="s">
        <v>120</v>
      </c>
      <c r="F14" s="25" t="s">
        <v>120</v>
      </c>
      <c r="G14" s="25" t="s">
        <v>120</v>
      </c>
      <c r="H14" s="25" t="s">
        <v>107</v>
      </c>
      <c r="I14" s="25" t="s">
        <v>107</v>
      </c>
      <c r="J14" s="25" t="s">
        <v>120</v>
      </c>
      <c r="K14" s="25" t="s">
        <v>120</v>
      </c>
      <c r="L14" s="25" t="s">
        <v>120</v>
      </c>
      <c r="M14" s="25" t="s">
        <v>120</v>
      </c>
      <c r="N14" s="25" t="s">
        <v>120</v>
      </c>
      <c r="O14" s="25" t="s">
        <v>107</v>
      </c>
      <c r="P14" s="25" t="s">
        <v>107</v>
      </c>
      <c r="Q14" s="25" t="s">
        <v>120</v>
      </c>
      <c r="R14" s="25" t="s">
        <v>120</v>
      </c>
      <c r="S14" s="25" t="s">
        <v>120</v>
      </c>
      <c r="T14" s="25" t="s">
        <v>120</v>
      </c>
      <c r="U14" s="25" t="s">
        <v>120</v>
      </c>
      <c r="V14" s="25" t="s">
        <v>107</v>
      </c>
      <c r="W14" s="25" t="s">
        <v>107</v>
      </c>
      <c r="X14" s="25" t="s">
        <v>120</v>
      </c>
      <c r="Y14" s="25" t="s">
        <v>120</v>
      </c>
      <c r="Z14" s="25" t="s">
        <v>120</v>
      </c>
      <c r="AA14" s="25" t="s">
        <v>120</v>
      </c>
      <c r="AB14" s="25" t="s">
        <v>120</v>
      </c>
      <c r="AC14" s="25" t="s">
        <v>107</v>
      </c>
      <c r="AD14" s="25" t="s">
        <v>107</v>
      </c>
      <c r="AE14" s="25" t="s">
        <v>120</v>
      </c>
      <c r="AF14" s="25" t="s">
        <v>120</v>
      </c>
      <c r="AG14" s="25" t="s">
        <v>120</v>
      </c>
      <c r="AH14" s="25" t="s">
        <v>120</v>
      </c>
      <c r="AI14" s="22">
        <f t="shared" si="0"/>
        <v>23</v>
      </c>
      <c r="AJ14" s="22">
        <f t="shared" si="1"/>
        <v>8</v>
      </c>
      <c r="AK14" s="47">
        <f t="shared" si="2"/>
        <v>23</v>
      </c>
      <c r="AL14" s="47">
        <f t="shared" si="3"/>
        <v>0</v>
      </c>
      <c r="AM14" s="47">
        <f t="shared" si="4"/>
        <v>8</v>
      </c>
      <c r="AN14" s="47">
        <f t="shared" si="5"/>
        <v>0</v>
      </c>
      <c r="AO14" s="47">
        <f t="shared" si="6"/>
        <v>0</v>
      </c>
      <c r="AP14" s="47">
        <f t="shared" si="7"/>
        <v>0</v>
      </c>
      <c r="AQ14" s="47">
        <f t="shared" si="8"/>
        <v>0</v>
      </c>
      <c r="AR14" s="47">
        <f t="shared" si="9"/>
        <v>0</v>
      </c>
      <c r="AS14" s="47">
        <f t="shared" si="10"/>
        <v>0</v>
      </c>
      <c r="AT14" s="47">
        <f t="shared" si="11"/>
        <v>0</v>
      </c>
      <c r="AU14" s="47">
        <f t="shared" si="12"/>
        <v>0</v>
      </c>
      <c r="AV14" s="47">
        <f t="shared" si="13"/>
        <v>0</v>
      </c>
      <c r="AW14" s="47">
        <f t="shared" si="14"/>
        <v>0</v>
      </c>
      <c r="AX14" s="47">
        <f t="shared" si="15"/>
        <v>0</v>
      </c>
      <c r="AY14" s="47">
        <f t="shared" si="16"/>
        <v>0</v>
      </c>
      <c r="AZ14" s="51"/>
    </row>
    <row r="15" s="6" customFormat="1" ht="25" customHeight="1" spans="1:52">
      <c r="A15" s="22">
        <v>10</v>
      </c>
      <c r="B15" s="23" t="str">
        <f>工资表!B13</f>
        <v>白媛媛</v>
      </c>
      <c r="C15" s="24" t="str">
        <f>工资表!C13</f>
        <v>开发报建工程师</v>
      </c>
      <c r="D15" s="25" t="s">
        <v>120</v>
      </c>
      <c r="E15" s="25" t="s">
        <v>120</v>
      </c>
      <c r="F15" s="25" t="s">
        <v>120</v>
      </c>
      <c r="G15" s="25" t="s">
        <v>120</v>
      </c>
      <c r="H15" s="25" t="s">
        <v>107</v>
      </c>
      <c r="I15" s="25" t="s">
        <v>107</v>
      </c>
      <c r="J15" s="25" t="s">
        <v>120</v>
      </c>
      <c r="K15" s="25" t="s">
        <v>120</v>
      </c>
      <c r="L15" s="25" t="s">
        <v>120</v>
      </c>
      <c r="M15" s="25" t="s">
        <v>120</v>
      </c>
      <c r="N15" s="25" t="s">
        <v>120</v>
      </c>
      <c r="O15" s="25" t="s">
        <v>107</v>
      </c>
      <c r="P15" s="25" t="s">
        <v>107</v>
      </c>
      <c r="Q15" s="25" t="s">
        <v>120</v>
      </c>
      <c r="R15" s="25" t="s">
        <v>120</v>
      </c>
      <c r="S15" s="25" t="s">
        <v>120</v>
      </c>
      <c r="T15" s="25" t="s">
        <v>120</v>
      </c>
      <c r="U15" s="25" t="s">
        <v>120</v>
      </c>
      <c r="V15" s="25" t="s">
        <v>107</v>
      </c>
      <c r="W15" s="25" t="s">
        <v>107</v>
      </c>
      <c r="X15" s="25" t="s">
        <v>120</v>
      </c>
      <c r="Y15" s="25" t="s">
        <v>120</v>
      </c>
      <c r="Z15" s="25" t="s">
        <v>120</v>
      </c>
      <c r="AA15" s="25" t="s">
        <v>120</v>
      </c>
      <c r="AB15" s="25" t="s">
        <v>120</v>
      </c>
      <c r="AC15" s="25" t="s">
        <v>107</v>
      </c>
      <c r="AD15" s="25" t="s">
        <v>107</v>
      </c>
      <c r="AE15" s="25" t="s">
        <v>120</v>
      </c>
      <c r="AF15" s="25" t="s">
        <v>120</v>
      </c>
      <c r="AG15" s="25" t="s">
        <v>120</v>
      </c>
      <c r="AH15" s="25" t="s">
        <v>120</v>
      </c>
      <c r="AI15" s="22">
        <f t="shared" si="0"/>
        <v>23</v>
      </c>
      <c r="AJ15" s="22">
        <f t="shared" si="1"/>
        <v>8</v>
      </c>
      <c r="AK15" s="47">
        <f t="shared" si="2"/>
        <v>23</v>
      </c>
      <c r="AL15" s="47">
        <f t="shared" si="3"/>
        <v>0</v>
      </c>
      <c r="AM15" s="47">
        <f t="shared" si="4"/>
        <v>8</v>
      </c>
      <c r="AN15" s="47">
        <f t="shared" si="5"/>
        <v>0</v>
      </c>
      <c r="AO15" s="47">
        <f t="shared" si="6"/>
        <v>0</v>
      </c>
      <c r="AP15" s="47">
        <f t="shared" si="7"/>
        <v>0</v>
      </c>
      <c r="AQ15" s="47">
        <f t="shared" si="8"/>
        <v>0</v>
      </c>
      <c r="AR15" s="47">
        <f t="shared" si="9"/>
        <v>0</v>
      </c>
      <c r="AS15" s="47">
        <f t="shared" si="10"/>
        <v>0</v>
      </c>
      <c r="AT15" s="47">
        <f t="shared" si="11"/>
        <v>0</v>
      </c>
      <c r="AU15" s="47">
        <f t="shared" si="12"/>
        <v>0</v>
      </c>
      <c r="AV15" s="47">
        <f t="shared" si="13"/>
        <v>0</v>
      </c>
      <c r="AW15" s="47">
        <f t="shared" si="14"/>
        <v>0</v>
      </c>
      <c r="AX15" s="47">
        <f t="shared" si="15"/>
        <v>0</v>
      </c>
      <c r="AY15" s="47">
        <f t="shared" si="16"/>
        <v>0</v>
      </c>
      <c r="AZ15" s="51"/>
    </row>
    <row r="16" s="6" customFormat="1" ht="25" customHeight="1" spans="1:52">
      <c r="A16" s="22">
        <v>11</v>
      </c>
      <c r="B16" s="23" t="str">
        <f>工资表!B14</f>
        <v>温进进</v>
      </c>
      <c r="C16" s="24" t="str">
        <f>工资表!C14</f>
        <v>土建工程师</v>
      </c>
      <c r="D16" s="25" t="s">
        <v>120</v>
      </c>
      <c r="E16" s="25" t="s">
        <v>120</v>
      </c>
      <c r="F16" s="25" t="s">
        <v>120</v>
      </c>
      <c r="G16" s="25" t="s">
        <v>120</v>
      </c>
      <c r="H16" s="25" t="s">
        <v>107</v>
      </c>
      <c r="I16" s="25" t="s">
        <v>107</v>
      </c>
      <c r="J16" s="25" t="s">
        <v>120</v>
      </c>
      <c r="K16" s="25" t="s">
        <v>120</v>
      </c>
      <c r="L16" s="25" t="s">
        <v>120</v>
      </c>
      <c r="M16" s="25" t="s">
        <v>120</v>
      </c>
      <c r="N16" s="25" t="s">
        <v>120</v>
      </c>
      <c r="O16" s="25" t="s">
        <v>107</v>
      </c>
      <c r="P16" s="25" t="s">
        <v>107</v>
      </c>
      <c r="Q16" s="25" t="s">
        <v>120</v>
      </c>
      <c r="R16" s="25" t="s">
        <v>120</v>
      </c>
      <c r="S16" s="25" t="s">
        <v>120</v>
      </c>
      <c r="T16" s="25" t="s">
        <v>120</v>
      </c>
      <c r="U16" s="25" t="s">
        <v>120</v>
      </c>
      <c r="V16" s="25" t="s">
        <v>107</v>
      </c>
      <c r="W16" s="25" t="s">
        <v>107</v>
      </c>
      <c r="X16" s="25" t="s">
        <v>120</v>
      </c>
      <c r="Y16" s="25" t="s">
        <v>120</v>
      </c>
      <c r="Z16" s="25" t="s">
        <v>120</v>
      </c>
      <c r="AA16" s="25" t="s">
        <v>120</v>
      </c>
      <c r="AB16" s="25" t="s">
        <v>120</v>
      </c>
      <c r="AC16" s="25" t="s">
        <v>107</v>
      </c>
      <c r="AD16" s="25" t="s">
        <v>107</v>
      </c>
      <c r="AE16" s="25" t="s">
        <v>120</v>
      </c>
      <c r="AF16" s="25" t="s">
        <v>120</v>
      </c>
      <c r="AG16" s="25" t="s">
        <v>120</v>
      </c>
      <c r="AH16" s="25" t="s">
        <v>120</v>
      </c>
      <c r="AI16" s="22">
        <f t="shared" si="0"/>
        <v>23</v>
      </c>
      <c r="AJ16" s="22">
        <f t="shared" si="1"/>
        <v>8</v>
      </c>
      <c r="AK16" s="47">
        <f t="shared" si="2"/>
        <v>23</v>
      </c>
      <c r="AL16" s="47">
        <f t="shared" si="3"/>
        <v>0</v>
      </c>
      <c r="AM16" s="47">
        <f t="shared" si="4"/>
        <v>8</v>
      </c>
      <c r="AN16" s="47">
        <f t="shared" si="5"/>
        <v>0</v>
      </c>
      <c r="AO16" s="47">
        <f t="shared" si="6"/>
        <v>0</v>
      </c>
      <c r="AP16" s="47">
        <f t="shared" si="7"/>
        <v>0</v>
      </c>
      <c r="AQ16" s="47">
        <f t="shared" si="8"/>
        <v>0</v>
      </c>
      <c r="AR16" s="47">
        <f t="shared" si="9"/>
        <v>0</v>
      </c>
      <c r="AS16" s="47">
        <f t="shared" si="10"/>
        <v>0</v>
      </c>
      <c r="AT16" s="47">
        <f t="shared" si="11"/>
        <v>0</v>
      </c>
      <c r="AU16" s="47">
        <f t="shared" si="12"/>
        <v>0</v>
      </c>
      <c r="AV16" s="47">
        <f t="shared" si="13"/>
        <v>0</v>
      </c>
      <c r="AW16" s="47">
        <f t="shared" si="14"/>
        <v>0</v>
      </c>
      <c r="AX16" s="47">
        <f t="shared" si="15"/>
        <v>0</v>
      </c>
      <c r="AY16" s="47">
        <f t="shared" si="16"/>
        <v>0</v>
      </c>
      <c r="AZ16" s="51"/>
    </row>
    <row r="17" s="7" customFormat="1" ht="25" customHeight="1" spans="1:251">
      <c r="A17" s="22">
        <v>12</v>
      </c>
      <c r="B17" s="23" t="str">
        <f>工资表!B15</f>
        <v>尹江</v>
      </c>
      <c r="C17" s="24" t="str">
        <f>工资表!C15</f>
        <v>水暖工程师</v>
      </c>
      <c r="D17" s="25" t="s">
        <v>120</v>
      </c>
      <c r="E17" s="25" t="s">
        <v>120</v>
      </c>
      <c r="F17" s="25" t="s">
        <v>120</v>
      </c>
      <c r="G17" s="25" t="s">
        <v>120</v>
      </c>
      <c r="H17" s="25" t="s">
        <v>107</v>
      </c>
      <c r="I17" s="25" t="s">
        <v>107</v>
      </c>
      <c r="J17" s="25" t="s">
        <v>120</v>
      </c>
      <c r="K17" s="25" t="s">
        <v>120</v>
      </c>
      <c r="L17" s="25" t="s">
        <v>120</v>
      </c>
      <c r="M17" s="25" t="s">
        <v>120</v>
      </c>
      <c r="N17" s="25" t="s">
        <v>120</v>
      </c>
      <c r="O17" s="25" t="s">
        <v>107</v>
      </c>
      <c r="P17" s="25" t="s">
        <v>107</v>
      </c>
      <c r="Q17" s="25" t="s">
        <v>120</v>
      </c>
      <c r="R17" s="25" t="s">
        <v>120</v>
      </c>
      <c r="S17" s="25" t="s">
        <v>120</v>
      </c>
      <c r="T17" s="25" t="s">
        <v>120</v>
      </c>
      <c r="U17" s="25" t="s">
        <v>120</v>
      </c>
      <c r="V17" s="25" t="s">
        <v>107</v>
      </c>
      <c r="W17" s="25" t="s">
        <v>107</v>
      </c>
      <c r="X17" s="25" t="s">
        <v>120</v>
      </c>
      <c r="Y17" s="25" t="s">
        <v>120</v>
      </c>
      <c r="Z17" s="25" t="s">
        <v>120</v>
      </c>
      <c r="AA17" s="25" t="s">
        <v>120</v>
      </c>
      <c r="AB17" s="25" t="s">
        <v>120</v>
      </c>
      <c r="AC17" s="25" t="s">
        <v>107</v>
      </c>
      <c r="AD17" s="25" t="s">
        <v>107</v>
      </c>
      <c r="AE17" s="25" t="s">
        <v>120</v>
      </c>
      <c r="AF17" s="25" t="s">
        <v>120</v>
      </c>
      <c r="AG17" s="25" t="s">
        <v>120</v>
      </c>
      <c r="AH17" s="25" t="s">
        <v>120</v>
      </c>
      <c r="AI17" s="22">
        <f t="shared" si="0"/>
        <v>23</v>
      </c>
      <c r="AJ17" s="22">
        <f t="shared" si="1"/>
        <v>8</v>
      </c>
      <c r="AK17" s="47">
        <f t="shared" si="2"/>
        <v>23</v>
      </c>
      <c r="AL17" s="47">
        <f t="shared" si="3"/>
        <v>0</v>
      </c>
      <c r="AM17" s="47">
        <f t="shared" si="4"/>
        <v>8</v>
      </c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5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22">
        <v>13</v>
      </c>
      <c r="B18" s="23" t="str">
        <f>工资表!B16</f>
        <v>王玉慧</v>
      </c>
      <c r="C18" s="24" t="str">
        <f>工资表!C16</f>
        <v>案场销售经理</v>
      </c>
      <c r="D18" s="25" t="s">
        <v>120</v>
      </c>
      <c r="E18" s="25" t="s">
        <v>120</v>
      </c>
      <c r="F18" s="25" t="s">
        <v>120</v>
      </c>
      <c r="G18" s="25" t="s">
        <v>120</v>
      </c>
      <c r="H18" s="25" t="s">
        <v>120</v>
      </c>
      <c r="I18" s="25" t="s">
        <v>120</v>
      </c>
      <c r="J18" s="25" t="s">
        <v>107</v>
      </c>
      <c r="K18" s="25" t="s">
        <v>107</v>
      </c>
      <c r="L18" s="25" t="s">
        <v>107</v>
      </c>
      <c r="M18" s="25" t="s">
        <v>107</v>
      </c>
      <c r="N18" s="25" t="s">
        <v>120</v>
      </c>
      <c r="O18" s="25" t="s">
        <v>120</v>
      </c>
      <c r="P18" s="25" t="s">
        <v>120</v>
      </c>
      <c r="Q18" s="25" t="s">
        <v>120</v>
      </c>
      <c r="R18" s="25" t="s">
        <v>120</v>
      </c>
      <c r="S18" s="25" t="s">
        <v>120</v>
      </c>
      <c r="T18" s="25" t="s">
        <v>120</v>
      </c>
      <c r="U18" s="25" t="s">
        <v>120</v>
      </c>
      <c r="V18" s="25" t="s">
        <v>120</v>
      </c>
      <c r="W18" s="25" t="s">
        <v>120</v>
      </c>
      <c r="X18" s="25" t="s">
        <v>120</v>
      </c>
      <c r="Y18" s="25" t="s">
        <v>120</v>
      </c>
      <c r="Z18" s="25" t="s">
        <v>120</v>
      </c>
      <c r="AA18" s="25" t="s">
        <v>120</v>
      </c>
      <c r="AB18" s="25" t="s">
        <v>120</v>
      </c>
      <c r="AC18" s="25" t="s">
        <v>120</v>
      </c>
      <c r="AD18" s="25" t="s">
        <v>120</v>
      </c>
      <c r="AE18" s="25" t="s">
        <v>120</v>
      </c>
      <c r="AF18" s="25" t="s">
        <v>120</v>
      </c>
      <c r="AG18" s="25" t="s">
        <v>120</v>
      </c>
      <c r="AH18" s="25" t="s">
        <v>120</v>
      </c>
      <c r="AI18" s="22">
        <f t="shared" ref="AI18:AI34" si="17">AK18+AL18+AR18</f>
        <v>27</v>
      </c>
      <c r="AJ18" s="22">
        <f t="shared" ref="AJ18:AJ34" si="18">AM18</f>
        <v>4</v>
      </c>
      <c r="AK18" s="47">
        <f t="shared" ref="AK18:AK34" si="19">COUNTIF($D18:$AH18,"√")</f>
        <v>27</v>
      </c>
      <c r="AL18" s="47">
        <f t="shared" ref="AL18:AL34" si="20">COUNTIF($D18:$AH18,"出差")</f>
        <v>0</v>
      </c>
      <c r="AM18" s="47">
        <f t="shared" ref="AM18:AM34" si="21">COUNTIF($D18:$AH18,"公休")</f>
        <v>4</v>
      </c>
      <c r="AN18" s="47">
        <f t="shared" ref="AN18:AN34" si="22">COUNTIF($D18:$AH18,"病假")</f>
        <v>0</v>
      </c>
      <c r="AO18" s="47">
        <f t="shared" ref="AO18:AO34" si="23">COUNTIF($D18:$AH18,"事假")</f>
        <v>0</v>
      </c>
      <c r="AP18" s="47">
        <f t="shared" ref="AP18:AP34" si="24">COUNTIF($D18:$AH18,"旷工")</f>
        <v>0</v>
      </c>
      <c r="AQ18" s="47">
        <f t="shared" ref="AQ18:AQ34" si="25">COUNTIF($D18:$AH18,"工伤")</f>
        <v>0</v>
      </c>
      <c r="AR18" s="47">
        <f t="shared" ref="AR18:AR34" si="26">COUNTIF($D18:$AH18,"培训")</f>
        <v>0</v>
      </c>
      <c r="AS18" s="47">
        <f t="shared" ref="AS18:AS34" si="27">COUNTIF($D18:$AH18,"冬休")</f>
        <v>0</v>
      </c>
      <c r="AT18" s="47">
        <f t="shared" ref="AT18:AT34" si="28">COUNTIF($D18:$AH18,"休假")</f>
        <v>0</v>
      </c>
      <c r="AU18" s="47">
        <f t="shared" ref="AU18:AU34" si="29">COUNTIF($D18:$AH18,"探亲")</f>
        <v>0</v>
      </c>
      <c r="AV18" s="47">
        <f t="shared" ref="AV18:AV34" si="30">COUNTIF($D18:$AH18,"产假")</f>
        <v>0</v>
      </c>
      <c r="AW18" s="47">
        <f t="shared" ref="AW18:AW34" si="31">COUNTIF($D18:$AH18,"陪护假")</f>
        <v>0</v>
      </c>
      <c r="AX18" s="47">
        <f t="shared" ref="AX18:AX34" si="32">COUNTIF($D18:$AH18,"婚丧假")</f>
        <v>0</v>
      </c>
      <c r="AY18" s="47">
        <f t="shared" ref="AY18:AY34" si="33">COUNTIF($D18:$AH18,"待岗")</f>
        <v>0</v>
      </c>
      <c r="AZ18" s="5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25" customHeight="1" spans="1:251">
      <c r="A19" s="22">
        <v>14</v>
      </c>
      <c r="B19" s="23" t="str">
        <f>工资表!B17</f>
        <v>谢华军</v>
      </c>
      <c r="C19" s="24" t="str">
        <f>工资表!C17</f>
        <v>招商专员</v>
      </c>
      <c r="D19" s="25" t="s">
        <v>120</v>
      </c>
      <c r="E19" s="25" t="s">
        <v>120</v>
      </c>
      <c r="F19" s="25" t="s">
        <v>120</v>
      </c>
      <c r="G19" s="25" t="s">
        <v>120</v>
      </c>
      <c r="H19" s="25" t="s">
        <v>107</v>
      </c>
      <c r="I19" s="25" t="s">
        <v>107</v>
      </c>
      <c r="J19" s="25" t="s">
        <v>120</v>
      </c>
      <c r="K19" s="25" t="s">
        <v>120</v>
      </c>
      <c r="L19" s="25" t="s">
        <v>120</v>
      </c>
      <c r="M19" s="25" t="s">
        <v>120</v>
      </c>
      <c r="N19" s="25" t="s">
        <v>120</v>
      </c>
      <c r="O19" s="25" t="s">
        <v>107</v>
      </c>
      <c r="P19" s="25" t="s">
        <v>107</v>
      </c>
      <c r="Q19" s="25" t="s">
        <v>120</v>
      </c>
      <c r="R19" s="25" t="s">
        <v>120</v>
      </c>
      <c r="S19" s="25" t="s">
        <v>120</v>
      </c>
      <c r="T19" s="25" t="s">
        <v>120</v>
      </c>
      <c r="U19" s="25" t="s">
        <v>120</v>
      </c>
      <c r="V19" s="25" t="s">
        <v>107</v>
      </c>
      <c r="W19" s="25" t="s">
        <v>107</v>
      </c>
      <c r="X19" s="25" t="s">
        <v>120</v>
      </c>
      <c r="Y19" s="25" t="s">
        <v>120</v>
      </c>
      <c r="Z19" s="25" t="s">
        <v>120</v>
      </c>
      <c r="AA19" s="25" t="s">
        <v>120</v>
      </c>
      <c r="AB19" s="25" t="s">
        <v>120</v>
      </c>
      <c r="AC19" s="25" t="s">
        <v>107</v>
      </c>
      <c r="AD19" s="25" t="s">
        <v>107</v>
      </c>
      <c r="AE19" s="25" t="s">
        <v>120</v>
      </c>
      <c r="AF19" s="25" t="s">
        <v>120</v>
      </c>
      <c r="AG19" s="25" t="s">
        <v>120</v>
      </c>
      <c r="AH19" s="25" t="s">
        <v>120</v>
      </c>
      <c r="AI19" s="22">
        <f t="shared" si="17"/>
        <v>23</v>
      </c>
      <c r="AJ19" s="22">
        <f t="shared" si="18"/>
        <v>8</v>
      </c>
      <c r="AK19" s="47">
        <f t="shared" si="19"/>
        <v>23</v>
      </c>
      <c r="AL19" s="47">
        <f t="shared" si="20"/>
        <v>0</v>
      </c>
      <c r="AM19" s="47">
        <f t="shared" si="21"/>
        <v>8</v>
      </c>
      <c r="AN19" s="47">
        <f t="shared" si="22"/>
        <v>0</v>
      </c>
      <c r="AO19" s="47">
        <f t="shared" si="23"/>
        <v>0</v>
      </c>
      <c r="AP19" s="47">
        <f t="shared" si="24"/>
        <v>0</v>
      </c>
      <c r="AQ19" s="47">
        <f t="shared" si="25"/>
        <v>0</v>
      </c>
      <c r="AR19" s="47">
        <f t="shared" si="26"/>
        <v>0</v>
      </c>
      <c r="AS19" s="47">
        <f t="shared" si="27"/>
        <v>0</v>
      </c>
      <c r="AT19" s="47">
        <f t="shared" si="28"/>
        <v>0</v>
      </c>
      <c r="AU19" s="47">
        <f t="shared" si="29"/>
        <v>0</v>
      </c>
      <c r="AV19" s="47">
        <f t="shared" si="30"/>
        <v>0</v>
      </c>
      <c r="AW19" s="47">
        <f t="shared" si="31"/>
        <v>0</v>
      </c>
      <c r="AX19" s="47">
        <f t="shared" si="32"/>
        <v>0</v>
      </c>
      <c r="AY19" s="47">
        <f t="shared" si="33"/>
        <v>0</v>
      </c>
      <c r="AZ19" s="51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5" customHeight="1" spans="1:251">
      <c r="A20" s="22">
        <v>15</v>
      </c>
      <c r="B20" s="23" t="str">
        <f>工资表!B18</f>
        <v>张志慧</v>
      </c>
      <c r="C20" s="24" t="str">
        <f>工资表!C18</f>
        <v>置业顾问</v>
      </c>
      <c r="D20" s="25" t="s">
        <v>120</v>
      </c>
      <c r="E20" s="25" t="s">
        <v>120</v>
      </c>
      <c r="F20" s="25" t="s">
        <v>120</v>
      </c>
      <c r="G20" s="25" t="s">
        <v>120</v>
      </c>
      <c r="H20" s="25" t="s">
        <v>120</v>
      </c>
      <c r="I20" s="25" t="s">
        <v>120</v>
      </c>
      <c r="J20" s="25" t="s">
        <v>120</v>
      </c>
      <c r="K20" s="25" t="s">
        <v>120</v>
      </c>
      <c r="L20" s="25" t="s">
        <v>120</v>
      </c>
      <c r="M20" s="25" t="s">
        <v>120</v>
      </c>
      <c r="N20" s="25" t="s">
        <v>120</v>
      </c>
      <c r="O20" s="25" t="s">
        <v>120</v>
      </c>
      <c r="P20" s="25" t="s">
        <v>120</v>
      </c>
      <c r="Q20" s="25" t="s">
        <v>120</v>
      </c>
      <c r="R20" s="25" t="s">
        <v>120</v>
      </c>
      <c r="S20" s="25" t="s">
        <v>120</v>
      </c>
      <c r="T20" s="25" t="s">
        <v>120</v>
      </c>
      <c r="U20" s="25" t="s">
        <v>120</v>
      </c>
      <c r="V20" s="25" t="s">
        <v>120</v>
      </c>
      <c r="W20" s="25" t="s">
        <v>120</v>
      </c>
      <c r="X20" s="25" t="s">
        <v>120</v>
      </c>
      <c r="Y20" s="25" t="s">
        <v>120</v>
      </c>
      <c r="Z20" s="25" t="s">
        <v>120</v>
      </c>
      <c r="AA20" s="25" t="s">
        <v>120</v>
      </c>
      <c r="AB20" s="25" t="s">
        <v>120</v>
      </c>
      <c r="AC20" s="25" t="s">
        <v>107</v>
      </c>
      <c r="AD20" s="25" t="s">
        <v>107</v>
      </c>
      <c r="AE20" s="25" t="s">
        <v>107</v>
      </c>
      <c r="AF20" s="25" t="s">
        <v>107</v>
      </c>
      <c r="AG20" s="25" t="s">
        <v>120</v>
      </c>
      <c r="AH20" s="25" t="s">
        <v>120</v>
      </c>
      <c r="AI20" s="22">
        <f t="shared" si="17"/>
        <v>27</v>
      </c>
      <c r="AJ20" s="22">
        <f t="shared" si="18"/>
        <v>4</v>
      </c>
      <c r="AK20" s="47">
        <f t="shared" si="19"/>
        <v>27</v>
      </c>
      <c r="AL20" s="47">
        <f t="shared" si="20"/>
        <v>0</v>
      </c>
      <c r="AM20" s="47">
        <f t="shared" si="21"/>
        <v>4</v>
      </c>
      <c r="AN20" s="47">
        <f t="shared" si="22"/>
        <v>0</v>
      </c>
      <c r="AO20" s="47">
        <f t="shared" si="23"/>
        <v>0</v>
      </c>
      <c r="AP20" s="47">
        <f t="shared" si="24"/>
        <v>0</v>
      </c>
      <c r="AQ20" s="47">
        <f t="shared" si="25"/>
        <v>0</v>
      </c>
      <c r="AR20" s="47">
        <f t="shared" si="26"/>
        <v>0</v>
      </c>
      <c r="AS20" s="47">
        <f t="shared" si="27"/>
        <v>0</v>
      </c>
      <c r="AT20" s="47">
        <f t="shared" si="28"/>
        <v>0</v>
      </c>
      <c r="AU20" s="47">
        <f t="shared" si="29"/>
        <v>0</v>
      </c>
      <c r="AV20" s="47">
        <f t="shared" si="30"/>
        <v>0</v>
      </c>
      <c r="AW20" s="47">
        <f t="shared" si="31"/>
        <v>0</v>
      </c>
      <c r="AX20" s="47">
        <f t="shared" si="32"/>
        <v>0</v>
      </c>
      <c r="AY20" s="47">
        <f t="shared" si="33"/>
        <v>0</v>
      </c>
      <c r="AZ20" s="51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="7" customFormat="1" ht="25" customHeight="1" spans="1:251">
      <c r="A21" s="22">
        <v>16</v>
      </c>
      <c r="B21" s="23" t="str">
        <f>工资表!B19</f>
        <v>张玉琴</v>
      </c>
      <c r="C21" s="24" t="str">
        <f>工资表!C19</f>
        <v>置业顾问</v>
      </c>
      <c r="D21" s="25" t="s">
        <v>120</v>
      </c>
      <c r="E21" s="25" t="s">
        <v>120</v>
      </c>
      <c r="F21" s="25" t="s">
        <v>120</v>
      </c>
      <c r="G21" s="25" t="s">
        <v>120</v>
      </c>
      <c r="H21" s="25" t="s">
        <v>120</v>
      </c>
      <c r="I21" s="25" t="s">
        <v>120</v>
      </c>
      <c r="J21" s="25" t="s">
        <v>107</v>
      </c>
      <c r="K21" s="25" t="s">
        <v>107</v>
      </c>
      <c r="L21" s="25" t="s">
        <v>107</v>
      </c>
      <c r="M21" s="25" t="s">
        <v>107</v>
      </c>
      <c r="N21" s="25" t="s">
        <v>120</v>
      </c>
      <c r="O21" s="25" t="s">
        <v>120</v>
      </c>
      <c r="P21" s="25" t="s">
        <v>120</v>
      </c>
      <c r="Q21" s="25" t="s">
        <v>120</v>
      </c>
      <c r="R21" s="25" t="s">
        <v>120</v>
      </c>
      <c r="S21" s="25" t="s">
        <v>120</v>
      </c>
      <c r="T21" s="25" t="s">
        <v>120</v>
      </c>
      <c r="U21" s="25" t="s">
        <v>120</v>
      </c>
      <c r="V21" s="25" t="s">
        <v>120</v>
      </c>
      <c r="W21" s="25" t="s">
        <v>120</v>
      </c>
      <c r="X21" s="25" t="s">
        <v>120</v>
      </c>
      <c r="Y21" s="25" t="s">
        <v>120</v>
      </c>
      <c r="Z21" s="25" t="s">
        <v>120</v>
      </c>
      <c r="AA21" s="25" t="s">
        <v>120</v>
      </c>
      <c r="AB21" s="25" t="s">
        <v>120</v>
      </c>
      <c r="AC21" s="25" t="s">
        <v>120</v>
      </c>
      <c r="AD21" s="25" t="s">
        <v>120</v>
      </c>
      <c r="AE21" s="25" t="s">
        <v>120</v>
      </c>
      <c r="AF21" s="25" t="s">
        <v>120</v>
      </c>
      <c r="AG21" s="25" t="s">
        <v>120</v>
      </c>
      <c r="AH21" s="25" t="s">
        <v>120</v>
      </c>
      <c r="AI21" s="22">
        <f t="shared" si="17"/>
        <v>27</v>
      </c>
      <c r="AJ21" s="22">
        <f t="shared" si="18"/>
        <v>4</v>
      </c>
      <c r="AK21" s="47">
        <f t="shared" si="19"/>
        <v>27</v>
      </c>
      <c r="AL21" s="47">
        <f t="shared" si="20"/>
        <v>0</v>
      </c>
      <c r="AM21" s="47">
        <f t="shared" si="21"/>
        <v>4</v>
      </c>
      <c r="AN21" s="47">
        <f t="shared" si="22"/>
        <v>0</v>
      </c>
      <c r="AO21" s="47">
        <f t="shared" si="23"/>
        <v>0</v>
      </c>
      <c r="AP21" s="47">
        <f t="shared" si="24"/>
        <v>0</v>
      </c>
      <c r="AQ21" s="47">
        <f t="shared" si="25"/>
        <v>0</v>
      </c>
      <c r="AR21" s="47">
        <f t="shared" si="26"/>
        <v>0</v>
      </c>
      <c r="AS21" s="47">
        <f t="shared" si="27"/>
        <v>0</v>
      </c>
      <c r="AT21" s="47">
        <f t="shared" si="28"/>
        <v>0</v>
      </c>
      <c r="AU21" s="47">
        <f t="shared" si="29"/>
        <v>0</v>
      </c>
      <c r="AV21" s="47">
        <f t="shared" si="30"/>
        <v>0</v>
      </c>
      <c r="AW21" s="47">
        <f t="shared" si="31"/>
        <v>0</v>
      </c>
      <c r="AX21" s="47">
        <f t="shared" si="32"/>
        <v>0</v>
      </c>
      <c r="AY21" s="47">
        <f t="shared" si="33"/>
        <v>0</v>
      </c>
      <c r="AZ21" s="51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="7" customFormat="1" ht="25" customHeight="1" spans="1:251">
      <c r="A22" s="22">
        <v>17</v>
      </c>
      <c r="B22" s="23" t="str">
        <f>工资表!B20</f>
        <v>王荣</v>
      </c>
      <c r="C22" s="24" t="str">
        <f>工资表!C20</f>
        <v>置业顾问</v>
      </c>
      <c r="D22" s="25" t="s">
        <v>120</v>
      </c>
      <c r="E22" s="25" t="s">
        <v>120</v>
      </c>
      <c r="F22" s="25" t="s">
        <v>120</v>
      </c>
      <c r="G22" s="25" t="s">
        <v>120</v>
      </c>
      <c r="H22" s="25" t="s">
        <v>120</v>
      </c>
      <c r="I22" s="25" t="s">
        <v>120</v>
      </c>
      <c r="J22" s="25" t="s">
        <v>107</v>
      </c>
      <c r="K22" s="25" t="s">
        <v>107</v>
      </c>
      <c r="L22" s="25" t="s">
        <v>107</v>
      </c>
      <c r="M22" s="25" t="s">
        <v>120</v>
      </c>
      <c r="N22" s="25" t="s">
        <v>120</v>
      </c>
      <c r="O22" s="25" t="s">
        <v>120</v>
      </c>
      <c r="P22" s="25" t="s">
        <v>120</v>
      </c>
      <c r="Q22" s="25" t="s">
        <v>107</v>
      </c>
      <c r="R22" s="25" t="s">
        <v>120</v>
      </c>
      <c r="S22" s="25" t="s">
        <v>120</v>
      </c>
      <c r="T22" s="25" t="s">
        <v>120</v>
      </c>
      <c r="U22" s="25" t="s">
        <v>120</v>
      </c>
      <c r="V22" s="25" t="s">
        <v>120</v>
      </c>
      <c r="W22" s="25" t="s">
        <v>120</v>
      </c>
      <c r="X22" s="25" t="s">
        <v>120</v>
      </c>
      <c r="Y22" s="25" t="s">
        <v>120</v>
      </c>
      <c r="Z22" s="25" t="s">
        <v>120</v>
      </c>
      <c r="AA22" s="25" t="s">
        <v>120</v>
      </c>
      <c r="AB22" s="25" t="s">
        <v>120</v>
      </c>
      <c r="AC22" s="25" t="s">
        <v>120</v>
      </c>
      <c r="AD22" s="25" t="s">
        <v>120</v>
      </c>
      <c r="AE22" s="25" t="s">
        <v>120</v>
      </c>
      <c r="AF22" s="25" t="s">
        <v>120</v>
      </c>
      <c r="AG22" s="25" t="s">
        <v>120</v>
      </c>
      <c r="AH22" s="25" t="s">
        <v>120</v>
      </c>
      <c r="AI22" s="22">
        <f t="shared" si="17"/>
        <v>27</v>
      </c>
      <c r="AJ22" s="22">
        <f t="shared" si="18"/>
        <v>4</v>
      </c>
      <c r="AK22" s="47">
        <f t="shared" si="19"/>
        <v>27</v>
      </c>
      <c r="AL22" s="47">
        <f t="shared" si="20"/>
        <v>0</v>
      </c>
      <c r="AM22" s="47">
        <f t="shared" si="21"/>
        <v>4</v>
      </c>
      <c r="AN22" s="47">
        <f t="shared" si="22"/>
        <v>0</v>
      </c>
      <c r="AO22" s="47">
        <f t="shared" si="23"/>
        <v>0</v>
      </c>
      <c r="AP22" s="47">
        <f t="shared" si="24"/>
        <v>0</v>
      </c>
      <c r="AQ22" s="47">
        <f t="shared" si="25"/>
        <v>0</v>
      </c>
      <c r="AR22" s="47">
        <f t="shared" si="26"/>
        <v>0</v>
      </c>
      <c r="AS22" s="47">
        <f t="shared" si="27"/>
        <v>0</v>
      </c>
      <c r="AT22" s="47">
        <f t="shared" si="28"/>
        <v>0</v>
      </c>
      <c r="AU22" s="47">
        <f t="shared" si="29"/>
        <v>0</v>
      </c>
      <c r="AV22" s="47">
        <f t="shared" si="30"/>
        <v>0</v>
      </c>
      <c r="AW22" s="47">
        <f t="shared" si="31"/>
        <v>0</v>
      </c>
      <c r="AX22" s="47">
        <f t="shared" si="32"/>
        <v>0</v>
      </c>
      <c r="AY22" s="47">
        <f t="shared" si="33"/>
        <v>0</v>
      </c>
      <c r="AZ22" s="51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="7" customFormat="1" ht="25" customHeight="1" spans="1:251">
      <c r="A23" s="22">
        <v>18</v>
      </c>
      <c r="B23" s="23" t="str">
        <f>工资表!B21</f>
        <v>肖陶丽</v>
      </c>
      <c r="C23" s="24" t="str">
        <f>工资表!C21</f>
        <v>置业顾问</v>
      </c>
      <c r="D23" s="25" t="s">
        <v>120</v>
      </c>
      <c r="E23" s="25" t="s">
        <v>120</v>
      </c>
      <c r="F23" s="25" t="s">
        <v>120</v>
      </c>
      <c r="G23" s="25" t="s">
        <v>120</v>
      </c>
      <c r="H23" s="25" t="s">
        <v>120</v>
      </c>
      <c r="I23" s="25" t="s">
        <v>120</v>
      </c>
      <c r="J23" s="25" t="s">
        <v>120</v>
      </c>
      <c r="K23" s="25" t="s">
        <v>120</v>
      </c>
      <c r="L23" s="25" t="s">
        <v>120</v>
      </c>
      <c r="M23" s="25" t="s">
        <v>120</v>
      </c>
      <c r="N23" s="25" t="s">
        <v>120</v>
      </c>
      <c r="O23" s="25" t="s">
        <v>120</v>
      </c>
      <c r="P23" s="25" t="s">
        <v>120</v>
      </c>
      <c r="Q23" s="25" t="s">
        <v>120</v>
      </c>
      <c r="R23" s="25" t="s">
        <v>120</v>
      </c>
      <c r="S23" s="25" t="s">
        <v>120</v>
      </c>
      <c r="T23" s="25" t="s">
        <v>107</v>
      </c>
      <c r="U23" s="25" t="s">
        <v>107</v>
      </c>
      <c r="V23" s="25" t="s">
        <v>107</v>
      </c>
      <c r="W23" s="25" t="s">
        <v>107</v>
      </c>
      <c r="X23" s="25" t="s">
        <v>120</v>
      </c>
      <c r="Y23" s="25" t="s">
        <v>120</v>
      </c>
      <c r="Z23" s="25" t="s">
        <v>120</v>
      </c>
      <c r="AA23" s="25" t="s">
        <v>120</v>
      </c>
      <c r="AB23" s="25" t="s">
        <v>120</v>
      </c>
      <c r="AC23" s="25" t="s">
        <v>120</v>
      </c>
      <c r="AD23" s="25" t="s">
        <v>120</v>
      </c>
      <c r="AE23" s="25" t="s">
        <v>120</v>
      </c>
      <c r="AF23" s="25" t="s">
        <v>120</v>
      </c>
      <c r="AG23" s="25" t="s">
        <v>120</v>
      </c>
      <c r="AH23" s="25" t="s">
        <v>120</v>
      </c>
      <c r="AI23" s="22">
        <f t="shared" si="17"/>
        <v>27</v>
      </c>
      <c r="AJ23" s="22">
        <f t="shared" si="18"/>
        <v>4</v>
      </c>
      <c r="AK23" s="47">
        <f t="shared" si="19"/>
        <v>27</v>
      </c>
      <c r="AL23" s="47">
        <f t="shared" si="20"/>
        <v>0</v>
      </c>
      <c r="AM23" s="47">
        <f t="shared" si="21"/>
        <v>4</v>
      </c>
      <c r="AN23" s="47">
        <f t="shared" si="22"/>
        <v>0</v>
      </c>
      <c r="AO23" s="47">
        <f t="shared" si="23"/>
        <v>0</v>
      </c>
      <c r="AP23" s="47">
        <f t="shared" si="24"/>
        <v>0</v>
      </c>
      <c r="AQ23" s="47">
        <f t="shared" si="25"/>
        <v>0</v>
      </c>
      <c r="AR23" s="47">
        <f t="shared" si="26"/>
        <v>0</v>
      </c>
      <c r="AS23" s="47">
        <f t="shared" si="27"/>
        <v>0</v>
      </c>
      <c r="AT23" s="47">
        <f t="shared" si="28"/>
        <v>0</v>
      </c>
      <c r="AU23" s="47">
        <f t="shared" si="29"/>
        <v>0</v>
      </c>
      <c r="AV23" s="47">
        <f t="shared" si="30"/>
        <v>0</v>
      </c>
      <c r="AW23" s="47">
        <f t="shared" si="31"/>
        <v>0</v>
      </c>
      <c r="AX23" s="47">
        <f t="shared" si="32"/>
        <v>0</v>
      </c>
      <c r="AY23" s="47">
        <f t="shared" si="33"/>
        <v>0</v>
      </c>
      <c r="AZ23" s="51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="7" customFormat="1" ht="25" customHeight="1" spans="1:251">
      <c r="A24" s="22">
        <v>19</v>
      </c>
      <c r="B24" s="23" t="str">
        <f>工资表!B22</f>
        <v>李秀莲</v>
      </c>
      <c r="C24" s="24" t="str">
        <f>工资表!C22</f>
        <v>置业顾问</v>
      </c>
      <c r="D24" s="25" t="s">
        <v>120</v>
      </c>
      <c r="E24" s="25" t="s">
        <v>120</v>
      </c>
      <c r="F24" s="25" t="s">
        <v>120</v>
      </c>
      <c r="G24" s="25" t="s">
        <v>120</v>
      </c>
      <c r="H24" s="25" t="s">
        <v>120</v>
      </c>
      <c r="I24" s="25" t="s">
        <v>120</v>
      </c>
      <c r="J24" s="25" t="s">
        <v>120</v>
      </c>
      <c r="K24" s="25" t="s">
        <v>120</v>
      </c>
      <c r="L24" s="25" t="s">
        <v>120</v>
      </c>
      <c r="M24" s="25" t="s">
        <v>120</v>
      </c>
      <c r="N24" s="25" t="s">
        <v>120</v>
      </c>
      <c r="O24" s="25" t="s">
        <v>120</v>
      </c>
      <c r="P24" s="25" t="s">
        <v>120</v>
      </c>
      <c r="Q24" s="25" t="s">
        <v>120</v>
      </c>
      <c r="R24" s="25" t="s">
        <v>120</v>
      </c>
      <c r="S24" s="25" t="s">
        <v>120</v>
      </c>
      <c r="T24" s="25" t="s">
        <v>120</v>
      </c>
      <c r="U24" s="25" t="s">
        <v>120</v>
      </c>
      <c r="V24" s="25" t="s">
        <v>120</v>
      </c>
      <c r="W24" s="25" t="s">
        <v>120</v>
      </c>
      <c r="X24" s="25" t="s">
        <v>120</v>
      </c>
      <c r="Y24" s="25" t="s">
        <v>120</v>
      </c>
      <c r="Z24" s="25" t="s">
        <v>120</v>
      </c>
      <c r="AA24" s="25" t="s">
        <v>120</v>
      </c>
      <c r="AB24" s="25" t="s">
        <v>120</v>
      </c>
      <c r="AC24" s="25" t="s">
        <v>120</v>
      </c>
      <c r="AD24" s="25" t="s">
        <v>120</v>
      </c>
      <c r="AE24" s="25" t="s">
        <v>107</v>
      </c>
      <c r="AF24" s="25" t="s">
        <v>107</v>
      </c>
      <c r="AG24" s="25" t="s">
        <v>107</v>
      </c>
      <c r="AH24" s="25" t="s">
        <v>107</v>
      </c>
      <c r="AI24" s="22">
        <f t="shared" si="17"/>
        <v>27</v>
      </c>
      <c r="AJ24" s="22">
        <f t="shared" si="18"/>
        <v>4</v>
      </c>
      <c r="AK24" s="47">
        <f t="shared" si="19"/>
        <v>27</v>
      </c>
      <c r="AL24" s="47">
        <f t="shared" si="20"/>
        <v>0</v>
      </c>
      <c r="AM24" s="47">
        <f t="shared" si="21"/>
        <v>4</v>
      </c>
      <c r="AN24" s="47">
        <f t="shared" si="22"/>
        <v>0</v>
      </c>
      <c r="AO24" s="47">
        <f t="shared" si="23"/>
        <v>0</v>
      </c>
      <c r="AP24" s="47">
        <f t="shared" si="24"/>
        <v>0</v>
      </c>
      <c r="AQ24" s="47">
        <f t="shared" si="25"/>
        <v>0</v>
      </c>
      <c r="AR24" s="47">
        <f t="shared" si="26"/>
        <v>0</v>
      </c>
      <c r="AS24" s="47">
        <f t="shared" si="27"/>
        <v>0</v>
      </c>
      <c r="AT24" s="47">
        <f t="shared" si="28"/>
        <v>0</v>
      </c>
      <c r="AU24" s="47">
        <f t="shared" si="29"/>
        <v>0</v>
      </c>
      <c r="AV24" s="47">
        <f t="shared" si="30"/>
        <v>0</v>
      </c>
      <c r="AW24" s="47">
        <f t="shared" si="31"/>
        <v>0</v>
      </c>
      <c r="AX24" s="47">
        <f t="shared" si="32"/>
        <v>0</v>
      </c>
      <c r="AY24" s="47">
        <f t="shared" si="33"/>
        <v>0</v>
      </c>
      <c r="AZ24" s="51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="7" customFormat="1" ht="25" customHeight="1" spans="1:251">
      <c r="A25" s="22">
        <v>20</v>
      </c>
      <c r="B25" s="23" t="str">
        <f>工资表!B23</f>
        <v>霍苒</v>
      </c>
      <c r="C25" s="24" t="str">
        <f>工资表!C23</f>
        <v>置业顾问</v>
      </c>
      <c r="D25" s="25" t="s">
        <v>107</v>
      </c>
      <c r="E25" s="25" t="s">
        <v>107</v>
      </c>
      <c r="F25" s="25" t="s">
        <v>107</v>
      </c>
      <c r="G25" s="25" t="s">
        <v>107</v>
      </c>
      <c r="H25" s="25" t="s">
        <v>120</v>
      </c>
      <c r="I25" s="25" t="s">
        <v>120</v>
      </c>
      <c r="J25" s="25" t="s">
        <v>120</v>
      </c>
      <c r="K25" s="25" t="s">
        <v>120</v>
      </c>
      <c r="L25" s="25" t="s">
        <v>120</v>
      </c>
      <c r="M25" s="25" t="s">
        <v>120</v>
      </c>
      <c r="N25" s="25" t="s">
        <v>120</v>
      </c>
      <c r="O25" s="25" t="s">
        <v>120</v>
      </c>
      <c r="P25" s="25" t="s">
        <v>120</v>
      </c>
      <c r="Q25" s="25" t="s">
        <v>120</v>
      </c>
      <c r="R25" s="25" t="s">
        <v>120</v>
      </c>
      <c r="S25" s="25" t="s">
        <v>120</v>
      </c>
      <c r="T25" s="25" t="s">
        <v>120</v>
      </c>
      <c r="U25" s="25" t="s">
        <v>120</v>
      </c>
      <c r="V25" s="25" t="s">
        <v>120</v>
      </c>
      <c r="W25" s="25" t="s">
        <v>120</v>
      </c>
      <c r="X25" s="25" t="s">
        <v>120</v>
      </c>
      <c r="Y25" s="25" t="s">
        <v>120</v>
      </c>
      <c r="Z25" s="25" t="s">
        <v>120</v>
      </c>
      <c r="AA25" s="25" t="s">
        <v>120</v>
      </c>
      <c r="AB25" s="25" t="s">
        <v>120</v>
      </c>
      <c r="AC25" s="25" t="s">
        <v>120</v>
      </c>
      <c r="AD25" s="25" t="s">
        <v>120</v>
      </c>
      <c r="AE25" s="25" t="s">
        <v>120</v>
      </c>
      <c r="AF25" s="25" t="s">
        <v>120</v>
      </c>
      <c r="AG25" s="25" t="s">
        <v>120</v>
      </c>
      <c r="AH25" s="25" t="s">
        <v>120</v>
      </c>
      <c r="AI25" s="22">
        <f t="shared" si="17"/>
        <v>27</v>
      </c>
      <c r="AJ25" s="22">
        <f t="shared" si="18"/>
        <v>4</v>
      </c>
      <c r="AK25" s="47">
        <f t="shared" si="19"/>
        <v>27</v>
      </c>
      <c r="AL25" s="47">
        <f t="shared" si="20"/>
        <v>0</v>
      </c>
      <c r="AM25" s="47">
        <f t="shared" si="21"/>
        <v>4</v>
      </c>
      <c r="AN25" s="47">
        <f t="shared" si="22"/>
        <v>0</v>
      </c>
      <c r="AO25" s="47">
        <f t="shared" si="23"/>
        <v>0</v>
      </c>
      <c r="AP25" s="47">
        <f t="shared" si="24"/>
        <v>0</v>
      </c>
      <c r="AQ25" s="47">
        <f t="shared" si="25"/>
        <v>0</v>
      </c>
      <c r="AR25" s="47">
        <f t="shared" si="26"/>
        <v>0</v>
      </c>
      <c r="AS25" s="47">
        <f t="shared" si="27"/>
        <v>0</v>
      </c>
      <c r="AT25" s="47">
        <f t="shared" si="28"/>
        <v>0</v>
      </c>
      <c r="AU25" s="47">
        <f t="shared" si="29"/>
        <v>0</v>
      </c>
      <c r="AV25" s="47">
        <f t="shared" si="30"/>
        <v>0</v>
      </c>
      <c r="AW25" s="47">
        <f t="shared" si="31"/>
        <v>0</v>
      </c>
      <c r="AX25" s="47">
        <f t="shared" si="32"/>
        <v>0</v>
      </c>
      <c r="AY25" s="47">
        <f t="shared" si="33"/>
        <v>0</v>
      </c>
      <c r="AZ25" s="51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="7" customFormat="1" ht="25" customHeight="1" spans="1:251">
      <c r="A26" s="22">
        <v>21</v>
      </c>
      <c r="B26" s="23" t="str">
        <f>工资表!B24</f>
        <v>连阵阵</v>
      </c>
      <c r="C26" s="24" t="str">
        <f>工资表!C24</f>
        <v>置业顾问</v>
      </c>
      <c r="D26" s="25" t="s">
        <v>120</v>
      </c>
      <c r="E26" s="25" t="s">
        <v>120</v>
      </c>
      <c r="F26" s="25" t="s">
        <v>120</v>
      </c>
      <c r="G26" s="25" t="s">
        <v>120</v>
      </c>
      <c r="H26" s="25" t="s">
        <v>120</v>
      </c>
      <c r="I26" s="25" t="s">
        <v>120</v>
      </c>
      <c r="J26" s="25" t="s">
        <v>120</v>
      </c>
      <c r="K26" s="25" t="s">
        <v>120</v>
      </c>
      <c r="L26" s="25" t="s">
        <v>120</v>
      </c>
      <c r="M26" s="25" t="s">
        <v>120</v>
      </c>
      <c r="N26" s="25" t="s">
        <v>120</v>
      </c>
      <c r="O26" s="25" t="s">
        <v>107</v>
      </c>
      <c r="P26" s="25" t="s">
        <v>107</v>
      </c>
      <c r="Q26" s="25" t="s">
        <v>107</v>
      </c>
      <c r="R26" s="25" t="s">
        <v>107</v>
      </c>
      <c r="S26" s="25" t="s">
        <v>120</v>
      </c>
      <c r="T26" s="25" t="s">
        <v>120</v>
      </c>
      <c r="U26" s="25" t="s">
        <v>120</v>
      </c>
      <c r="V26" s="25" t="s">
        <v>120</v>
      </c>
      <c r="W26" s="25" t="s">
        <v>120</v>
      </c>
      <c r="X26" s="25" t="s">
        <v>120</v>
      </c>
      <c r="Y26" s="25" t="s">
        <v>120</v>
      </c>
      <c r="Z26" s="25" t="s">
        <v>120</v>
      </c>
      <c r="AA26" s="25" t="s">
        <v>120</v>
      </c>
      <c r="AB26" s="25" t="s">
        <v>120</v>
      </c>
      <c r="AC26" s="25" t="s">
        <v>120</v>
      </c>
      <c r="AD26" s="25" t="s">
        <v>120</v>
      </c>
      <c r="AE26" s="25" t="s">
        <v>120</v>
      </c>
      <c r="AF26" s="25" t="s">
        <v>120</v>
      </c>
      <c r="AG26" s="25" t="s">
        <v>120</v>
      </c>
      <c r="AH26" s="25" t="s">
        <v>120</v>
      </c>
      <c r="AI26" s="22">
        <f t="shared" si="17"/>
        <v>27</v>
      </c>
      <c r="AJ26" s="22">
        <f t="shared" si="18"/>
        <v>4</v>
      </c>
      <c r="AK26" s="47">
        <f t="shared" si="19"/>
        <v>27</v>
      </c>
      <c r="AL26" s="47">
        <f t="shared" si="20"/>
        <v>0</v>
      </c>
      <c r="AM26" s="47">
        <f t="shared" si="21"/>
        <v>4</v>
      </c>
      <c r="AN26" s="47">
        <f t="shared" si="22"/>
        <v>0</v>
      </c>
      <c r="AO26" s="47">
        <f t="shared" si="23"/>
        <v>0</v>
      </c>
      <c r="AP26" s="47">
        <f t="shared" si="24"/>
        <v>0</v>
      </c>
      <c r="AQ26" s="47">
        <f t="shared" si="25"/>
        <v>0</v>
      </c>
      <c r="AR26" s="47">
        <f t="shared" si="26"/>
        <v>0</v>
      </c>
      <c r="AS26" s="47">
        <f t="shared" si="27"/>
        <v>0</v>
      </c>
      <c r="AT26" s="47">
        <f t="shared" si="28"/>
        <v>0</v>
      </c>
      <c r="AU26" s="47">
        <f t="shared" si="29"/>
        <v>0</v>
      </c>
      <c r="AV26" s="47">
        <f t="shared" si="30"/>
        <v>0</v>
      </c>
      <c r="AW26" s="47">
        <f t="shared" si="31"/>
        <v>0</v>
      </c>
      <c r="AX26" s="47">
        <f t="shared" si="32"/>
        <v>0</v>
      </c>
      <c r="AY26" s="47">
        <f t="shared" si="33"/>
        <v>0</v>
      </c>
      <c r="AZ26" s="51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="7" customFormat="1" ht="25" customHeight="1" spans="1:251">
      <c r="A27" s="22">
        <v>22</v>
      </c>
      <c r="B27" s="23" t="str">
        <f>工资表!B25</f>
        <v>闫金秀</v>
      </c>
      <c r="C27" s="24" t="str">
        <f>工资表!C25</f>
        <v>置业顾问</v>
      </c>
      <c r="D27" s="25" t="s">
        <v>120</v>
      </c>
      <c r="E27" s="25" t="s">
        <v>120</v>
      </c>
      <c r="F27" s="25" t="s">
        <v>120</v>
      </c>
      <c r="G27" s="25" t="s">
        <v>120</v>
      </c>
      <c r="H27" s="25" t="s">
        <v>120</v>
      </c>
      <c r="I27" s="25" t="s">
        <v>120</v>
      </c>
      <c r="J27" s="25" t="s">
        <v>120</v>
      </c>
      <c r="K27" s="25" t="s">
        <v>120</v>
      </c>
      <c r="L27" s="25" t="s">
        <v>120</v>
      </c>
      <c r="M27" s="25" t="s">
        <v>120</v>
      </c>
      <c r="N27" s="25" t="s">
        <v>120</v>
      </c>
      <c r="O27" s="25" t="s">
        <v>120</v>
      </c>
      <c r="P27" s="25" t="s">
        <v>120</v>
      </c>
      <c r="Q27" s="25" t="s">
        <v>120</v>
      </c>
      <c r="R27" s="25" t="s">
        <v>120</v>
      </c>
      <c r="S27" s="25" t="s">
        <v>120</v>
      </c>
      <c r="T27" s="25" t="s">
        <v>120</v>
      </c>
      <c r="U27" s="25" t="s">
        <v>107</v>
      </c>
      <c r="V27" s="25" t="s">
        <v>107</v>
      </c>
      <c r="W27" s="25" t="s">
        <v>120</v>
      </c>
      <c r="X27" s="25" t="s">
        <v>120</v>
      </c>
      <c r="Y27" s="25" t="s">
        <v>120</v>
      </c>
      <c r="Z27" s="25" t="s">
        <v>107</v>
      </c>
      <c r="AA27" s="25" t="s">
        <v>107</v>
      </c>
      <c r="AB27" s="25" t="s">
        <v>120</v>
      </c>
      <c r="AC27" s="25" t="s">
        <v>120</v>
      </c>
      <c r="AD27" s="25" t="s">
        <v>120</v>
      </c>
      <c r="AE27" s="25" t="s">
        <v>120</v>
      </c>
      <c r="AF27" s="25" t="s">
        <v>120</v>
      </c>
      <c r="AG27" s="25" t="s">
        <v>120</v>
      </c>
      <c r="AH27" s="25" t="s">
        <v>120</v>
      </c>
      <c r="AI27" s="22">
        <f t="shared" si="17"/>
        <v>27</v>
      </c>
      <c r="AJ27" s="22">
        <f t="shared" si="18"/>
        <v>4</v>
      </c>
      <c r="AK27" s="47">
        <f t="shared" si="19"/>
        <v>27</v>
      </c>
      <c r="AL27" s="47">
        <f t="shared" si="20"/>
        <v>0</v>
      </c>
      <c r="AM27" s="47">
        <f t="shared" si="21"/>
        <v>4</v>
      </c>
      <c r="AN27" s="47">
        <f t="shared" si="22"/>
        <v>0</v>
      </c>
      <c r="AO27" s="47">
        <f t="shared" si="23"/>
        <v>0</v>
      </c>
      <c r="AP27" s="47">
        <f t="shared" si="24"/>
        <v>0</v>
      </c>
      <c r="AQ27" s="47">
        <f t="shared" si="25"/>
        <v>0</v>
      </c>
      <c r="AR27" s="47">
        <f t="shared" si="26"/>
        <v>0</v>
      </c>
      <c r="AS27" s="47">
        <f t="shared" si="27"/>
        <v>0</v>
      </c>
      <c r="AT27" s="47">
        <f t="shared" si="28"/>
        <v>0</v>
      </c>
      <c r="AU27" s="47">
        <f t="shared" si="29"/>
        <v>0</v>
      </c>
      <c r="AV27" s="47">
        <f t="shared" si="30"/>
        <v>0</v>
      </c>
      <c r="AW27" s="47">
        <f t="shared" si="31"/>
        <v>0</v>
      </c>
      <c r="AX27" s="47">
        <f t="shared" si="32"/>
        <v>0</v>
      </c>
      <c r="AY27" s="47">
        <f t="shared" si="33"/>
        <v>0</v>
      </c>
      <c r="AZ27" s="51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="7" customFormat="1" ht="25" customHeight="1" spans="1:251">
      <c r="A28" s="22">
        <v>23</v>
      </c>
      <c r="B28" s="23" t="str">
        <f>工资表!B26</f>
        <v>潘亦玹</v>
      </c>
      <c r="C28" s="24" t="str">
        <f>工资表!C26</f>
        <v>置业顾问</v>
      </c>
      <c r="D28" s="25" t="s">
        <v>107</v>
      </c>
      <c r="E28" s="25" t="s">
        <v>107</v>
      </c>
      <c r="F28" s="25" t="s">
        <v>107</v>
      </c>
      <c r="G28" s="25" t="s">
        <v>107</v>
      </c>
      <c r="H28" s="25" t="s">
        <v>120</v>
      </c>
      <c r="I28" s="25" t="s">
        <v>120</v>
      </c>
      <c r="J28" s="25" t="s">
        <v>120</v>
      </c>
      <c r="K28" s="25" t="s">
        <v>120</v>
      </c>
      <c r="L28" s="25" t="s">
        <v>120</v>
      </c>
      <c r="M28" s="25" t="s">
        <v>120</v>
      </c>
      <c r="N28" s="25" t="s">
        <v>120</v>
      </c>
      <c r="O28" s="25" t="s">
        <v>120</v>
      </c>
      <c r="P28" s="25" t="s">
        <v>120</v>
      </c>
      <c r="Q28" s="25" t="s">
        <v>120</v>
      </c>
      <c r="R28" s="25" t="s">
        <v>120</v>
      </c>
      <c r="S28" s="25" t="s">
        <v>120</v>
      </c>
      <c r="T28" s="25" t="s">
        <v>120</v>
      </c>
      <c r="U28" s="25" t="s">
        <v>120</v>
      </c>
      <c r="V28" s="25" t="s">
        <v>120</v>
      </c>
      <c r="W28" s="25" t="s">
        <v>120</v>
      </c>
      <c r="X28" s="25" t="s">
        <v>120</v>
      </c>
      <c r="Y28" s="25" t="s">
        <v>120</v>
      </c>
      <c r="Z28" s="25" t="s">
        <v>120</v>
      </c>
      <c r="AA28" s="25" t="s">
        <v>120</v>
      </c>
      <c r="AB28" s="25" t="s">
        <v>120</v>
      </c>
      <c r="AC28" s="25" t="s">
        <v>120</v>
      </c>
      <c r="AD28" s="25" t="s">
        <v>120</v>
      </c>
      <c r="AE28" s="25" t="s">
        <v>120</v>
      </c>
      <c r="AF28" s="25" t="s">
        <v>120</v>
      </c>
      <c r="AG28" s="25" t="s">
        <v>120</v>
      </c>
      <c r="AH28" s="25" t="s">
        <v>120</v>
      </c>
      <c r="AI28" s="22">
        <f t="shared" si="17"/>
        <v>27</v>
      </c>
      <c r="AJ28" s="22">
        <f t="shared" si="18"/>
        <v>4</v>
      </c>
      <c r="AK28" s="47">
        <f t="shared" si="19"/>
        <v>27</v>
      </c>
      <c r="AL28" s="47">
        <f t="shared" si="20"/>
        <v>0</v>
      </c>
      <c r="AM28" s="47">
        <f t="shared" si="21"/>
        <v>4</v>
      </c>
      <c r="AN28" s="47">
        <f t="shared" si="22"/>
        <v>0</v>
      </c>
      <c r="AO28" s="47">
        <f t="shared" si="23"/>
        <v>0</v>
      </c>
      <c r="AP28" s="47">
        <f t="shared" si="24"/>
        <v>0</v>
      </c>
      <c r="AQ28" s="47">
        <f t="shared" si="25"/>
        <v>0</v>
      </c>
      <c r="AR28" s="47">
        <f t="shared" si="26"/>
        <v>0</v>
      </c>
      <c r="AS28" s="47">
        <f t="shared" si="27"/>
        <v>0</v>
      </c>
      <c r="AT28" s="47">
        <f t="shared" si="28"/>
        <v>0</v>
      </c>
      <c r="AU28" s="47">
        <f t="shared" si="29"/>
        <v>0</v>
      </c>
      <c r="AV28" s="47">
        <f t="shared" si="30"/>
        <v>0</v>
      </c>
      <c r="AW28" s="47">
        <f t="shared" si="31"/>
        <v>0</v>
      </c>
      <c r="AX28" s="47">
        <f t="shared" si="32"/>
        <v>0</v>
      </c>
      <c r="AY28" s="47">
        <f t="shared" si="33"/>
        <v>0</v>
      </c>
      <c r="AZ28" s="51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</row>
    <row r="29" s="7" customFormat="1" ht="25" customHeight="1" spans="1:251">
      <c r="A29" s="22">
        <v>24</v>
      </c>
      <c r="B29" s="23" t="str">
        <f>工资表!B27</f>
        <v>赵江龙</v>
      </c>
      <c r="C29" s="24" t="str">
        <f>工资表!C27</f>
        <v>置业顾问</v>
      </c>
      <c r="D29" s="25" t="s">
        <v>120</v>
      </c>
      <c r="E29" s="25" t="s">
        <v>120</v>
      </c>
      <c r="F29" s="25" t="s">
        <v>107</v>
      </c>
      <c r="G29" s="25" t="s">
        <v>120</v>
      </c>
      <c r="H29" s="25" t="s">
        <v>120</v>
      </c>
      <c r="I29" s="25" t="s">
        <v>120</v>
      </c>
      <c r="J29" s="25" t="s">
        <v>120</v>
      </c>
      <c r="K29" s="25" t="s">
        <v>120</v>
      </c>
      <c r="L29" s="25" t="s">
        <v>120</v>
      </c>
      <c r="M29" s="25" t="s">
        <v>120</v>
      </c>
      <c r="N29" s="25" t="s">
        <v>120</v>
      </c>
      <c r="O29" s="25" t="s">
        <v>120</v>
      </c>
      <c r="P29" s="25" t="s">
        <v>120</v>
      </c>
      <c r="Q29" s="25" t="s">
        <v>120</v>
      </c>
      <c r="R29" s="25" t="s">
        <v>107</v>
      </c>
      <c r="S29" s="25" t="s">
        <v>107</v>
      </c>
      <c r="T29" s="25" t="s">
        <v>107</v>
      </c>
      <c r="U29" s="25" t="s">
        <v>120</v>
      </c>
      <c r="V29" s="25" t="s">
        <v>120</v>
      </c>
      <c r="W29" s="25" t="s">
        <v>120</v>
      </c>
      <c r="X29" s="25" t="s">
        <v>120</v>
      </c>
      <c r="Y29" s="25" t="s">
        <v>120</v>
      </c>
      <c r="Z29" s="25" t="s">
        <v>120</v>
      </c>
      <c r="AA29" s="25" t="s">
        <v>120</v>
      </c>
      <c r="AB29" s="25" t="s">
        <v>120</v>
      </c>
      <c r="AC29" s="25" t="s">
        <v>120</v>
      </c>
      <c r="AD29" s="25" t="s">
        <v>120</v>
      </c>
      <c r="AE29" s="25" t="s">
        <v>120</v>
      </c>
      <c r="AF29" s="25" t="s">
        <v>120</v>
      </c>
      <c r="AG29" s="25" t="s">
        <v>120</v>
      </c>
      <c r="AH29" s="25" t="s">
        <v>120</v>
      </c>
      <c r="AI29" s="22">
        <f t="shared" si="17"/>
        <v>27</v>
      </c>
      <c r="AJ29" s="22">
        <f t="shared" si="18"/>
        <v>4</v>
      </c>
      <c r="AK29" s="47">
        <f t="shared" si="19"/>
        <v>27</v>
      </c>
      <c r="AL29" s="47">
        <f t="shared" si="20"/>
        <v>0</v>
      </c>
      <c r="AM29" s="47">
        <f t="shared" si="21"/>
        <v>4</v>
      </c>
      <c r="AN29" s="47">
        <f t="shared" si="22"/>
        <v>0</v>
      </c>
      <c r="AO29" s="47">
        <f t="shared" si="23"/>
        <v>0</v>
      </c>
      <c r="AP29" s="47">
        <f t="shared" si="24"/>
        <v>0</v>
      </c>
      <c r="AQ29" s="47">
        <f t="shared" si="25"/>
        <v>0</v>
      </c>
      <c r="AR29" s="47">
        <f t="shared" si="26"/>
        <v>0</v>
      </c>
      <c r="AS29" s="47">
        <f t="shared" si="27"/>
        <v>0</v>
      </c>
      <c r="AT29" s="47">
        <f t="shared" si="28"/>
        <v>0</v>
      </c>
      <c r="AU29" s="47">
        <f t="shared" si="29"/>
        <v>0</v>
      </c>
      <c r="AV29" s="47">
        <f t="shared" si="30"/>
        <v>0</v>
      </c>
      <c r="AW29" s="47">
        <f t="shared" si="31"/>
        <v>0</v>
      </c>
      <c r="AX29" s="47">
        <f t="shared" si="32"/>
        <v>0</v>
      </c>
      <c r="AY29" s="47">
        <f t="shared" si="33"/>
        <v>0</v>
      </c>
      <c r="AZ29" s="51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</row>
    <row r="30" s="7" customFormat="1" ht="25" customHeight="1" spans="1:251">
      <c r="A30" s="22">
        <v>25</v>
      </c>
      <c r="B30" s="23" t="str">
        <f>工资表!B28</f>
        <v>张新艳</v>
      </c>
      <c r="C30" s="24" t="str">
        <f>工资表!C28</f>
        <v>置业顾问</v>
      </c>
      <c r="D30" s="25" t="s">
        <v>120</v>
      </c>
      <c r="E30" s="25" t="s">
        <v>120</v>
      </c>
      <c r="F30" s="25" t="s">
        <v>120</v>
      </c>
      <c r="G30" s="25" t="s">
        <v>120</v>
      </c>
      <c r="H30" s="25" t="s">
        <v>107</v>
      </c>
      <c r="I30" s="25" t="s">
        <v>120</v>
      </c>
      <c r="J30" s="25" t="s">
        <v>120</v>
      </c>
      <c r="K30" s="25" t="s">
        <v>120</v>
      </c>
      <c r="L30" s="25" t="s">
        <v>120</v>
      </c>
      <c r="M30" s="25" t="s">
        <v>120</v>
      </c>
      <c r="N30" s="25" t="s">
        <v>120</v>
      </c>
      <c r="O30" s="25" t="s">
        <v>107</v>
      </c>
      <c r="P30" s="25" t="s">
        <v>120</v>
      </c>
      <c r="Q30" s="25" t="s">
        <v>120</v>
      </c>
      <c r="R30" s="25" t="s">
        <v>120</v>
      </c>
      <c r="S30" s="25" t="s">
        <v>120</v>
      </c>
      <c r="T30" s="25" t="s">
        <v>120</v>
      </c>
      <c r="U30" s="25" t="s">
        <v>120</v>
      </c>
      <c r="V30" s="25" t="s">
        <v>107</v>
      </c>
      <c r="W30" s="25" t="s">
        <v>120</v>
      </c>
      <c r="X30" s="25" t="s">
        <v>120</v>
      </c>
      <c r="Y30" s="25" t="s">
        <v>120</v>
      </c>
      <c r="Z30" s="25" t="s">
        <v>120</v>
      </c>
      <c r="AA30" s="25" t="s">
        <v>120</v>
      </c>
      <c r="AB30" s="25" t="s">
        <v>107</v>
      </c>
      <c r="AC30" s="25" t="s">
        <v>120</v>
      </c>
      <c r="AD30" s="25" t="s">
        <v>120</v>
      </c>
      <c r="AE30" s="25" t="s">
        <v>120</v>
      </c>
      <c r="AF30" s="25" t="s">
        <v>120</v>
      </c>
      <c r="AG30" s="25" t="s">
        <v>120</v>
      </c>
      <c r="AH30" s="25" t="s">
        <v>120</v>
      </c>
      <c r="AI30" s="22">
        <f t="shared" si="17"/>
        <v>27</v>
      </c>
      <c r="AJ30" s="22">
        <f t="shared" si="18"/>
        <v>4</v>
      </c>
      <c r="AK30" s="47">
        <f t="shared" si="19"/>
        <v>27</v>
      </c>
      <c r="AL30" s="47">
        <f t="shared" si="20"/>
        <v>0</v>
      </c>
      <c r="AM30" s="47">
        <f t="shared" si="21"/>
        <v>4</v>
      </c>
      <c r="AN30" s="47">
        <f t="shared" si="22"/>
        <v>0</v>
      </c>
      <c r="AO30" s="47">
        <f t="shared" si="23"/>
        <v>0</v>
      </c>
      <c r="AP30" s="47">
        <f t="shared" si="24"/>
        <v>0</v>
      </c>
      <c r="AQ30" s="47">
        <f t="shared" si="25"/>
        <v>0</v>
      </c>
      <c r="AR30" s="47">
        <f t="shared" si="26"/>
        <v>0</v>
      </c>
      <c r="AS30" s="47">
        <f t="shared" si="27"/>
        <v>0</v>
      </c>
      <c r="AT30" s="47">
        <f t="shared" si="28"/>
        <v>0</v>
      </c>
      <c r="AU30" s="47">
        <f t="shared" si="29"/>
        <v>0</v>
      </c>
      <c r="AV30" s="47">
        <f t="shared" si="30"/>
        <v>0</v>
      </c>
      <c r="AW30" s="47">
        <f t="shared" si="31"/>
        <v>0</v>
      </c>
      <c r="AX30" s="47">
        <f t="shared" si="32"/>
        <v>0</v>
      </c>
      <c r="AY30" s="47">
        <f t="shared" si="33"/>
        <v>0</v>
      </c>
      <c r="AZ30" s="51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</row>
    <row r="31" s="7" customFormat="1" ht="25" customHeight="1" spans="1:251">
      <c r="A31" s="22">
        <v>26</v>
      </c>
      <c r="B31" s="23" t="str">
        <f>工资表!B29</f>
        <v>刘宁宁</v>
      </c>
      <c r="C31" s="24" t="str">
        <f>工资表!C29</f>
        <v>置业顾问</v>
      </c>
      <c r="D31" s="25" t="s">
        <v>120</v>
      </c>
      <c r="E31" s="25" t="s">
        <v>120</v>
      </c>
      <c r="F31" s="25" t="s">
        <v>120</v>
      </c>
      <c r="G31" s="25" t="s">
        <v>120</v>
      </c>
      <c r="H31" s="25" t="s">
        <v>120</v>
      </c>
      <c r="I31" s="25" t="s">
        <v>120</v>
      </c>
      <c r="J31" s="25" t="s">
        <v>120</v>
      </c>
      <c r="K31" s="25" t="s">
        <v>120</v>
      </c>
      <c r="L31" s="25" t="s">
        <v>120</v>
      </c>
      <c r="M31" s="25" t="s">
        <v>120</v>
      </c>
      <c r="N31" s="25" t="s">
        <v>120</v>
      </c>
      <c r="O31" s="25" t="s">
        <v>120</v>
      </c>
      <c r="P31" s="25" t="s">
        <v>120</v>
      </c>
      <c r="Q31" s="25" t="s">
        <v>120</v>
      </c>
      <c r="R31" s="25" t="s">
        <v>120</v>
      </c>
      <c r="S31" s="25" t="s">
        <v>120</v>
      </c>
      <c r="T31" s="25" t="s">
        <v>107</v>
      </c>
      <c r="U31" s="25" t="s">
        <v>120</v>
      </c>
      <c r="V31" s="25" t="s">
        <v>120</v>
      </c>
      <c r="W31" s="25" t="s">
        <v>120</v>
      </c>
      <c r="X31" s="25" t="s">
        <v>120</v>
      </c>
      <c r="Y31" s="25" t="s">
        <v>120</v>
      </c>
      <c r="Z31" s="25" t="s">
        <v>120</v>
      </c>
      <c r="AA31" s="25" t="s">
        <v>120</v>
      </c>
      <c r="AB31" s="25" t="s">
        <v>120</v>
      </c>
      <c r="AC31" s="25" t="s">
        <v>120</v>
      </c>
      <c r="AD31" s="25" t="s">
        <v>120</v>
      </c>
      <c r="AE31" s="25" t="s">
        <v>120</v>
      </c>
      <c r="AF31" s="25" t="s">
        <v>107</v>
      </c>
      <c r="AG31" s="25" t="s">
        <v>107</v>
      </c>
      <c r="AH31" s="25" t="s">
        <v>107</v>
      </c>
      <c r="AI31" s="22">
        <f t="shared" si="17"/>
        <v>27</v>
      </c>
      <c r="AJ31" s="22">
        <f t="shared" si="18"/>
        <v>4</v>
      </c>
      <c r="AK31" s="47">
        <f t="shared" si="19"/>
        <v>27</v>
      </c>
      <c r="AL31" s="47">
        <f t="shared" si="20"/>
        <v>0</v>
      </c>
      <c r="AM31" s="47">
        <f t="shared" si="21"/>
        <v>4</v>
      </c>
      <c r="AN31" s="47">
        <f t="shared" si="22"/>
        <v>0</v>
      </c>
      <c r="AO31" s="47">
        <f t="shared" si="23"/>
        <v>0</v>
      </c>
      <c r="AP31" s="47">
        <f t="shared" si="24"/>
        <v>0</v>
      </c>
      <c r="AQ31" s="47">
        <f t="shared" si="25"/>
        <v>0</v>
      </c>
      <c r="AR31" s="47">
        <f t="shared" si="26"/>
        <v>0</v>
      </c>
      <c r="AS31" s="47">
        <f t="shared" si="27"/>
        <v>0</v>
      </c>
      <c r="AT31" s="47">
        <f t="shared" si="28"/>
        <v>0</v>
      </c>
      <c r="AU31" s="47">
        <f t="shared" si="29"/>
        <v>0</v>
      </c>
      <c r="AV31" s="47">
        <f t="shared" si="30"/>
        <v>0</v>
      </c>
      <c r="AW31" s="47">
        <f t="shared" si="31"/>
        <v>0</v>
      </c>
      <c r="AX31" s="47">
        <f t="shared" si="32"/>
        <v>0</v>
      </c>
      <c r="AY31" s="47">
        <f t="shared" si="33"/>
        <v>0</v>
      </c>
      <c r="AZ31" s="51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</row>
    <row r="32" s="7" customFormat="1" ht="25" customHeight="1" spans="1:251">
      <c r="A32" s="22">
        <v>27</v>
      </c>
      <c r="B32" s="23" t="str">
        <f>工资表!B30</f>
        <v>米云鹤</v>
      </c>
      <c r="C32" s="24" t="str">
        <f>工资表!C30</f>
        <v>置业顾问</v>
      </c>
      <c r="D32" s="25" t="s">
        <v>107</v>
      </c>
      <c r="E32" s="25" t="s">
        <v>107</v>
      </c>
      <c r="F32" s="25" t="s">
        <v>107</v>
      </c>
      <c r="G32" s="25" t="s">
        <v>107</v>
      </c>
      <c r="H32" s="25" t="s">
        <v>109</v>
      </c>
      <c r="I32" s="25" t="s">
        <v>120</v>
      </c>
      <c r="J32" s="25" t="s">
        <v>120</v>
      </c>
      <c r="K32" s="25" t="s">
        <v>109</v>
      </c>
      <c r="L32" s="25" t="s">
        <v>109</v>
      </c>
      <c r="M32" s="25" t="s">
        <v>120</v>
      </c>
      <c r="N32" s="25" t="s">
        <v>120</v>
      </c>
      <c r="O32" s="25" t="s">
        <v>120</v>
      </c>
      <c r="P32" s="25" t="s">
        <v>120</v>
      </c>
      <c r="Q32" s="25" t="s">
        <v>120</v>
      </c>
      <c r="R32" s="25" t="s">
        <v>120</v>
      </c>
      <c r="S32" s="25" t="s">
        <v>120</v>
      </c>
      <c r="T32" s="25" t="s">
        <v>120</v>
      </c>
      <c r="U32" s="25" t="s">
        <v>120</v>
      </c>
      <c r="V32" s="25" t="s">
        <v>120</v>
      </c>
      <c r="W32" s="25" t="s">
        <v>120</v>
      </c>
      <c r="X32" s="25" t="s">
        <v>120</v>
      </c>
      <c r="Y32" s="25" t="s">
        <v>120</v>
      </c>
      <c r="Z32" s="25" t="s">
        <v>120</v>
      </c>
      <c r="AA32" s="25" t="s">
        <v>120</v>
      </c>
      <c r="AB32" s="25" t="s">
        <v>120</v>
      </c>
      <c r="AC32" s="25" t="s">
        <v>120</v>
      </c>
      <c r="AD32" s="25" t="s">
        <v>120</v>
      </c>
      <c r="AE32" s="25" t="s">
        <v>120</v>
      </c>
      <c r="AF32" s="25" t="s">
        <v>120</v>
      </c>
      <c r="AG32" s="25" t="s">
        <v>120</v>
      </c>
      <c r="AH32" s="25" t="s">
        <v>120</v>
      </c>
      <c r="AI32" s="22">
        <f t="shared" si="17"/>
        <v>24</v>
      </c>
      <c r="AJ32" s="22">
        <f t="shared" si="18"/>
        <v>4</v>
      </c>
      <c r="AK32" s="47">
        <f t="shared" si="19"/>
        <v>24</v>
      </c>
      <c r="AL32" s="47">
        <f t="shared" si="20"/>
        <v>0</v>
      </c>
      <c r="AM32" s="47">
        <f t="shared" si="21"/>
        <v>4</v>
      </c>
      <c r="AN32" s="47">
        <f t="shared" si="22"/>
        <v>0</v>
      </c>
      <c r="AO32" s="47">
        <f t="shared" si="23"/>
        <v>3</v>
      </c>
      <c r="AP32" s="47">
        <f t="shared" si="24"/>
        <v>0</v>
      </c>
      <c r="AQ32" s="47">
        <f t="shared" si="25"/>
        <v>0</v>
      </c>
      <c r="AR32" s="47">
        <f t="shared" si="26"/>
        <v>0</v>
      </c>
      <c r="AS32" s="47">
        <f t="shared" si="27"/>
        <v>0</v>
      </c>
      <c r="AT32" s="47">
        <f t="shared" si="28"/>
        <v>0</v>
      </c>
      <c r="AU32" s="47">
        <f t="shared" si="29"/>
        <v>0</v>
      </c>
      <c r="AV32" s="47">
        <f t="shared" si="30"/>
        <v>0</v>
      </c>
      <c r="AW32" s="47">
        <f t="shared" si="31"/>
        <v>0</v>
      </c>
      <c r="AX32" s="47">
        <f t="shared" si="32"/>
        <v>0</v>
      </c>
      <c r="AY32" s="47">
        <f t="shared" si="33"/>
        <v>0</v>
      </c>
      <c r="AZ32" s="51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</row>
    <row r="33" s="7" customFormat="1" ht="25" customHeight="1" spans="1:251">
      <c r="A33" s="22">
        <v>28</v>
      </c>
      <c r="B33" s="23" t="str">
        <f>工资表!B31</f>
        <v>刘思汉</v>
      </c>
      <c r="C33" s="24" t="str">
        <f>工资表!C31</f>
        <v>置业顾问</v>
      </c>
      <c r="D33" s="25" t="s">
        <v>120</v>
      </c>
      <c r="E33" s="25" t="s">
        <v>120</v>
      </c>
      <c r="F33" s="25" t="s">
        <v>120</v>
      </c>
      <c r="G33" s="25" t="s">
        <v>120</v>
      </c>
      <c r="H33" s="25" t="s">
        <v>120</v>
      </c>
      <c r="I33" s="25" t="s">
        <v>120</v>
      </c>
      <c r="J33" s="25" t="s">
        <v>107</v>
      </c>
      <c r="K33" s="25" t="s">
        <v>120</v>
      </c>
      <c r="L33" s="25" t="s">
        <v>120</v>
      </c>
      <c r="M33" s="25" t="s">
        <v>120</v>
      </c>
      <c r="N33" s="25" t="s">
        <v>120</v>
      </c>
      <c r="O33" s="25" t="s">
        <v>120</v>
      </c>
      <c r="P33" s="25" t="s">
        <v>120</v>
      </c>
      <c r="Q33" s="25" t="s">
        <v>107</v>
      </c>
      <c r="R33" s="25" t="s">
        <v>120</v>
      </c>
      <c r="S33" s="25" t="s">
        <v>120</v>
      </c>
      <c r="T33" s="25" t="s">
        <v>120</v>
      </c>
      <c r="U33" s="25" t="s">
        <v>120</v>
      </c>
      <c r="V33" s="25" t="s">
        <v>120</v>
      </c>
      <c r="W33" s="25" t="s">
        <v>120</v>
      </c>
      <c r="X33" s="25" t="s">
        <v>120</v>
      </c>
      <c r="Y33" s="25" t="s">
        <v>120</v>
      </c>
      <c r="Z33" s="25" t="s">
        <v>107</v>
      </c>
      <c r="AA33" s="25" t="s">
        <v>120</v>
      </c>
      <c r="AB33" s="25" t="s">
        <v>120</v>
      </c>
      <c r="AC33" s="25" t="s">
        <v>120</v>
      </c>
      <c r="AD33" s="25" t="s">
        <v>120</v>
      </c>
      <c r="AE33" s="25" t="s">
        <v>120</v>
      </c>
      <c r="AF33" s="25" t="s">
        <v>107</v>
      </c>
      <c r="AG33" s="25" t="s">
        <v>120</v>
      </c>
      <c r="AH33" s="25" t="s">
        <v>120</v>
      </c>
      <c r="AI33" s="22">
        <f t="shared" si="17"/>
        <v>27</v>
      </c>
      <c r="AJ33" s="22">
        <f t="shared" si="18"/>
        <v>4</v>
      </c>
      <c r="AK33" s="47">
        <f t="shared" si="19"/>
        <v>27</v>
      </c>
      <c r="AL33" s="47">
        <f t="shared" si="20"/>
        <v>0</v>
      </c>
      <c r="AM33" s="47">
        <f t="shared" si="21"/>
        <v>4</v>
      </c>
      <c r="AN33" s="47">
        <f t="shared" si="22"/>
        <v>0</v>
      </c>
      <c r="AO33" s="47">
        <f t="shared" si="23"/>
        <v>0</v>
      </c>
      <c r="AP33" s="47">
        <f t="shared" si="24"/>
        <v>0</v>
      </c>
      <c r="AQ33" s="47">
        <f t="shared" si="25"/>
        <v>0</v>
      </c>
      <c r="AR33" s="47">
        <f t="shared" si="26"/>
        <v>0</v>
      </c>
      <c r="AS33" s="47">
        <f t="shared" si="27"/>
        <v>0</v>
      </c>
      <c r="AT33" s="47">
        <f t="shared" si="28"/>
        <v>0</v>
      </c>
      <c r="AU33" s="47">
        <f t="shared" si="29"/>
        <v>0</v>
      </c>
      <c r="AV33" s="47">
        <f t="shared" si="30"/>
        <v>0</v>
      </c>
      <c r="AW33" s="47">
        <f t="shared" si="31"/>
        <v>0</v>
      </c>
      <c r="AX33" s="47">
        <f t="shared" si="32"/>
        <v>0</v>
      </c>
      <c r="AY33" s="47">
        <f t="shared" si="33"/>
        <v>0</v>
      </c>
      <c r="AZ33" s="51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 s="7" customFormat="1" ht="25" customHeight="1" spans="1:251">
      <c r="A34" s="22">
        <v>29</v>
      </c>
      <c r="B34" s="23" t="str">
        <f>工资表!B32</f>
        <v>李福晴</v>
      </c>
      <c r="C34" s="24" t="str">
        <f>工资表!C32</f>
        <v>置业顾问</v>
      </c>
      <c r="D34" s="25" t="s">
        <v>120</v>
      </c>
      <c r="E34" s="25" t="s">
        <v>120</v>
      </c>
      <c r="F34" s="25" t="s">
        <v>107</v>
      </c>
      <c r="G34" s="25" t="s">
        <v>120</v>
      </c>
      <c r="H34" s="25" t="s">
        <v>120</v>
      </c>
      <c r="I34" s="25" t="s">
        <v>120</v>
      </c>
      <c r="J34" s="25" t="s">
        <v>120</v>
      </c>
      <c r="K34" s="25" t="s">
        <v>120</v>
      </c>
      <c r="L34" s="25" t="s">
        <v>120</v>
      </c>
      <c r="M34" s="25" t="s">
        <v>120</v>
      </c>
      <c r="N34" s="25" t="s">
        <v>120</v>
      </c>
      <c r="O34" s="25" t="s">
        <v>107</v>
      </c>
      <c r="P34" s="25" t="s">
        <v>120</v>
      </c>
      <c r="Q34" s="25" t="s">
        <v>120</v>
      </c>
      <c r="R34" s="25" t="s">
        <v>120</v>
      </c>
      <c r="S34" s="25" t="s">
        <v>120</v>
      </c>
      <c r="T34" s="25" t="s">
        <v>120</v>
      </c>
      <c r="U34" s="25" t="s">
        <v>120</v>
      </c>
      <c r="V34" s="25" t="s">
        <v>107</v>
      </c>
      <c r="W34" s="25" t="s">
        <v>120</v>
      </c>
      <c r="X34" s="25" t="s">
        <v>120</v>
      </c>
      <c r="Y34" s="25" t="s">
        <v>120</v>
      </c>
      <c r="Z34" s="25" t="s">
        <v>120</v>
      </c>
      <c r="AA34" s="25" t="s">
        <v>120</v>
      </c>
      <c r="AB34" s="25" t="s">
        <v>120</v>
      </c>
      <c r="AC34" s="25" t="s">
        <v>120</v>
      </c>
      <c r="AD34" s="25" t="s">
        <v>107</v>
      </c>
      <c r="AE34" s="25" t="s">
        <v>120</v>
      </c>
      <c r="AF34" s="25" t="s">
        <v>120</v>
      </c>
      <c r="AG34" s="25" t="s">
        <v>120</v>
      </c>
      <c r="AH34" s="25" t="s">
        <v>120</v>
      </c>
      <c r="AI34" s="22">
        <f t="shared" si="17"/>
        <v>27</v>
      </c>
      <c r="AJ34" s="22">
        <f t="shared" si="18"/>
        <v>4</v>
      </c>
      <c r="AK34" s="47">
        <f t="shared" si="19"/>
        <v>27</v>
      </c>
      <c r="AL34" s="47">
        <f t="shared" si="20"/>
        <v>0</v>
      </c>
      <c r="AM34" s="47">
        <f t="shared" si="21"/>
        <v>4</v>
      </c>
      <c r="AN34" s="47">
        <f t="shared" si="22"/>
        <v>0</v>
      </c>
      <c r="AO34" s="47">
        <f t="shared" si="23"/>
        <v>0</v>
      </c>
      <c r="AP34" s="47">
        <f t="shared" si="24"/>
        <v>0</v>
      </c>
      <c r="AQ34" s="47">
        <f t="shared" si="25"/>
        <v>0</v>
      </c>
      <c r="AR34" s="47">
        <f t="shared" si="26"/>
        <v>0</v>
      </c>
      <c r="AS34" s="47">
        <f t="shared" si="27"/>
        <v>0</v>
      </c>
      <c r="AT34" s="47">
        <f t="shared" si="28"/>
        <v>0</v>
      </c>
      <c r="AU34" s="47">
        <f t="shared" si="29"/>
        <v>0</v>
      </c>
      <c r="AV34" s="47">
        <f t="shared" si="30"/>
        <v>0</v>
      </c>
      <c r="AW34" s="47">
        <f t="shared" si="31"/>
        <v>0</v>
      </c>
      <c r="AX34" s="47">
        <f t="shared" si="32"/>
        <v>0</v>
      </c>
      <c r="AY34" s="47">
        <f t="shared" si="33"/>
        <v>0</v>
      </c>
      <c r="AZ34" s="51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</row>
    <row r="35" s="7" customFormat="1" ht="32" customHeight="1" spans="1:251">
      <c r="A35" s="26"/>
      <c r="B35" s="27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6"/>
      <c r="AJ35" s="26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52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</row>
    <row r="36" s="7" customFormat="1" ht="20" customHeight="1" spans="1:251">
      <c r="A36" s="6"/>
      <c r="B36" s="30" t="s">
        <v>91</v>
      </c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48"/>
      <c r="AJ36" s="49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53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</row>
    <row r="37" ht="24" customHeight="1" spans="4:35">
      <c r="D37" s="6"/>
      <c r="E37" s="6" t="s">
        <v>93</v>
      </c>
      <c r="K37" s="6"/>
      <c r="L37" s="6"/>
      <c r="M37" s="6"/>
      <c r="N37" s="6"/>
      <c r="R37" s="6"/>
      <c r="S37" s="6"/>
      <c r="U37" s="37"/>
      <c r="V37" s="37" t="s">
        <v>95</v>
      </c>
      <c r="Y37" s="6"/>
      <c r="Z37" s="6"/>
      <c r="AF37" s="6"/>
      <c r="AG37" s="6"/>
      <c r="AI37" s="6" t="s">
        <v>96</v>
      </c>
    </row>
    <row r="38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2"/>
  <sheetViews>
    <sheetView zoomScale="70" zoomScaleNormal="70" workbookViewId="0">
      <selection activeCell="J7" sqref="J7"/>
    </sheetView>
  </sheetViews>
  <sheetFormatPr defaultColWidth="9" defaultRowHeight="30" customHeight="1" outlineLevelCol="6"/>
  <cols>
    <col min="1" max="2" width="9" style="1"/>
    <col min="3" max="3" width="12.8715596330275" style="1" customWidth="1"/>
    <col min="4" max="4" width="17.6238532110092" style="1" customWidth="1"/>
    <col min="5" max="5" width="18.5045871559633" style="1" customWidth="1"/>
    <col min="6" max="6" width="12.6238532110092" style="1"/>
    <col min="7" max="7" width="21.5963302752294" style="1" customWidth="1"/>
    <col min="8" max="16384" width="9" style="1"/>
  </cols>
  <sheetData>
    <row r="2" customHeight="1" spans="1:6">
      <c r="A2" s="1" t="s">
        <v>31</v>
      </c>
      <c r="B2" s="1" t="s">
        <v>32</v>
      </c>
      <c r="C2" s="1" t="s">
        <v>21</v>
      </c>
      <c r="D2" s="1" t="s">
        <v>8</v>
      </c>
      <c r="E2" s="1" t="s">
        <v>121</v>
      </c>
      <c r="F2" s="1" t="s">
        <v>122</v>
      </c>
    </row>
    <row r="3" customHeight="1" spans="1:6">
      <c r="A3" s="1">
        <v>1</v>
      </c>
      <c r="B3" s="1" t="s">
        <v>36</v>
      </c>
      <c r="C3" s="1">
        <f>工资表!R4</f>
        <v>23</v>
      </c>
      <c r="D3" s="5">
        <f>(VLOOKUP(B3,工资表!B4:G14,6,0)+VLOOKUP(B3,工资表!B4:H14,7,0))/工资表!F4*VLOOKUP(B3,考勤!B6:AI16,34,0)</f>
        <v>25500</v>
      </c>
      <c r="E3" s="5">
        <f>VLOOKUP(B3,工资表!B4:S14,18,0)</f>
        <v>23327</v>
      </c>
      <c r="F3" s="5">
        <f t="shared" ref="F3:F13" si="0">D3-E3</f>
        <v>2173</v>
      </c>
    </row>
    <row r="4" customHeight="1" spans="1:6">
      <c r="A4" s="1">
        <v>2</v>
      </c>
      <c r="B4" s="1" t="s">
        <v>39</v>
      </c>
      <c r="C4" s="1">
        <f>工资表!R5</f>
        <v>23</v>
      </c>
      <c r="D4" s="5">
        <f>(VLOOKUP(B4,工资表!B5:G33,6,0)+VLOOKUP(B4,工资表!B5:H33,7,0))/工资表!F5*VLOOKUP(B4,考勤!B7:AI36,34,0)</f>
        <v>17000</v>
      </c>
      <c r="E4" s="5">
        <f>VLOOKUP(B4,工资表!B5:S15,18,0)</f>
        <v>17000</v>
      </c>
      <c r="F4" s="5">
        <f t="shared" si="0"/>
        <v>0</v>
      </c>
    </row>
    <row r="5" customHeight="1" spans="1:6">
      <c r="A5" s="1">
        <v>3</v>
      </c>
      <c r="B5" s="1" t="s">
        <v>42</v>
      </c>
      <c r="C5" s="1">
        <f>工资表!R6</f>
        <v>23</v>
      </c>
      <c r="D5" s="5">
        <f>(VLOOKUP(B5,工资表!B6:G34,6,0)+VLOOKUP(B5,工资表!B6:H34,7,0))/工资表!F6*VLOOKUP(B5,考勤!B8:AI37,34,0)</f>
        <v>12000</v>
      </c>
      <c r="E5" s="5">
        <f>VLOOKUP(B5,工资表!B6:S16,18,0)</f>
        <v>12000</v>
      </c>
      <c r="F5" s="5">
        <f t="shared" si="0"/>
        <v>0</v>
      </c>
    </row>
    <row r="6" customHeight="1" spans="1:7">
      <c r="A6" s="1">
        <v>4</v>
      </c>
      <c r="B6" s="1" t="s">
        <v>45</v>
      </c>
      <c r="C6" s="1">
        <f>工资表!R7</f>
        <v>23</v>
      </c>
      <c r="D6" s="5">
        <f>(VLOOKUP(B6,工资表!B7:G35,6,0)+VLOOKUP(B6,工资表!B7:H35,7,0))/工资表!F7*VLOOKUP(B6,考勤!B9:AI38,34,0)</f>
        <v>12750</v>
      </c>
      <c r="E6" s="5">
        <f>VLOOKUP(B6,工资表!B7:S17,18,0)</f>
        <v>13050</v>
      </c>
      <c r="F6" s="5">
        <f t="shared" si="0"/>
        <v>-300</v>
      </c>
      <c r="G6" s="1" t="s">
        <v>123</v>
      </c>
    </row>
    <row r="7" customHeight="1" spans="1:6">
      <c r="A7" s="1">
        <v>5</v>
      </c>
      <c r="B7" s="1" t="s">
        <v>47</v>
      </c>
      <c r="C7" s="1">
        <f>工资表!R8</f>
        <v>23</v>
      </c>
      <c r="D7" s="5">
        <f>(VLOOKUP(B7,工资表!B8:G36,6,0)+VLOOKUP(B7,工资表!B8:H36,7,0))/工资表!F8*VLOOKUP(B7,考勤!B10:AI39,34,0)</f>
        <v>7000</v>
      </c>
      <c r="E7" s="5">
        <f>VLOOKUP(B7,工资表!B8:S18,18,0)</f>
        <v>6999.99999999999</v>
      </c>
      <c r="F7" s="5">
        <f t="shared" si="0"/>
        <v>1.00044417195022e-11</v>
      </c>
    </row>
    <row r="8" customHeight="1" spans="1:7">
      <c r="A8" s="1">
        <v>6</v>
      </c>
      <c r="B8" s="1" t="s">
        <v>50</v>
      </c>
      <c r="C8" s="1">
        <f>工资表!R9</f>
        <v>23</v>
      </c>
      <c r="D8" s="5">
        <f>(VLOOKUP(B8,工资表!B9:G37,6,0)+VLOOKUP(B8,工资表!B9:H37,7,0))/工资表!F9*VLOOKUP(B8,考勤!B11:AI40,34,0)</f>
        <v>6000</v>
      </c>
      <c r="E8" s="5">
        <f>VLOOKUP(B8,工资表!B9:S19,18,0)</f>
        <v>6200</v>
      </c>
      <c r="F8" s="5">
        <f t="shared" si="0"/>
        <v>-200</v>
      </c>
      <c r="G8" s="1" t="s">
        <v>123</v>
      </c>
    </row>
    <row r="9" customHeight="1" spans="1:7">
      <c r="A9" s="1">
        <v>7</v>
      </c>
      <c r="B9" s="1" t="s">
        <v>52</v>
      </c>
      <c r="C9" s="1">
        <f>工资表!R10</f>
        <v>23</v>
      </c>
      <c r="D9" s="5">
        <f>(VLOOKUP(B9,工资表!B10:G38,6,0)+VLOOKUP(B9,工资表!B10:H38,7,0))/工资表!F10*VLOOKUP(B9,考勤!B12:AI41,34,0)</f>
        <v>7500</v>
      </c>
      <c r="E9" s="5">
        <f>VLOOKUP(B9,工资表!B10:S20,18,0)</f>
        <v>7479.99999999999</v>
      </c>
      <c r="F9" s="5">
        <f t="shared" si="0"/>
        <v>20.00000000001</v>
      </c>
      <c r="G9" s="1" t="s">
        <v>124</v>
      </c>
    </row>
    <row r="10" customHeight="1" spans="1:6">
      <c r="A10" s="1">
        <v>8</v>
      </c>
      <c r="B10" s="1" t="s">
        <v>55</v>
      </c>
      <c r="C10" s="1">
        <f>工资表!R11</f>
        <v>23</v>
      </c>
      <c r="D10" s="5">
        <f>(VLOOKUP(B10,工资表!B11:G39,6,0)+VLOOKUP(B10,工资表!B11:H39,7,0))/工资表!F11*VLOOKUP(B10,考勤!B13:AI42,34,0)</f>
        <v>6500</v>
      </c>
      <c r="E10" s="5">
        <f>VLOOKUP(B10,工资表!B11:S21,18,0)</f>
        <v>6500</v>
      </c>
      <c r="F10" s="5">
        <f t="shared" si="0"/>
        <v>0</v>
      </c>
    </row>
    <row r="11" customHeight="1" spans="1:7">
      <c r="A11" s="1">
        <v>9</v>
      </c>
      <c r="B11" s="1" t="s">
        <v>57</v>
      </c>
      <c r="C11" s="1">
        <f>工资表!R12</f>
        <v>23</v>
      </c>
      <c r="D11" s="5">
        <f>(VLOOKUP(B11,工资表!B12:G40,6,0)+VLOOKUP(B11,工资表!B12:H40,7,0))/工资表!F12*VLOOKUP(B11,考勤!B14:AI43,34,0)</f>
        <v>7800</v>
      </c>
      <c r="E11" s="5">
        <f>VLOOKUP(B11,工资表!B12:S22,18,0)</f>
        <v>7759.99999999998</v>
      </c>
      <c r="F11" s="5">
        <f t="shared" si="0"/>
        <v>40.00000000002</v>
      </c>
      <c r="G11" s="1" t="s">
        <v>124</v>
      </c>
    </row>
    <row r="12" customHeight="1" spans="1:7">
      <c r="A12" s="1">
        <v>10</v>
      </c>
      <c r="B12" s="1" t="s">
        <v>60</v>
      </c>
      <c r="C12" s="1">
        <f>工资表!R13</f>
        <v>23</v>
      </c>
      <c r="D12" s="5">
        <f>(VLOOKUP(B12,工资表!B13:G41,6,0)+VLOOKUP(B12,工资表!B13:H41,7,0))/工资表!F13*VLOOKUP(B12,考勤!B15:AI44,34,0)</f>
        <v>4500</v>
      </c>
      <c r="E12" s="5">
        <f>VLOOKUP(B12,工资表!B13:S23,18,0)</f>
        <v>4960.00000000001</v>
      </c>
      <c r="F12" s="5">
        <f t="shared" si="0"/>
        <v>-460.00000000001</v>
      </c>
      <c r="G12" s="1" t="s">
        <v>125</v>
      </c>
    </row>
    <row r="13" customHeight="1" spans="1:6">
      <c r="A13" s="1">
        <v>11</v>
      </c>
      <c r="B13" s="1" t="s">
        <v>63</v>
      </c>
      <c r="C13" s="1">
        <f>工资表!R14</f>
        <v>23</v>
      </c>
      <c r="D13" s="5">
        <f>(VLOOKUP(B13,工资表!B14:G42,6,0)+VLOOKUP(B13,工资表!B14:H42,7,0))/工资表!F14*VLOOKUP(B13,考勤!B16:AI45,34,0)</f>
        <v>13500</v>
      </c>
      <c r="E13" s="5">
        <f>VLOOKUP(B13,工资表!B14:S24,18,0)</f>
        <v>13500</v>
      </c>
      <c r="F13" s="5">
        <f t="shared" si="0"/>
        <v>0</v>
      </c>
    </row>
    <row r="14" customHeight="1" spans="1:6">
      <c r="A14" s="1">
        <v>12</v>
      </c>
      <c r="B14" s="1" t="s">
        <v>65</v>
      </c>
      <c r="C14" s="1">
        <f>工资表!R15</f>
        <v>23</v>
      </c>
      <c r="D14" s="5">
        <f>(VLOOKUP(B14,工资表!B15:G44,6,0)+VLOOKUP(B14,工资表!B15:H44,7,0))/工资表!F15*VLOOKUP(B14,考勤!B17:AI47,34,0)</f>
        <v>12000</v>
      </c>
      <c r="E14" s="5">
        <f>VLOOKUP(B14,工资表!B15:S25,18,0)</f>
        <v>12000</v>
      </c>
      <c r="F14" s="5">
        <f t="shared" ref="F14:F24" si="1">D14-E14</f>
        <v>0</v>
      </c>
    </row>
    <row r="15" customHeight="1" spans="1:7">
      <c r="A15" s="1">
        <v>13</v>
      </c>
      <c r="B15" s="1" t="s">
        <v>67</v>
      </c>
      <c r="C15" s="1">
        <f>工资表!R16</f>
        <v>27</v>
      </c>
      <c r="D15" s="5">
        <f>(VLOOKUP(B15,工资表!B16:G44,6,0)+VLOOKUP(B15,工资表!B16:H44,7,0))/工资表!F16*VLOOKUP(B15,考勤!B18:AI47,34,0)</f>
        <v>6000</v>
      </c>
      <c r="E15" s="5">
        <f>VLOOKUP(B15,工资表!B16:S26,18,0)</f>
        <v>17215.23</v>
      </c>
      <c r="F15" s="5">
        <f t="shared" ref="F15:F31" si="2">D15-E15</f>
        <v>-11215.23</v>
      </c>
      <c r="G15" s="1" t="s">
        <v>126</v>
      </c>
    </row>
    <row r="16" customHeight="1" spans="1:6">
      <c r="A16" s="1">
        <v>14</v>
      </c>
      <c r="B16" s="1" t="s">
        <v>70</v>
      </c>
      <c r="C16" s="1">
        <f>工资表!R17</f>
        <v>23</v>
      </c>
      <c r="D16" s="5">
        <f>(VLOOKUP(B16,工资表!B17:G45,6,0)+VLOOKUP(B16,工资表!B17:H45,7,0))/工资表!F17*VLOOKUP(B16,考勤!B19:AI48,34,0)</f>
        <v>4500</v>
      </c>
      <c r="E16" s="5">
        <f>VLOOKUP(B16,工资表!B17:S27,18,0)</f>
        <v>4500.00000000001</v>
      </c>
      <c r="F16" s="5">
        <f t="shared" si="2"/>
        <v>-1.00044417195022e-11</v>
      </c>
    </row>
    <row r="17" customHeight="1" spans="1:6">
      <c r="A17" s="1">
        <v>15</v>
      </c>
      <c r="B17" s="1" t="s">
        <v>72</v>
      </c>
      <c r="C17" s="1">
        <f>工资表!R18</f>
        <v>27</v>
      </c>
      <c r="D17" s="5">
        <f>(VLOOKUP(B17,工资表!B18:G46,6,0)+VLOOKUP(B17,工资表!B18:H46,7,0))/工资表!F18*VLOOKUP(B17,考勤!B20:AI49,34,0)</f>
        <v>5000</v>
      </c>
      <c r="E17" s="5">
        <f>VLOOKUP(B17,工资表!B18:S28,18,0)</f>
        <v>5000</v>
      </c>
      <c r="F17" s="5">
        <f t="shared" si="2"/>
        <v>0</v>
      </c>
    </row>
    <row r="18" customHeight="1" spans="1:7">
      <c r="A18" s="1">
        <v>16</v>
      </c>
      <c r="B18" s="1" t="s">
        <v>75</v>
      </c>
      <c r="C18" s="1">
        <f>工资表!R19</f>
        <v>27</v>
      </c>
      <c r="D18" s="5">
        <f>(VLOOKUP(B18,工资表!B19:G47,6,0)+VLOOKUP(B18,工资表!B19:H47,7,0))/工资表!F19*VLOOKUP(B18,考勤!B21:AI50,34,0)</f>
        <v>3000</v>
      </c>
      <c r="E18" s="5">
        <f>VLOOKUP(B18,工资表!B19:S29,18,0)</f>
        <v>2704.8</v>
      </c>
      <c r="F18" s="5">
        <f t="shared" si="2"/>
        <v>295.2</v>
      </c>
      <c r="G18" s="1" t="s">
        <v>127</v>
      </c>
    </row>
    <row r="19" customHeight="1" spans="1:7">
      <c r="A19" s="1">
        <v>17</v>
      </c>
      <c r="B19" s="1" t="s">
        <v>76</v>
      </c>
      <c r="C19" s="1">
        <f>工资表!R20</f>
        <v>27</v>
      </c>
      <c r="D19" s="5">
        <f>(VLOOKUP(B19,工资表!B20:G48,6,0)+VLOOKUP(B19,工资表!B20:H48,7,0))/工资表!F20*VLOOKUP(B19,考勤!B22:AI51,34,0)</f>
        <v>3000</v>
      </c>
      <c r="E19" s="5">
        <f>VLOOKUP(B19,工资表!B20:S30,18,0)</f>
        <v>795.73</v>
      </c>
      <c r="F19" s="5">
        <f t="shared" si="2"/>
        <v>2204.27</v>
      </c>
      <c r="G19" s="1" t="s">
        <v>127</v>
      </c>
    </row>
    <row r="20" customHeight="1" spans="1:7">
      <c r="A20" s="1">
        <v>18</v>
      </c>
      <c r="B20" s="1" t="s">
        <v>78</v>
      </c>
      <c r="C20" s="1">
        <f>工资表!R21</f>
        <v>27</v>
      </c>
      <c r="D20" s="5">
        <f>(VLOOKUP(B20,工资表!B21:G49,6,0)+VLOOKUP(B20,工资表!B21:H49,7,0))/工资表!F21*VLOOKUP(B20,考勤!B23:AI52,34,0)</f>
        <v>3000</v>
      </c>
      <c r="E20" s="5">
        <f>VLOOKUP(B20,工资表!B21:S31,18,0)</f>
        <v>6281.07</v>
      </c>
      <c r="F20" s="5">
        <f t="shared" si="2"/>
        <v>-3281.07</v>
      </c>
      <c r="G20" s="1" t="s">
        <v>17</v>
      </c>
    </row>
    <row r="21" customHeight="1" spans="1:7">
      <c r="A21" s="1">
        <v>19</v>
      </c>
      <c r="B21" s="1" t="s">
        <v>79</v>
      </c>
      <c r="C21" s="1">
        <f>工资表!R22</f>
        <v>27</v>
      </c>
      <c r="D21" s="5">
        <f>(VLOOKUP(B21,工资表!B22:G50,6,0)+VLOOKUP(B21,工资表!B22:H50,7,0))/工资表!F22*VLOOKUP(B21,考勤!B24:AI53,34,0)</f>
        <v>3000</v>
      </c>
      <c r="E21" s="5">
        <f>VLOOKUP(B21,工资表!B22:S32,18,0)</f>
        <v>6706.64</v>
      </c>
      <c r="F21" s="5">
        <f t="shared" si="2"/>
        <v>-3706.64</v>
      </c>
      <c r="G21" s="1" t="s">
        <v>17</v>
      </c>
    </row>
    <row r="22" customHeight="1" spans="1:7">
      <c r="A22" s="1">
        <v>20</v>
      </c>
      <c r="B22" s="1" t="s">
        <v>80</v>
      </c>
      <c r="C22" s="1">
        <f>工资表!R23</f>
        <v>27</v>
      </c>
      <c r="D22" s="5">
        <f>(VLOOKUP(B22,工资表!B23:G51,6,0)+VLOOKUP(B22,工资表!B23:H51,7,0))/工资表!F23*VLOOKUP(B22,考勤!B25:AI54,34,0)</f>
        <v>5000</v>
      </c>
      <c r="E22" s="5">
        <f>VLOOKUP(B22,工资表!B23:S33,18,0)</f>
        <v>11091.28</v>
      </c>
      <c r="F22" s="5">
        <f t="shared" si="2"/>
        <v>-6091.28</v>
      </c>
      <c r="G22" s="1" t="s">
        <v>17</v>
      </c>
    </row>
    <row r="23" customHeight="1" spans="1:7">
      <c r="A23" s="1">
        <v>21</v>
      </c>
      <c r="B23" s="1" t="s">
        <v>81</v>
      </c>
      <c r="C23" s="1">
        <f>工资表!R24</f>
        <v>27</v>
      </c>
      <c r="D23" s="5">
        <f>(VLOOKUP(B23,工资表!B24:G52,6,0)+VLOOKUP(B23,工资表!B24:H52,7,0))/工资表!F24*VLOOKUP(B23,考勤!B26:AI55,34,0)</f>
        <v>3000</v>
      </c>
      <c r="E23" s="5">
        <f>VLOOKUP(B23,工资表!B24:S34,18,0)</f>
        <v>6293.81</v>
      </c>
      <c r="F23" s="5">
        <f t="shared" si="2"/>
        <v>-3293.81</v>
      </c>
      <c r="G23" s="1" t="s">
        <v>17</v>
      </c>
    </row>
    <row r="24" customHeight="1" spans="1:7">
      <c r="A24" s="1">
        <v>22</v>
      </c>
      <c r="B24" s="1" t="s">
        <v>82</v>
      </c>
      <c r="C24" s="1">
        <f>工资表!R25</f>
        <v>27</v>
      </c>
      <c r="D24" s="5">
        <f>(VLOOKUP(B24,工资表!B25:G53,6,0)+VLOOKUP(B24,工资表!B25:H53,7,0))/工资表!F25*VLOOKUP(B24,考勤!B27:AI56,34,0)</f>
        <v>4000</v>
      </c>
      <c r="E24" s="5">
        <f>VLOOKUP(B24,工资表!B25:S35,18,0)</f>
        <v>23579.89</v>
      </c>
      <c r="F24" s="5">
        <f t="shared" si="2"/>
        <v>-19579.89</v>
      </c>
      <c r="G24" s="1" t="s">
        <v>17</v>
      </c>
    </row>
    <row r="25" customHeight="1" spans="1:7">
      <c r="A25" s="1">
        <v>23</v>
      </c>
      <c r="B25" s="1" t="s">
        <v>83</v>
      </c>
      <c r="C25" s="1">
        <f>工资表!R26</f>
        <v>27</v>
      </c>
      <c r="D25" s="5">
        <f>(VLOOKUP(B25,工资表!B26:G54,6,0)+VLOOKUP(B25,工资表!B26:H54,7,0))/工资表!F26*VLOOKUP(B25,考勤!B28:AI57,34,0)</f>
        <v>3000</v>
      </c>
      <c r="E25" s="5">
        <f>VLOOKUP(B25,工资表!B26:S36,18,0)</f>
        <v>10748.73</v>
      </c>
      <c r="F25" s="5">
        <f t="shared" si="2"/>
        <v>-7748.73</v>
      </c>
      <c r="G25" s="1" t="s">
        <v>17</v>
      </c>
    </row>
    <row r="26" customHeight="1" spans="1:7">
      <c r="A26" s="1">
        <v>24</v>
      </c>
      <c r="B26" s="1" t="s">
        <v>84</v>
      </c>
      <c r="C26" s="1">
        <f>工资表!R27</f>
        <v>27</v>
      </c>
      <c r="D26" s="5">
        <f>(VLOOKUP(B26,工资表!B27:G55,6,0)+VLOOKUP(B26,工资表!B27:H55,7,0))/工资表!F27*VLOOKUP(B26,考勤!B29:AI58,34,0)</f>
        <v>3000</v>
      </c>
      <c r="E26" s="5">
        <f>VLOOKUP(B26,工资表!B27:S37,18,0)</f>
        <v>22533.7</v>
      </c>
      <c r="F26" s="5">
        <f t="shared" si="2"/>
        <v>-19533.7</v>
      </c>
      <c r="G26" s="1" t="s">
        <v>17</v>
      </c>
    </row>
    <row r="27" customHeight="1" spans="1:7">
      <c r="A27" s="1">
        <v>25</v>
      </c>
      <c r="B27" s="1" t="s">
        <v>85</v>
      </c>
      <c r="C27" s="1">
        <f>工资表!R28</f>
        <v>27</v>
      </c>
      <c r="D27" s="5">
        <f>(VLOOKUP(B27,工资表!B28:G56,6,0)+VLOOKUP(B27,工资表!B28:H56,7,0))/工资表!F28*VLOOKUP(B27,考勤!B30:AI59,34,0)</f>
        <v>4500</v>
      </c>
      <c r="E27" s="5">
        <f>VLOOKUP(B27,工资表!B28:S38,18,0)</f>
        <v>5940</v>
      </c>
      <c r="F27" s="5">
        <f t="shared" si="2"/>
        <v>-1440</v>
      </c>
      <c r="G27" s="1" t="s">
        <v>17</v>
      </c>
    </row>
    <row r="28" customHeight="1" spans="1:7">
      <c r="A28" s="1">
        <v>26</v>
      </c>
      <c r="B28" s="1" t="s">
        <v>86</v>
      </c>
      <c r="C28" s="1">
        <f>工资表!R29</f>
        <v>27</v>
      </c>
      <c r="D28" s="5">
        <f>(VLOOKUP(B28,工资表!B29:G57,6,0)+VLOOKUP(B28,工资表!B29:H57,7,0))/工资表!F29*VLOOKUP(B28,考勤!B31:AI60,34,0)</f>
        <v>3000</v>
      </c>
      <c r="E28" s="5">
        <f>VLOOKUP(B28,工资表!B29:S39,18,0)</f>
        <v>9091.4</v>
      </c>
      <c r="F28" s="5">
        <f t="shared" si="2"/>
        <v>-6091.4</v>
      </c>
      <c r="G28" s="1" t="s">
        <v>17</v>
      </c>
    </row>
    <row r="29" customHeight="1" spans="1:7">
      <c r="A29" s="1">
        <v>27</v>
      </c>
      <c r="B29" s="1" t="s">
        <v>87</v>
      </c>
      <c r="C29" s="1">
        <f>工资表!R30</f>
        <v>24</v>
      </c>
      <c r="D29" s="5">
        <f>(VLOOKUP(B29,工资表!B30:G58,6,0)+VLOOKUP(B29,工资表!B30:H58,7,0))/工资表!F30*VLOOKUP(B29,考勤!B32:AI61,34,0)</f>
        <v>2666.66666666667</v>
      </c>
      <c r="E29" s="5">
        <f>VLOOKUP(B29,工资表!B30:S40,18,0)</f>
        <v>6130.51666666667</v>
      </c>
      <c r="F29" s="5">
        <f t="shared" si="2"/>
        <v>-3463.85</v>
      </c>
      <c r="G29" s="1" t="s">
        <v>17</v>
      </c>
    </row>
    <row r="30" customHeight="1" spans="1:7">
      <c r="A30" s="1">
        <v>28</v>
      </c>
      <c r="B30" s="1" t="s">
        <v>88</v>
      </c>
      <c r="C30" s="1">
        <f>工资表!R31</f>
        <v>27</v>
      </c>
      <c r="D30" s="5">
        <f>(VLOOKUP(B30,工资表!B31:G59,6,0)+VLOOKUP(B30,工资表!B31:H59,7,0))/工资表!F31*VLOOKUP(B30,考勤!B33:AI62,34,0)</f>
        <v>4000</v>
      </c>
      <c r="E30" s="5">
        <f>VLOOKUP(B30,工资表!B31:S41,18,0)</f>
        <v>11201</v>
      </c>
      <c r="F30" s="5">
        <f t="shared" si="2"/>
        <v>-7201</v>
      </c>
      <c r="G30" s="1" t="s">
        <v>17</v>
      </c>
    </row>
    <row r="31" customHeight="1" spans="1:7">
      <c r="A31" s="1">
        <v>29</v>
      </c>
      <c r="B31" s="1" t="s">
        <v>89</v>
      </c>
      <c r="C31" s="1">
        <f>工资表!R32</f>
        <v>27</v>
      </c>
      <c r="D31" s="5">
        <f>(VLOOKUP(B31,工资表!B32:G60,6,0)+VLOOKUP(B31,工资表!B32:H60,7,0))/工资表!F32*VLOOKUP(B31,考勤!B34:AI63,34,0)</f>
        <v>4000</v>
      </c>
      <c r="E31" s="5">
        <f>VLOOKUP(B31,工资表!B32:S42,18,0)</f>
        <v>10074.85</v>
      </c>
      <c r="F31" s="5">
        <f t="shared" si="2"/>
        <v>-6074.85</v>
      </c>
      <c r="G31" s="1" t="s">
        <v>17</v>
      </c>
    </row>
    <row r="32" customHeight="1" spans="4:5">
      <c r="D32" s="5" t="e">
        <f>(VLOOKUP(B32,工资表!B33:G61,6,0)+VLOOKUP(B32,工资表!B33:H61,7,0))/工资表!F33*VLOOKUP(B32,考勤!B35:AI64,34,0)</f>
        <v>#N/A</v>
      </c>
      <c r="E32" s="5" t="e">
        <f>VLOOKUP(B32,工资表!B33:S61,17,0)</f>
        <v>#N/A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84403669725" style="1" customWidth="1"/>
    <col min="5" max="5" width="12.8715596330275" style="1" customWidth="1"/>
    <col min="6" max="16384" width="9" style="1"/>
  </cols>
  <sheetData>
    <row r="2" customHeight="1" spans="2:5">
      <c r="B2" s="2" t="s">
        <v>34</v>
      </c>
      <c r="C2" s="2" t="s">
        <v>128</v>
      </c>
      <c r="D2" s="2" t="s">
        <v>129</v>
      </c>
      <c r="E2" s="2" t="s">
        <v>130</v>
      </c>
    </row>
    <row r="3" hidden="1" customHeight="1" spans="2:5">
      <c r="B3" s="2" t="s">
        <v>131</v>
      </c>
      <c r="C3" s="3">
        <v>1</v>
      </c>
      <c r="D3" s="2">
        <v>0</v>
      </c>
      <c r="E3" s="2">
        <v>0</v>
      </c>
    </row>
    <row r="4" hidden="1" customHeight="1" spans="2:5">
      <c r="B4" s="2" t="s">
        <v>132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133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134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135</v>
      </c>
      <c r="C7" s="4">
        <v>0.375</v>
      </c>
      <c r="D7" s="4">
        <v>0.375</v>
      </c>
      <c r="E7" s="3">
        <v>0.25</v>
      </c>
    </row>
    <row r="8" customHeight="1" spans="2:5">
      <c r="B8" s="2" t="s">
        <v>38</v>
      </c>
      <c r="C8" s="3">
        <v>0.51</v>
      </c>
      <c r="D8" s="3">
        <v>0.34</v>
      </c>
      <c r="E8" s="3">
        <v>0.15</v>
      </c>
    </row>
    <row r="9" customHeight="1" spans="2:5">
      <c r="B9" s="2" t="s">
        <v>41</v>
      </c>
      <c r="C9" s="3">
        <v>0.51</v>
      </c>
      <c r="D9" s="3">
        <v>0.34</v>
      </c>
      <c r="E9" s="3">
        <v>0.15</v>
      </c>
    </row>
    <row r="10" customHeight="1" spans="2:5">
      <c r="B10" s="2" t="s">
        <v>136</v>
      </c>
      <c r="C10" s="3">
        <v>0.51</v>
      </c>
      <c r="D10" s="3">
        <v>0.34</v>
      </c>
      <c r="E10" s="3">
        <v>0.15</v>
      </c>
    </row>
    <row r="11" customHeight="1" spans="2:5">
      <c r="B11" s="2" t="s">
        <v>44</v>
      </c>
      <c r="C11" s="3">
        <v>0.7</v>
      </c>
      <c r="D11" s="3">
        <v>0.3</v>
      </c>
      <c r="E11" s="3">
        <v>0</v>
      </c>
    </row>
    <row r="12" customHeight="1" spans="2:5">
      <c r="B12" s="2" t="s">
        <v>49</v>
      </c>
      <c r="C12" s="3">
        <v>0.8</v>
      </c>
      <c r="D12" s="3">
        <v>0.2</v>
      </c>
      <c r="E12" s="3">
        <v>0</v>
      </c>
    </row>
    <row r="13" customHeight="1" spans="2:5">
      <c r="B13" s="2" t="s">
        <v>74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白羊</cp:lastModifiedBy>
  <dcterms:created xsi:type="dcterms:W3CDTF">2023-05-12T11:15:00Z</dcterms:created>
  <dcterms:modified xsi:type="dcterms:W3CDTF">2025-08-13T03:18:24Z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eadingLayout">
    <vt:bool>true</vt:bool>
  </property>
  <property fmtid="{D5CDD505-2E9C-101B-9397-08002B2CF9AE}" pid="4" name="ICV">
    <vt:lpwstr>CB11032FBADB4D528A210365B1BC59BD_13</vt:lpwstr>
  </property>
</Properties>
</file>