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4" activeTab="14"/>
  </bookViews>
  <sheets>
    <sheet name="税金计算表" sheetId="1" r:id="rId1"/>
    <sheet name="土地使用税" sheetId="2" r:id="rId2"/>
    <sheet name="系统合同备案面积表" sheetId="3" r:id="rId3"/>
    <sheet name="2023年11月税金" sheetId="4" r:id="rId4"/>
    <sheet name="2023年12月税金" sheetId="5" r:id="rId5"/>
    <sheet name="2024年1月" sheetId="6" r:id="rId6"/>
    <sheet name="2024年2月" sheetId="7" r:id="rId7"/>
    <sheet name="2024年3月" sheetId="8" r:id="rId8"/>
    <sheet name="2024年4月" sheetId="9" r:id="rId9"/>
    <sheet name="2024年5月" sheetId="10" r:id="rId10"/>
    <sheet name="2024年6月" sheetId="11" r:id="rId11"/>
    <sheet name="2024年7月" sheetId="12" r:id="rId12"/>
    <sheet name="2024年8月" sheetId="13" r:id="rId13"/>
    <sheet name="2024年9月" sheetId="14" r:id="rId14"/>
    <sheet name="2024年12月" sheetId="15" r:id="rId15"/>
  </sheets>
  <definedNames>
    <definedName name="_xlnm._FilterDatabase" localSheetId="9" hidden="1">'2024年5月'!$N$25:$N$26</definedName>
    <definedName name="_xlnm.Print_Area" localSheetId="0">税金计算表!$A$1:$G$20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申报内预缴增值税为632341.44元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D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M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此部分面积差款由公司承担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M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此部分面积差款由公司承担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申报内预缴增值税为549007.48元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8.xml><?xml version="1.0" encoding="utf-8"?>
<comments xmlns="http://schemas.openxmlformats.org/spreadsheetml/2006/main">
  <authors>
    <author>Administrator</author>
  </authors>
  <commentLis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D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D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sharedStrings.xml><?xml version="1.0" encoding="utf-8"?>
<sst xmlns="http://schemas.openxmlformats.org/spreadsheetml/2006/main" count="761" uniqueCount="188">
  <si>
    <t>多浪小镇一期老项目销售不动产税金计算表2023年9月收入税金计算（新疆通力阿克苏分公司）</t>
  </si>
  <si>
    <t>预收明细表</t>
  </si>
  <si>
    <t>金额</t>
  </si>
  <si>
    <t>序号</t>
  </si>
  <si>
    <t>税种</t>
  </si>
  <si>
    <t>税率</t>
  </si>
  <si>
    <t>实缴</t>
  </si>
  <si>
    <t>备注</t>
  </si>
  <si>
    <t>收到古丽马热木交来多浪小镇C4-101商铺款</t>
  </si>
  <si>
    <t>预交-增值税</t>
  </si>
  <si>
    <t>收到阿力木江交来多浪小镇C4-102/103商铺款</t>
  </si>
  <si>
    <t>预交-城建税</t>
  </si>
  <si>
    <t>商铺合计</t>
  </si>
  <si>
    <t>预交-教育附加</t>
  </si>
  <si>
    <t>预交-地方教育附加</t>
  </si>
  <si>
    <t>增值税-开发票</t>
  </si>
  <si>
    <t>城建税</t>
  </si>
  <si>
    <t>教育附加</t>
  </si>
  <si>
    <t>地方教育附加</t>
  </si>
  <si>
    <t>预交土地增值税（普通）</t>
  </si>
  <si>
    <t>预交土地增值税（商铺）</t>
  </si>
  <si>
    <t>印花税（收入）</t>
  </si>
  <si>
    <t>印花税（购进）</t>
  </si>
  <si>
    <t>企业所得税</t>
  </si>
  <si>
    <t>新疆通力阿克苏分公司小计</t>
  </si>
  <si>
    <t>土地使用税（新分康泰及一至三期）</t>
  </si>
  <si>
    <t>总合计</t>
  </si>
  <si>
    <t>新疆分公司交纳7-12月土地使用税明细</t>
  </si>
  <si>
    <t>地块</t>
  </si>
  <si>
    <t>土地证面积</t>
  </si>
  <si>
    <t>总可售建筑面积</t>
  </si>
  <si>
    <t>合同备案销售面积</t>
  </si>
  <si>
    <t>已核减后地税局土地面积(平方)</t>
  </si>
  <si>
    <t>核减后土地面积</t>
  </si>
  <si>
    <t>土地等级</t>
  </si>
  <si>
    <t>单价(元)</t>
  </si>
  <si>
    <t>金额(元)</t>
  </si>
  <si>
    <t>10月份应交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</si>
  <si>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</si>
  <si>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</si>
  <si>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</si>
  <si>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</si>
  <si>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</si>
  <si>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</si>
  <si>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</si>
  <si>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</si>
  <si>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</si>
  <si>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</si>
  <si>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</si>
  <si>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</si>
  <si>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</si>
  <si>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合计</t>
  </si>
  <si>
    <t>制表人：</t>
  </si>
  <si>
    <t>制表时间：</t>
  </si>
  <si>
    <t>合同备案建筑面积</t>
  </si>
  <si>
    <t>A1</t>
  </si>
  <si>
    <t>C1</t>
  </si>
  <si>
    <t>康泰1</t>
  </si>
  <si>
    <t>A2</t>
  </si>
  <si>
    <t>C2</t>
  </si>
  <si>
    <t>康泰2#</t>
  </si>
  <si>
    <t>A3</t>
  </si>
  <si>
    <t>C3</t>
  </si>
  <si>
    <t>康泰3#</t>
  </si>
  <si>
    <t>A4</t>
  </si>
  <si>
    <t>C4</t>
  </si>
  <si>
    <t>康泰4#</t>
  </si>
  <si>
    <t>A5</t>
  </si>
  <si>
    <t>C5</t>
  </si>
  <si>
    <t>康泰5#</t>
  </si>
  <si>
    <t>A6</t>
  </si>
  <si>
    <t>C6</t>
  </si>
  <si>
    <t>康泰6#</t>
  </si>
  <si>
    <t>A7</t>
  </si>
  <si>
    <t>C7</t>
  </si>
  <si>
    <t>康泰7#</t>
  </si>
  <si>
    <t>A8</t>
  </si>
  <si>
    <t>C8</t>
  </si>
  <si>
    <t>A9</t>
  </si>
  <si>
    <t>C9</t>
  </si>
  <si>
    <t>A10</t>
  </si>
  <si>
    <t>C11</t>
  </si>
  <si>
    <t>A11</t>
  </si>
  <si>
    <t>C13</t>
  </si>
  <si>
    <t>A12</t>
  </si>
  <si>
    <t>C16</t>
  </si>
  <si>
    <t>A13</t>
  </si>
  <si>
    <t>C17</t>
  </si>
  <si>
    <t>A14</t>
  </si>
  <si>
    <t>A区小计</t>
  </si>
  <si>
    <t>C区小计</t>
  </si>
  <si>
    <t>康泰小计</t>
  </si>
  <si>
    <t>阿克苏分公司税金计算表</t>
  </si>
  <si>
    <t>项目名称：</t>
  </si>
  <si>
    <t>多浪一期</t>
  </si>
  <si>
    <t>期间</t>
  </si>
  <si>
    <t>日期</t>
  </si>
  <si>
    <t>2023.12.5</t>
  </si>
  <si>
    <t>预收款合计金额</t>
  </si>
  <si>
    <t>普通住宅</t>
  </si>
  <si>
    <t>商铺</t>
  </si>
  <si>
    <t>租赁收入（含税）</t>
  </si>
  <si>
    <t>前期已确认销项收入</t>
  </si>
  <si>
    <t>本期确认销项收入</t>
  </si>
  <si>
    <t>当月预收房款</t>
  </si>
  <si>
    <t>税目</t>
  </si>
  <si>
    <t>预缴增值税</t>
  </si>
  <si>
    <t>增值税</t>
  </si>
  <si>
    <t>预缴留抵</t>
  </si>
  <si>
    <t>应交增值税</t>
  </si>
  <si>
    <t>地方教育费附加</t>
  </si>
  <si>
    <t>教育费附加</t>
  </si>
  <si>
    <t>土地增值税</t>
  </si>
  <si>
    <t>印花税</t>
  </si>
  <si>
    <t>项目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</si>
  <si>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</si>
  <si>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</si>
  <si>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</si>
  <si>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</si>
  <si>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</si>
  <si>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</si>
  <si>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</si>
  <si>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</si>
  <si>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</si>
  <si>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</si>
  <si>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2024.3.4</t>
  </si>
  <si>
    <t>利息收入（含税）</t>
  </si>
  <si>
    <t>利息收入增值税</t>
  </si>
  <si>
    <t>留抵进项税</t>
  </si>
  <si>
    <t>利息印花税</t>
  </si>
  <si>
    <t>租赁印花税</t>
  </si>
  <si>
    <t>新疆分公司交纳1-6月土地使用税明细</t>
  </si>
  <si>
    <t>核减后建筑面积</t>
  </si>
  <si>
    <t>容积率</t>
  </si>
  <si>
    <t>土地占用面积</t>
  </si>
  <si>
    <t>4月份应交</t>
  </si>
  <si>
    <t>预收房款</t>
  </si>
  <si>
    <t>C4-102</t>
  </si>
  <si>
    <t>C4-103</t>
  </si>
  <si>
    <t>C5-108</t>
  </si>
  <si>
    <t>C3-105</t>
  </si>
  <si>
    <t>C1-103</t>
  </si>
  <si>
    <t>说明：2023年度汇算清缴需补充缴纳企业所得税：231.56元。</t>
  </si>
  <si>
    <t>2024.6.4</t>
  </si>
  <si>
    <t>A11-3-202</t>
  </si>
  <si>
    <t>C5-105</t>
  </si>
  <si>
    <t>C4-101</t>
  </si>
  <si>
    <t>A11-3-301</t>
  </si>
  <si>
    <t>开票金额</t>
  </si>
  <si>
    <t>房产税（从租）</t>
  </si>
  <si>
    <t>1-6月网签备案</t>
  </si>
  <si>
    <t>印花税（书据）</t>
  </si>
  <si>
    <t xml:space="preserve"> </t>
  </si>
  <si>
    <t>营业外收入</t>
  </si>
  <si>
    <t>营业外支出</t>
  </si>
  <si>
    <t>2024.7.4</t>
  </si>
  <si>
    <t>2024.9.4</t>
  </si>
  <si>
    <t>本期确认收入</t>
  </si>
  <si>
    <t>2024.10.21</t>
  </si>
  <si>
    <t>房产税</t>
  </si>
  <si>
    <t>未售房号</t>
  </si>
  <si>
    <t>未售面积</t>
  </si>
  <si>
    <t>类型</t>
  </si>
  <si>
    <t>剩余未售建筑面积</t>
  </si>
  <si>
    <t>单价</t>
  </si>
  <si>
    <t>房产原值</t>
  </si>
  <si>
    <t>计税依据（原值70%）</t>
  </si>
  <si>
    <t>税金</t>
  </si>
  <si>
    <t>应交</t>
  </si>
  <si>
    <t>从价</t>
  </si>
  <si>
    <t>7-12月</t>
  </si>
  <si>
    <t>C1-106</t>
  </si>
  <si>
    <t>C1-107</t>
  </si>
  <si>
    <t>已出租</t>
  </si>
  <si>
    <t>C1-108</t>
  </si>
  <si>
    <t>面积</t>
  </si>
  <si>
    <t>原值</t>
  </si>
  <si>
    <t>租金</t>
  </si>
  <si>
    <t>计税依据</t>
  </si>
  <si>
    <t>C1-201</t>
  </si>
  <si>
    <t>从租</t>
  </si>
  <si>
    <t>多浪一期C1-107/108</t>
  </si>
  <si>
    <t>9月</t>
  </si>
  <si>
    <t>C1-301</t>
  </si>
  <si>
    <t>C1-302</t>
  </si>
  <si>
    <t>C16-201</t>
  </si>
  <si>
    <t>2025.1.3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</si>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</sst>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_);[Red]\(#,##0.00\)"/>
    <numFmt numFmtId="178" formatCode="_ * #,##0.0000_ ;_ * \-#,##0.0000_ ;_ * &quot;-&quot;????_ ;_ @_ "/>
  </numFmts>
  <fonts count="4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2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Calibri"/>
      <charset val="0"/>
    </font>
    <font>
      <sz val="14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sz val="9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24" applyNumberFormat="0" applyAlignment="0" applyProtection="0">
      <alignment vertical="center"/>
    </xf>
    <xf numFmtId="0" fontId="37" fillId="6" borderId="25" applyNumberFormat="0" applyAlignment="0" applyProtection="0">
      <alignment vertical="center"/>
    </xf>
    <xf numFmtId="0" fontId="38" fillId="6" borderId="24" applyNumberFormat="0" applyAlignment="0" applyProtection="0">
      <alignment vertical="center"/>
    </xf>
    <xf numFmtId="0" fontId="39" fillId="7" borderId="26" applyNumberFormat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0" fontId="3" fillId="0" borderId="3" xfId="3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43" fontId="7" fillId="0" borderId="11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3" fontId="9" fillId="0" borderId="3" xfId="0" applyNumberFormat="1" applyFont="1" applyFill="1" applyBorder="1" applyAlignment="1">
      <alignment horizontal="center" vertical="center"/>
    </xf>
    <xf numFmtId="43" fontId="9" fillId="2" borderId="3" xfId="0" applyNumberFormat="1" applyFont="1" applyFill="1" applyBorder="1" applyAlignment="1">
      <alignment horizontal="center" vertical="center"/>
    </xf>
    <xf numFmtId="43" fontId="9" fillId="2" borderId="4" xfId="0" applyNumberFormat="1" applyFont="1" applyFill="1" applyBorder="1" applyAlignment="1">
      <alignment horizontal="center" vertical="center"/>
    </xf>
    <xf numFmtId="43" fontId="9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43" fontId="5" fillId="0" borderId="3" xfId="3" applyNumberFormat="1" applyFont="1" applyFill="1" applyBorder="1" applyAlignment="1">
      <alignment vertical="center"/>
    </xf>
    <xf numFmtId="10" fontId="1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43" fontId="5" fillId="0" borderId="3" xfId="3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right" vertical="center"/>
    </xf>
    <xf numFmtId="4" fontId="14" fillId="0" borderId="3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right" vertical="center"/>
    </xf>
    <xf numFmtId="9" fontId="10" fillId="0" borderId="3" xfId="0" applyNumberFormat="1" applyFont="1" applyFill="1" applyBorder="1" applyAlignment="1">
      <alignment vertical="center"/>
    </xf>
    <xf numFmtId="4" fontId="10" fillId="0" borderId="3" xfId="0" applyNumberFormat="1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 applyProtection="1">
      <alignment horizontal="center" vertical="center" shrinkToFi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16" fillId="3" borderId="3" xfId="0" applyNumberFormat="1" applyFont="1" applyFill="1" applyBorder="1" applyAlignment="1" applyProtection="1">
      <alignment horizontal="center" vertical="center" shrinkToFit="1"/>
    </xf>
    <xf numFmtId="0" fontId="16" fillId="3" borderId="3" xfId="0" applyNumberFormat="1" applyFont="1" applyFill="1" applyBorder="1" applyAlignment="1" applyProtection="1">
      <alignment horizontal="center" vertical="center" wrapText="1"/>
    </xf>
    <xf numFmtId="43" fontId="1" fillId="0" borderId="3" xfId="0" applyNumberFormat="1" applyFont="1" applyFill="1" applyBorder="1" applyAlignment="1">
      <alignment vertical="center"/>
    </xf>
    <xf numFmtId="176" fontId="0" fillId="0" borderId="3" xfId="0" applyNumberFormat="1" applyFill="1" applyBorder="1" applyAlignment="1">
      <alignment horizontal="center" vertical="center"/>
    </xf>
    <xf numFmtId="49" fontId="17" fillId="3" borderId="3" xfId="0" applyNumberFormat="1" applyFont="1" applyFill="1" applyBorder="1" applyAlignment="1" applyProtection="1">
      <alignment horizontal="center" vertical="center" shrinkToFit="1"/>
    </xf>
    <xf numFmtId="0" fontId="17" fillId="3" borderId="3" xfId="0" applyFont="1" applyFill="1" applyBorder="1" applyAlignment="1" applyProtection="1">
      <alignment horizontal="center" vertical="center"/>
    </xf>
    <xf numFmtId="49" fontId="18" fillId="3" borderId="3" xfId="0" applyNumberFormat="1" applyFont="1" applyFill="1" applyBorder="1" applyAlignment="1" applyProtection="1">
      <alignment horizontal="center" vertical="center" shrinkToFit="1"/>
    </xf>
    <xf numFmtId="8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43" fontId="1" fillId="0" borderId="0" xfId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76" fontId="3" fillId="0" borderId="10" xfId="0" applyNumberFormat="1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left" vertical="center" wrapText="1"/>
    </xf>
    <xf numFmtId="176" fontId="3" fillId="0" borderId="1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left" vertical="center" wrapText="1"/>
    </xf>
    <xf numFmtId="0" fontId="19" fillId="0" borderId="0" xfId="0" applyFont="1">
      <alignment vertical="center"/>
    </xf>
    <xf numFmtId="0" fontId="0" fillId="0" borderId="0" xfId="0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176" fontId="20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7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9" fontId="1" fillId="0" borderId="3" xfId="0" applyNumberFormat="1" applyFont="1" applyFill="1" applyBorder="1" applyAlignment="1">
      <alignment vertical="center"/>
    </xf>
    <xf numFmtId="4" fontId="1" fillId="0" borderId="3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43" fontId="21" fillId="0" borderId="0" xfId="1" applyFont="1">
      <alignment vertical="center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/>
    </xf>
    <xf numFmtId="43" fontId="21" fillId="0" borderId="0" xfId="1" applyFont="1" applyBorder="1">
      <alignment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43" fontId="22" fillId="0" borderId="13" xfId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43" fontId="23" fillId="0" borderId="3" xfId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43" fontId="24" fillId="0" borderId="3" xfId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vertical="center"/>
    </xf>
    <xf numFmtId="177" fontId="23" fillId="0" borderId="3" xfId="0" applyNumberFormat="1" applyFont="1" applyFill="1" applyBorder="1" applyAlignment="1">
      <alignment vertical="center"/>
    </xf>
    <xf numFmtId="9" fontId="24" fillId="0" borderId="3" xfId="0" applyNumberFormat="1" applyFont="1" applyFill="1" applyBorder="1" applyAlignment="1">
      <alignment horizontal="center" vertical="center"/>
    </xf>
    <xf numFmtId="43" fontId="23" fillId="0" borderId="3" xfId="1" applyFont="1" applyFill="1" applyBorder="1" applyAlignment="1">
      <alignment vertical="center"/>
    </xf>
    <xf numFmtId="177" fontId="24" fillId="0" borderId="3" xfId="0" applyNumberFormat="1" applyFont="1" applyFill="1" applyBorder="1" applyAlignment="1">
      <alignment vertical="center"/>
    </xf>
    <xf numFmtId="178" fontId="24" fillId="0" borderId="3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43" fontId="23" fillId="2" borderId="3" xfId="1" applyFont="1" applyFill="1" applyBorder="1" applyAlignment="1">
      <alignment vertical="center"/>
    </xf>
    <xf numFmtId="0" fontId="24" fillId="2" borderId="3" xfId="0" applyFont="1" applyFill="1" applyBorder="1" applyAlignment="1">
      <alignment vertical="center"/>
    </xf>
    <xf numFmtId="0" fontId="24" fillId="0" borderId="12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/>
    </xf>
    <xf numFmtId="0" fontId="24" fillId="0" borderId="14" xfId="0" applyFont="1" applyFill="1" applyBorder="1" applyAlignment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43" fontId="25" fillId="0" borderId="0" xfId="1" applyFont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4" fontId="3" fillId="0" borderId="3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8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176" fontId="27" fillId="2" borderId="3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176" fontId="26" fillId="2" borderId="4" xfId="0" applyNumberFormat="1" applyFont="1" applyFill="1" applyBorder="1" applyAlignment="1">
      <alignment horizontal="center" vertical="center"/>
    </xf>
    <xf numFmtId="176" fontId="26" fillId="2" borderId="7" xfId="0" applyNumberFormat="1" applyFont="1" applyFill="1" applyBorder="1" applyAlignment="1">
      <alignment horizontal="center" vertical="center"/>
    </xf>
    <xf numFmtId="176" fontId="26" fillId="2" borderId="3" xfId="0" applyNumberFormat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176" fontId="26" fillId="0" borderId="3" xfId="0" applyNumberFormat="1" applyFont="1" applyFill="1" applyBorder="1" applyAlignment="1">
      <alignment horizontal="center" vertical="center" wrapText="1"/>
    </xf>
    <xf numFmtId="176" fontId="26" fillId="0" borderId="4" xfId="0" applyNumberFormat="1" applyFont="1" applyFill="1" applyBorder="1" applyAlignment="1">
      <alignment horizontal="center" vertical="center"/>
    </xf>
    <xf numFmtId="176" fontId="26" fillId="0" borderId="7" xfId="0" applyNumberFormat="1" applyFont="1" applyFill="1" applyBorder="1" applyAlignment="1">
      <alignment horizontal="center" vertical="center"/>
    </xf>
    <xf numFmtId="176" fontId="2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view="pageBreakPreview" zoomScaleNormal="100" workbookViewId="0">
      <selection activeCell="I9" sqref="I9"/>
    </sheetView>
  </sheetViews>
  <sheetFormatPr defaultColWidth="9" defaultRowHeight="12"/>
  <cols>
    <col min="1" max="1" width="5.875" style="113" customWidth="1"/>
    <col min="2" max="2" width="20.75" style="113" customWidth="1"/>
    <col min="3" max="3" width="13.5" style="113" customWidth="1"/>
    <col min="4" max="4" width="9.375" style="113"/>
    <col min="5" max="5" width="16.125" style="114" customWidth="1"/>
    <col min="6" max="6" width="17.5" style="114" customWidth="1"/>
    <col min="7" max="7" width="13.125" style="113" customWidth="1"/>
    <col min="8" max="8" width="4.5" style="113" customWidth="1"/>
    <col min="9" max="9" width="8.25" style="115" customWidth="1"/>
    <col min="10" max="10" width="48.125" style="116" customWidth="1"/>
    <col min="11" max="11" width="27.625" style="113" customWidth="1"/>
    <col min="12" max="12" width="12.75" style="113" customWidth="1"/>
    <col min="13" max="13" width="11" style="113" customWidth="1"/>
    <col min="14" max="14" width="13.375" style="117" customWidth="1"/>
    <col min="15" max="15" width="16" style="117"/>
    <col min="16" max="16" width="12.625" style="117"/>
    <col min="17" max="16384" width="9" style="113"/>
  </cols>
  <sheetData>
    <row r="1" spans="15:16">
      <c r="O1" s="141"/>
      <c r="P1" s="141"/>
    </row>
    <row r="2" ht="9" customHeight="1" spans="1:16">
      <c r="A2" s="118"/>
      <c r="B2" s="119"/>
      <c r="C2" s="119"/>
      <c r="D2" s="119"/>
      <c r="E2" s="120"/>
      <c r="F2" s="120"/>
      <c r="G2" s="121"/>
      <c r="N2" s="142"/>
      <c r="O2" s="142"/>
      <c r="P2" s="142"/>
    </row>
    <row r="3" ht="20.1" customHeight="1" spans="1:16">
      <c r="A3" s="122" t="s">
        <v>0</v>
      </c>
      <c r="B3" s="122"/>
      <c r="C3" s="122"/>
      <c r="D3" s="122"/>
      <c r="E3" s="123"/>
      <c r="F3" s="123"/>
      <c r="G3" s="122"/>
      <c r="J3" s="143" t="s">
        <v>1</v>
      </c>
      <c r="K3" s="144" t="s">
        <v>2</v>
      </c>
      <c r="N3" s="142"/>
      <c r="O3" s="142"/>
      <c r="P3" s="142"/>
    </row>
    <row r="4" ht="20.1" customHeight="1" spans="1:16">
      <c r="A4" s="124" t="s">
        <v>3</v>
      </c>
      <c r="B4" s="124" t="s">
        <v>4</v>
      </c>
      <c r="C4" s="124" t="s">
        <v>2</v>
      </c>
      <c r="D4" s="124" t="s">
        <v>5</v>
      </c>
      <c r="E4" s="125" t="s">
        <v>2</v>
      </c>
      <c r="F4" s="125" t="s">
        <v>6</v>
      </c>
      <c r="G4" s="124" t="s">
        <v>7</v>
      </c>
      <c r="J4" s="145" t="s">
        <v>8</v>
      </c>
      <c r="K4" s="146">
        <v>33000</v>
      </c>
      <c r="N4" s="142"/>
      <c r="O4" s="142"/>
      <c r="P4" s="142"/>
    </row>
    <row r="5" ht="20.1" customHeight="1" spans="1:16">
      <c r="A5" s="124">
        <v>1</v>
      </c>
      <c r="B5" s="126" t="s">
        <v>9</v>
      </c>
      <c r="C5" s="127">
        <f>K6</f>
        <v>93500</v>
      </c>
      <c r="D5" s="128">
        <v>0.03</v>
      </c>
      <c r="E5" s="129">
        <f>C5/1.05*D5</f>
        <v>2671.42857142857</v>
      </c>
      <c r="F5" s="129">
        <f t="shared" ref="F5:F17" si="0">E5</f>
        <v>2671.42857142857</v>
      </c>
      <c r="G5" s="126"/>
      <c r="J5" s="145" t="s">
        <v>10</v>
      </c>
      <c r="K5" s="146">
        <v>60500</v>
      </c>
      <c r="N5" s="142"/>
      <c r="O5" s="142"/>
      <c r="P5" s="142"/>
    </row>
    <row r="6" ht="20.1" customHeight="1" spans="1:16">
      <c r="A6" s="124">
        <v>2</v>
      </c>
      <c r="B6" s="126" t="s">
        <v>11</v>
      </c>
      <c r="C6" s="127">
        <f>F5</f>
        <v>2671.42857142857</v>
      </c>
      <c r="D6" s="128">
        <v>0.07</v>
      </c>
      <c r="E6" s="129">
        <f t="shared" ref="E6:E14" si="1">ROUND(C6*D6,2)</f>
        <v>187</v>
      </c>
      <c r="F6" s="129">
        <f t="shared" si="0"/>
        <v>187</v>
      </c>
      <c r="G6" s="126"/>
      <c r="J6" s="147" t="s">
        <v>12</v>
      </c>
      <c r="K6" s="146">
        <f>SUM(K4:K5)</f>
        <v>93500</v>
      </c>
      <c r="N6" s="142"/>
      <c r="O6" s="142"/>
      <c r="P6" s="142"/>
    </row>
    <row r="7" ht="20.1" customHeight="1" spans="1:16">
      <c r="A7" s="124">
        <v>3</v>
      </c>
      <c r="B7" s="126" t="s">
        <v>13</v>
      </c>
      <c r="C7" s="127">
        <f>E5</f>
        <v>2671.42857142857</v>
      </c>
      <c r="D7" s="128">
        <v>0.03</v>
      </c>
      <c r="E7" s="129">
        <f t="shared" si="1"/>
        <v>80.14</v>
      </c>
      <c r="F7" s="129">
        <f t="shared" si="0"/>
        <v>80.14</v>
      </c>
      <c r="G7" s="126"/>
      <c r="J7" s="145"/>
      <c r="K7" s="148"/>
      <c r="N7" s="142"/>
      <c r="O7" s="142"/>
      <c r="P7" s="142"/>
    </row>
    <row r="8" ht="20.1" customHeight="1" spans="1:16">
      <c r="A8" s="124">
        <v>4</v>
      </c>
      <c r="B8" s="126" t="s">
        <v>14</v>
      </c>
      <c r="C8" s="127">
        <f>E5</f>
        <v>2671.42857142857</v>
      </c>
      <c r="D8" s="128">
        <v>0.02</v>
      </c>
      <c r="E8" s="129">
        <f t="shared" si="1"/>
        <v>53.43</v>
      </c>
      <c r="F8" s="129">
        <f t="shared" si="0"/>
        <v>53.43</v>
      </c>
      <c r="G8" s="126"/>
      <c r="J8" s="145"/>
      <c r="K8" s="148"/>
      <c r="N8" s="142"/>
      <c r="O8" s="142"/>
      <c r="P8" s="142"/>
    </row>
    <row r="9" ht="20.1" customHeight="1" spans="1:16">
      <c r="A9" s="124">
        <v>5</v>
      </c>
      <c r="B9" s="126" t="s">
        <v>15</v>
      </c>
      <c r="C9" s="127">
        <v>0</v>
      </c>
      <c r="D9" s="128">
        <v>0.02</v>
      </c>
      <c r="E9" s="129">
        <f t="shared" si="1"/>
        <v>0</v>
      </c>
      <c r="F9" s="129">
        <f t="shared" si="0"/>
        <v>0</v>
      </c>
      <c r="G9" s="126"/>
      <c r="J9" s="113"/>
      <c r="N9" s="142"/>
      <c r="O9" s="142"/>
      <c r="P9" s="142"/>
    </row>
    <row r="10" ht="20.1" customHeight="1" spans="1:16">
      <c r="A10" s="124">
        <v>6</v>
      </c>
      <c r="B10" s="126" t="s">
        <v>16</v>
      </c>
      <c r="C10" s="130">
        <f>E9</f>
        <v>0</v>
      </c>
      <c r="D10" s="128">
        <v>0.07</v>
      </c>
      <c r="E10" s="129">
        <f t="shared" si="1"/>
        <v>0</v>
      </c>
      <c r="F10" s="129">
        <f t="shared" si="0"/>
        <v>0</v>
      </c>
      <c r="G10" s="126"/>
      <c r="N10" s="142"/>
      <c r="O10" s="142"/>
      <c r="P10" s="142"/>
    </row>
    <row r="11" ht="20.1" customHeight="1" spans="1:16">
      <c r="A11" s="124">
        <v>7</v>
      </c>
      <c r="B11" s="126" t="s">
        <v>17</v>
      </c>
      <c r="C11" s="130">
        <f>E9</f>
        <v>0</v>
      </c>
      <c r="D11" s="128">
        <v>0.03</v>
      </c>
      <c r="E11" s="129">
        <f t="shared" si="1"/>
        <v>0</v>
      </c>
      <c r="F11" s="129">
        <f t="shared" si="0"/>
        <v>0</v>
      </c>
      <c r="G11" s="126"/>
      <c r="N11" s="142"/>
      <c r="O11" s="142"/>
      <c r="P11" s="142"/>
    </row>
    <row r="12" ht="20.1" customHeight="1" spans="1:16">
      <c r="A12" s="124">
        <v>8</v>
      </c>
      <c r="B12" s="126" t="s">
        <v>18</v>
      </c>
      <c r="C12" s="130">
        <f>E9</f>
        <v>0</v>
      </c>
      <c r="D12" s="128">
        <v>0.02</v>
      </c>
      <c r="E12" s="129">
        <f t="shared" si="1"/>
        <v>0</v>
      </c>
      <c r="F12" s="129">
        <f t="shared" si="0"/>
        <v>0</v>
      </c>
      <c r="G12" s="126"/>
      <c r="N12" s="142"/>
      <c r="O12" s="142"/>
      <c r="P12" s="142"/>
    </row>
    <row r="13" ht="20.1" customHeight="1" spans="1:16">
      <c r="A13" s="124">
        <v>9</v>
      </c>
      <c r="B13" s="126" t="s">
        <v>19</v>
      </c>
      <c r="C13" s="130">
        <f>0/1.05</f>
        <v>0</v>
      </c>
      <c r="D13" s="128">
        <v>0.01</v>
      </c>
      <c r="E13" s="129">
        <f t="shared" si="1"/>
        <v>0</v>
      </c>
      <c r="F13" s="129">
        <f t="shared" si="0"/>
        <v>0</v>
      </c>
      <c r="G13" s="126"/>
      <c r="N13" s="142"/>
      <c r="O13" s="142"/>
      <c r="P13" s="142"/>
    </row>
    <row r="14" ht="20.1" customHeight="1" spans="1:16">
      <c r="A14" s="124">
        <v>10</v>
      </c>
      <c r="B14" s="126" t="s">
        <v>20</v>
      </c>
      <c r="C14" s="130">
        <f>K6/1.05</f>
        <v>89047.619047619</v>
      </c>
      <c r="D14" s="128">
        <v>0.03</v>
      </c>
      <c r="E14" s="129">
        <f t="shared" si="1"/>
        <v>2671.43</v>
      </c>
      <c r="F14" s="129">
        <f t="shared" si="0"/>
        <v>2671.43</v>
      </c>
      <c r="G14" s="126"/>
      <c r="N14" s="142"/>
      <c r="O14" s="142"/>
      <c r="P14" s="142"/>
    </row>
    <row r="15" ht="20.1" customHeight="1" spans="1:16">
      <c r="A15" s="124">
        <v>11</v>
      </c>
      <c r="B15" s="126" t="s">
        <v>21</v>
      </c>
      <c r="C15" s="130">
        <v>0</v>
      </c>
      <c r="D15" s="131">
        <v>0.0005</v>
      </c>
      <c r="E15" s="129">
        <f>C15*D15</f>
        <v>0</v>
      </c>
      <c r="F15" s="129">
        <f t="shared" si="0"/>
        <v>0</v>
      </c>
      <c r="G15" s="126"/>
      <c r="N15" s="142"/>
      <c r="O15" s="142"/>
      <c r="P15" s="142"/>
    </row>
    <row r="16" ht="20.1" customHeight="1" spans="1:16">
      <c r="A16" s="124">
        <v>12</v>
      </c>
      <c r="B16" s="126" t="s">
        <v>22</v>
      </c>
      <c r="C16" s="130">
        <v>0</v>
      </c>
      <c r="D16" s="131">
        <v>0.0003</v>
      </c>
      <c r="E16" s="129">
        <f>ROUND(C16*D16,2)</f>
        <v>0</v>
      </c>
      <c r="F16" s="129">
        <f t="shared" si="0"/>
        <v>0</v>
      </c>
      <c r="G16" s="126"/>
      <c r="N16" s="142"/>
      <c r="O16" s="142"/>
      <c r="P16" s="142"/>
    </row>
    <row r="17" ht="20.1" customHeight="1" spans="1:16">
      <c r="A17" s="124">
        <v>13</v>
      </c>
      <c r="B17" s="126" t="s">
        <v>23</v>
      </c>
      <c r="C17" s="130"/>
      <c r="D17" s="131"/>
      <c r="E17" s="129">
        <v>187497.54</v>
      </c>
      <c r="F17" s="129">
        <f t="shared" si="0"/>
        <v>187497.54</v>
      </c>
      <c r="G17" s="126"/>
      <c r="N17" s="142"/>
      <c r="O17" s="142"/>
      <c r="P17" s="142"/>
    </row>
    <row r="18" ht="20.1" customHeight="1" spans="1:16">
      <c r="A18" s="132" t="s">
        <v>24</v>
      </c>
      <c r="B18" s="132"/>
      <c r="C18" s="132"/>
      <c r="D18" s="132"/>
      <c r="E18" s="133">
        <f>SUM(E5:E17)</f>
        <v>193160.968571429</v>
      </c>
      <c r="F18" s="133">
        <f>SUM(F5:F17)</f>
        <v>193160.968571429</v>
      </c>
      <c r="G18" s="134"/>
      <c r="N18" s="142"/>
      <c r="O18" s="142"/>
      <c r="P18" s="142"/>
    </row>
    <row r="19" ht="20.1" customHeight="1" spans="1:16">
      <c r="A19" s="135"/>
      <c r="B19" s="136" t="s">
        <v>25</v>
      </c>
      <c r="C19" s="136"/>
      <c r="D19" s="137"/>
      <c r="E19" s="129">
        <f>土地使用税!K9</f>
        <v>67297.015</v>
      </c>
      <c r="F19" s="129">
        <f>E19</f>
        <v>67297.015</v>
      </c>
      <c r="G19" s="126"/>
      <c r="N19" s="142"/>
      <c r="O19" s="142"/>
      <c r="P19" s="142"/>
    </row>
    <row r="20" ht="20.1" customHeight="1" spans="1:16">
      <c r="A20" s="138" t="s">
        <v>26</v>
      </c>
      <c r="B20" s="139"/>
      <c r="C20" s="139"/>
      <c r="D20" s="140"/>
      <c r="E20" s="133">
        <f>E18+E19</f>
        <v>260457.983571429</v>
      </c>
      <c r="F20" s="133">
        <f>F18+F19</f>
        <v>260457.983571429</v>
      </c>
      <c r="G20" s="134"/>
      <c r="N20" s="142"/>
      <c r="O20" s="142"/>
      <c r="P20" s="142"/>
    </row>
  </sheetData>
  <mergeCells count="5">
    <mergeCell ref="O1:P1"/>
    <mergeCell ref="A2:G2"/>
    <mergeCell ref="A3:G3"/>
    <mergeCell ref="A18:D18"/>
    <mergeCell ref="A20:D20"/>
  </mergeCells>
  <pageMargins left="0.590277777777778" right="0.472222222222222" top="1" bottom="1" header="0.5" footer="0.5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N11"/>
  <sheetViews>
    <sheetView view="pageBreakPreview" zoomScale="70" zoomScaleNormal="55" workbookViewId="0">
      <selection activeCell="A4" sqref="$A4:$XFD7"/>
    </sheetView>
  </sheetViews>
  <sheetFormatPr defaultColWidth="9" defaultRowHeight="13.5"/>
  <cols>
    <col min="1" max="1" width="9" style="2"/>
    <col min="2" max="2" width="22.25" style="2" customWidth="1"/>
    <col min="3" max="3" width="20.375" style="2" customWidth="1"/>
    <col min="4" max="5" width="32.625" style="2" customWidth="1"/>
    <col min="6" max="6" width="31.75" style="162" customWidth="1"/>
    <col min="7" max="7" width="31.25" style="162" customWidth="1"/>
    <col min="8" max="9" width="10.625" style="2" customWidth="1"/>
    <col min="10" max="10" width="24.5" style="162" customWidth="1"/>
    <col min="11" max="11" width="23.125" style="162" customWidth="1"/>
    <col min="12" max="12" width="18.5" style="2" customWidth="1"/>
    <col min="13" max="13" width="46.625" style="2" customWidth="1"/>
    <col min="14" max="14" width="17.75" style="2" customWidth="1"/>
    <col min="15" max="16384" width="9" style="2"/>
  </cols>
  <sheetData>
    <row r="4" ht="95.1" customHeight="1" spans="1:14">
      <c r="A4" s="163" t="s">
        <v>27</v>
      </c>
      <c r="B4" s="163"/>
      <c r="C4" s="163"/>
      <c r="D4" s="163"/>
      <c r="E4" s="163"/>
      <c r="F4" s="164"/>
      <c r="G4" s="164"/>
      <c r="H4" s="163"/>
      <c r="I4" s="163"/>
      <c r="J4" s="164"/>
      <c r="K4" s="164"/>
      <c r="L4" s="163"/>
      <c r="M4" s="163"/>
      <c r="N4" s="163"/>
    </row>
    <row r="5" s="97" customFormat="1" ht="77.1" customHeight="1" spans="1:14">
      <c r="A5" s="165" t="s">
        <v>3</v>
      </c>
      <c r="B5" s="165" t="s">
        <v>28</v>
      </c>
      <c r="C5" s="166" t="s">
        <v>29</v>
      </c>
      <c r="D5" s="167" t="s">
        <v>30</v>
      </c>
      <c r="E5" s="167" t="s">
        <v>31</v>
      </c>
      <c r="F5" s="168" t="s">
        <v>32</v>
      </c>
      <c r="G5" s="168" t="s">
        <v>33</v>
      </c>
      <c r="H5" s="165" t="s">
        <v>34</v>
      </c>
      <c r="I5" s="165" t="s">
        <v>35</v>
      </c>
      <c r="J5" s="176" t="s">
        <v>36</v>
      </c>
      <c r="K5" s="176" t="s">
        <v>37</v>
      </c>
      <c r="L5" s="165" t="s">
        <v>38</v>
      </c>
      <c r="M5" s="165" t="s">
        <v>39</v>
      </c>
      <c r="N5" s="165" t="s">
        <v>7</v>
      </c>
    </row>
    <row r="6" ht="77.1" customHeight="1" spans="1:14">
      <c r="A6" s="169">
        <v>1</v>
      </c>
      <c r="B6" s="169" t="s">
        <v>40</v>
      </c>
      <c r="C6" s="169">
        <v>33446.1</v>
      </c>
      <c r="D6" s="170">
        <v>58118.02</v>
      </c>
      <c r="E6" s="170">
        <f>系统合同备案面积表!F17</f>
        <v>25292.23</v>
      </c>
      <c r="F6" s="171">
        <f>(E6+E7)/(D6+D7)*(C6+C7)</f>
        <v>49298.5355872068</v>
      </c>
      <c r="G6" s="171">
        <f>C6+C7-F6</f>
        <v>21335.7644127932</v>
      </c>
      <c r="H6" s="169" t="s">
        <v>41</v>
      </c>
      <c r="I6" s="169">
        <v>6</v>
      </c>
      <c r="J6" s="177">
        <f>ROUND(G6*I6,2)</f>
        <v>128014.59</v>
      </c>
      <c r="K6" s="177">
        <f>128569.42/2</f>
        <v>64284.71</v>
      </c>
      <c r="L6" s="169" t="s">
        <v>42</v>
      </c>
      <c r="M6" s="169" t="s">
        <v>43</v>
      </c>
      <c r="N6" s="169" t="s">
        <v>44</v>
      </c>
    </row>
    <row r="7" ht="77.1" customHeight="1" spans="1:14">
      <c r="A7" s="169">
        <v>2</v>
      </c>
      <c r="B7" s="169" t="s">
        <v>45</v>
      </c>
      <c r="C7" s="169">
        <v>37188.2</v>
      </c>
      <c r="D7" s="170">
        <f>21670.6+14820.21</f>
        <v>36490.81</v>
      </c>
      <c r="E7" s="170">
        <f>系统合同备案面积表!C17</f>
        <v>40739.1</v>
      </c>
      <c r="F7" s="172"/>
      <c r="G7" s="172"/>
      <c r="H7" s="169" t="s">
        <v>41</v>
      </c>
      <c r="I7" s="169">
        <v>6</v>
      </c>
      <c r="J7" s="178"/>
      <c r="K7" s="178"/>
      <c r="L7" s="169" t="s">
        <v>46</v>
      </c>
      <c r="M7" s="169" t="s">
        <v>47</v>
      </c>
      <c r="N7" s="169" t="s">
        <v>44</v>
      </c>
    </row>
    <row r="8" ht="77.1" customHeight="1" spans="1:14">
      <c r="A8" s="169">
        <v>3</v>
      </c>
      <c r="B8" s="169" t="s">
        <v>48</v>
      </c>
      <c r="C8" s="169">
        <v>27452.9</v>
      </c>
      <c r="D8" s="170">
        <v>46436.07</v>
      </c>
      <c r="E8" s="170">
        <f>系统合同备案面积表!I17</f>
        <v>44737.65</v>
      </c>
      <c r="F8" s="173">
        <f>E8/D8*C8</f>
        <v>26448.7979212065</v>
      </c>
      <c r="G8" s="173">
        <f>C8-F8</f>
        <v>1004.10207879349</v>
      </c>
      <c r="H8" s="169" t="s">
        <v>41</v>
      </c>
      <c r="I8" s="169">
        <v>6</v>
      </c>
      <c r="J8" s="179">
        <f>ROUND(G8*I8,2)</f>
        <v>6024.61</v>
      </c>
      <c r="K8" s="179">
        <f>J8/2</f>
        <v>3012.305</v>
      </c>
      <c r="L8" s="169" t="s">
        <v>49</v>
      </c>
      <c r="M8" s="169" t="s">
        <v>50</v>
      </c>
      <c r="N8" s="169" t="s">
        <v>44</v>
      </c>
    </row>
    <row r="9" ht="77.1" customHeight="1" spans="1:14">
      <c r="A9" s="169" t="s">
        <v>51</v>
      </c>
      <c r="B9" s="169"/>
      <c r="C9" s="169">
        <f>SUM(C6:C8)</f>
        <v>98087.2</v>
      </c>
      <c r="D9" s="170">
        <f>SUM(D6:D8)</f>
        <v>141044.9</v>
      </c>
      <c r="E9" s="170">
        <f>SUM(E6:E8)</f>
        <v>110768.98</v>
      </c>
      <c r="F9" s="173">
        <f>E9/D9*C9</f>
        <v>77032.3428571752</v>
      </c>
      <c r="G9" s="173">
        <f>C9-F9</f>
        <v>21054.8571428247</v>
      </c>
      <c r="H9" s="174"/>
      <c r="I9" s="174"/>
      <c r="J9" s="179">
        <f>SUM(J6:J8)</f>
        <v>134039.2</v>
      </c>
      <c r="K9" s="179">
        <f>SUM(K6:K8)</f>
        <v>67297.015</v>
      </c>
      <c r="L9" s="169"/>
      <c r="M9" s="169"/>
      <c r="N9" s="174"/>
    </row>
    <row r="10" ht="77.1" customHeight="1"/>
    <row r="11" ht="77.1" customHeight="1" spans="2:5">
      <c r="B11" s="175" t="s">
        <v>52</v>
      </c>
      <c r="E11" s="175" t="s">
        <v>53</v>
      </c>
    </row>
  </sheetData>
  <mergeCells count="6">
    <mergeCell ref="A4:N4"/>
    <mergeCell ref="A9:B9"/>
    <mergeCell ref="F6:F7"/>
    <mergeCell ref="G6:G7"/>
    <mergeCell ref="J6:J7"/>
    <mergeCell ref="K6:K7"/>
  </mergeCells>
  <pageMargins left="0.75" right="0.75" top="1" bottom="1" header="0.5" footer="0.5"/>
  <pageSetup paperSize="9" scale="4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"/>
  <sheetViews>
    <sheetView view="pageBreakPreview" zoomScaleNormal="100" topLeftCell="A6" workbookViewId="0">
      <selection activeCell="I9" sqref="I9"/>
    </sheetView>
  </sheetViews>
  <sheetFormatPr defaultColWidth="9" defaultRowHeight="13.5"/>
  <cols>
    <col min="2" max="2" width="9" style="149"/>
    <col min="3" max="3" width="17.125" style="149" customWidth="1"/>
    <col min="5" max="5" width="9" style="149"/>
    <col min="6" max="6" width="17.125" customWidth="1"/>
    <col min="8" max="8" width="9" style="149"/>
    <col min="9" max="9" width="17.125" customWidth="1"/>
  </cols>
  <sheetData>
    <row r="1" ht="14.25"/>
    <row r="2" ht="27.95" customHeight="1" spans="2:9">
      <c r="B2" s="150"/>
      <c r="C2" s="151" t="s">
        <v>54</v>
      </c>
      <c r="D2" s="152"/>
      <c r="E2" s="150"/>
      <c r="F2" s="151" t="s">
        <v>54</v>
      </c>
      <c r="H2" s="150"/>
      <c r="I2" s="151" t="s">
        <v>54</v>
      </c>
    </row>
    <row r="3" ht="27.95" customHeight="1" spans="2:9">
      <c r="B3" s="153" t="s">
        <v>55</v>
      </c>
      <c r="C3" s="154">
        <v>2577.1</v>
      </c>
      <c r="D3" s="152"/>
      <c r="E3" s="153" t="s">
        <v>56</v>
      </c>
      <c r="F3" s="154">
        <v>111.63</v>
      </c>
      <c r="H3" s="153" t="s">
        <v>57</v>
      </c>
      <c r="I3" s="157">
        <v>12713.57</v>
      </c>
    </row>
    <row r="4" ht="27.95" customHeight="1" spans="2:9">
      <c r="B4" s="153" t="s">
        <v>58</v>
      </c>
      <c r="C4" s="154">
        <v>3951.47</v>
      </c>
      <c r="D4" s="152"/>
      <c r="E4" s="153" t="s">
        <v>59</v>
      </c>
      <c r="F4" s="154">
        <v>415.88</v>
      </c>
      <c r="H4" s="153" t="s">
        <v>60</v>
      </c>
      <c r="I4" s="157">
        <v>4449.24</v>
      </c>
    </row>
    <row r="5" ht="27.95" customHeight="1" spans="2:9">
      <c r="B5" s="153" t="s">
        <v>61</v>
      </c>
      <c r="C5" s="154">
        <v>3968.06</v>
      </c>
      <c r="D5" s="152"/>
      <c r="E5" s="153" t="s">
        <v>62</v>
      </c>
      <c r="F5" s="154">
        <v>2619.95</v>
      </c>
      <c r="H5" s="153" t="s">
        <v>63</v>
      </c>
      <c r="I5" s="157">
        <v>2313.8</v>
      </c>
    </row>
    <row r="6" ht="27.95" customHeight="1" spans="2:9">
      <c r="B6" s="153" t="s">
        <v>64</v>
      </c>
      <c r="C6" s="155">
        <v>4912.44</v>
      </c>
      <c r="D6" s="152"/>
      <c r="E6" s="153" t="s">
        <v>65</v>
      </c>
      <c r="F6" s="154">
        <v>3098.45</v>
      </c>
      <c r="H6" s="153" t="s">
        <v>66</v>
      </c>
      <c r="I6" s="157">
        <v>3716.68</v>
      </c>
    </row>
    <row r="7" ht="27.95" customHeight="1" spans="2:9">
      <c r="B7" s="153" t="s">
        <v>67</v>
      </c>
      <c r="C7" s="154">
        <v>2211.79</v>
      </c>
      <c r="D7" s="152"/>
      <c r="E7" s="153" t="s">
        <v>68</v>
      </c>
      <c r="F7" s="154">
        <v>3089.97</v>
      </c>
      <c r="H7" s="153" t="s">
        <v>69</v>
      </c>
      <c r="I7" s="157">
        <v>10630.7</v>
      </c>
    </row>
    <row r="8" ht="27.95" customHeight="1" spans="2:9">
      <c r="B8" s="153" t="s">
        <v>70</v>
      </c>
      <c r="C8" s="154">
        <v>1881.48</v>
      </c>
      <c r="D8" s="152"/>
      <c r="E8" s="153" t="s">
        <v>71</v>
      </c>
      <c r="F8" s="156">
        <v>1805.8</v>
      </c>
      <c r="H8" s="153" t="s">
        <v>72</v>
      </c>
      <c r="I8" s="157">
        <v>4518.71</v>
      </c>
    </row>
    <row r="9" ht="27.95" customHeight="1" spans="2:9">
      <c r="B9" s="153" t="s">
        <v>73</v>
      </c>
      <c r="C9" s="154">
        <v>2813.16</v>
      </c>
      <c r="D9" s="152"/>
      <c r="E9" s="153" t="s">
        <v>74</v>
      </c>
      <c r="F9" s="154">
        <v>2519.44</v>
      </c>
      <c r="H9" s="153" t="s">
        <v>75</v>
      </c>
      <c r="I9" s="157">
        <v>6394.95</v>
      </c>
    </row>
    <row r="10" ht="27.95" customHeight="1" spans="2:9">
      <c r="B10" s="153" t="s">
        <v>76</v>
      </c>
      <c r="C10" s="154">
        <v>2931.82</v>
      </c>
      <c r="D10" s="152"/>
      <c r="E10" s="153" t="s">
        <v>77</v>
      </c>
      <c r="F10" s="154">
        <v>3706.92</v>
      </c>
      <c r="H10" s="153"/>
      <c r="I10" s="157"/>
    </row>
    <row r="11" ht="27.95" customHeight="1" spans="2:9">
      <c r="B11" s="153" t="s">
        <v>78</v>
      </c>
      <c r="C11" s="154">
        <v>3025.08</v>
      </c>
      <c r="D11" s="152"/>
      <c r="E11" s="153" t="s">
        <v>79</v>
      </c>
      <c r="F11" s="154">
        <v>2792.8</v>
      </c>
      <c r="H11" s="153"/>
      <c r="I11" s="157"/>
    </row>
    <row r="12" ht="27.95" customHeight="1" spans="2:9">
      <c r="B12" s="153" t="s">
        <v>80</v>
      </c>
      <c r="C12" s="154"/>
      <c r="D12" s="152"/>
      <c r="E12" s="153" t="s">
        <v>81</v>
      </c>
      <c r="F12" s="154">
        <v>3513.12</v>
      </c>
      <c r="H12" s="153"/>
      <c r="I12" s="157"/>
    </row>
    <row r="13" ht="27.95" customHeight="1" spans="2:9">
      <c r="B13" s="153" t="s">
        <v>82</v>
      </c>
      <c r="C13" s="154">
        <v>3928.92</v>
      </c>
      <c r="D13" s="152"/>
      <c r="E13" s="153" t="s">
        <v>83</v>
      </c>
      <c r="F13" s="154">
        <v>891.36</v>
      </c>
      <c r="H13" s="153"/>
      <c r="I13" s="157"/>
    </row>
    <row r="14" ht="27.95" customHeight="1" spans="2:9">
      <c r="B14" s="153" t="s">
        <v>84</v>
      </c>
      <c r="C14" s="154">
        <v>5636.76</v>
      </c>
      <c r="D14" s="152"/>
      <c r="E14" s="153" t="s">
        <v>85</v>
      </c>
      <c r="F14" s="154">
        <v>726.91</v>
      </c>
      <c r="H14" s="153"/>
      <c r="I14" s="157"/>
    </row>
    <row r="15" ht="27.95" customHeight="1" spans="2:9">
      <c r="B15" s="153" t="s">
        <v>86</v>
      </c>
      <c r="C15" s="154">
        <v>1946.04</v>
      </c>
      <c r="D15" s="152"/>
      <c r="E15" s="153" t="s">
        <v>87</v>
      </c>
      <c r="F15" s="154"/>
      <c r="H15" s="153"/>
      <c r="I15" s="157"/>
    </row>
    <row r="16" ht="27.95" customHeight="1" spans="2:9">
      <c r="B16" s="153" t="s">
        <v>88</v>
      </c>
      <c r="C16" s="154">
        <v>954.98</v>
      </c>
      <c r="D16" s="152"/>
      <c r="E16" s="153"/>
      <c r="F16" s="157"/>
      <c r="H16" s="153"/>
      <c r="I16" s="157"/>
    </row>
    <row r="17" ht="27.95" customHeight="1" spans="2:9">
      <c r="B17" s="158" t="s">
        <v>89</v>
      </c>
      <c r="C17" s="159">
        <f>SUM(C3:C16)</f>
        <v>40739.1</v>
      </c>
      <c r="D17" s="152"/>
      <c r="E17" s="158" t="s">
        <v>90</v>
      </c>
      <c r="F17" s="160">
        <f>SUM(F3:F16)</f>
        <v>25292.23</v>
      </c>
      <c r="H17" s="158" t="s">
        <v>91</v>
      </c>
      <c r="I17" s="160">
        <f>SUM(I3:I16)</f>
        <v>44737.65</v>
      </c>
    </row>
    <row r="18" ht="27.95" customHeight="1" spans="2:3">
      <c r="B18" s="161" t="s">
        <v>26</v>
      </c>
      <c r="C18" s="161">
        <f>C17+F17+I17</f>
        <v>110768.98</v>
      </c>
    </row>
  </sheetData>
  <pageMargins left="0.75" right="0.75" top="1" bottom="1" header="0.5" footer="0.5"/>
  <pageSetup paperSize="9" scale="8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E12" sqref="E12"/>
    </sheetView>
  </sheetViews>
  <sheetFormatPr defaultColWidth="9" defaultRowHeight="12"/>
  <cols>
    <col min="1" max="1" width="5.875" style="113" customWidth="1"/>
    <col min="2" max="2" width="20.75" style="113" customWidth="1"/>
    <col min="3" max="3" width="13.5" style="113" customWidth="1"/>
    <col min="4" max="4" width="9.375" style="113"/>
    <col min="5" max="5" width="16.125" style="114" customWidth="1"/>
    <col min="6" max="6" width="17.5" style="114" customWidth="1"/>
    <col min="7" max="7" width="13.125" style="113" customWidth="1"/>
    <col min="8" max="8" width="4.5" style="113" customWidth="1"/>
    <col min="9" max="9" width="8.25" style="115" customWidth="1"/>
    <col min="10" max="10" width="48.125" style="116" customWidth="1"/>
    <col min="11" max="11" width="27.625" style="113" customWidth="1"/>
    <col min="12" max="12" width="12.75" style="113" customWidth="1"/>
    <col min="13" max="13" width="11" style="113" customWidth="1"/>
    <col min="14" max="14" width="13.375" style="117" customWidth="1"/>
    <col min="15" max="15" width="16" style="117"/>
    <col min="16" max="16" width="12.625" style="117"/>
    <col min="17" max="16384" width="9" style="113"/>
  </cols>
  <sheetData>
    <row r="1" spans="15:16">
      <c r="O1" s="141"/>
      <c r="P1" s="141"/>
    </row>
    <row r="2" ht="9" customHeight="1" spans="1:16">
      <c r="A2" s="118"/>
      <c r="B2" s="119"/>
      <c r="C2" s="119"/>
      <c r="D2" s="119"/>
      <c r="E2" s="120"/>
      <c r="F2" s="120"/>
      <c r="G2" s="121"/>
      <c r="N2" s="142"/>
      <c r="O2" s="142"/>
      <c r="P2" s="142"/>
    </row>
    <row r="3" ht="20.1" customHeight="1" spans="1:16">
      <c r="A3" s="122" t="s">
        <v>0</v>
      </c>
      <c r="B3" s="122"/>
      <c r="C3" s="122"/>
      <c r="D3" s="122"/>
      <c r="E3" s="123"/>
      <c r="F3" s="123"/>
      <c r="G3" s="122"/>
      <c r="J3" s="143" t="s">
        <v>1</v>
      </c>
      <c r="K3" s="144" t="s">
        <v>2</v>
      </c>
      <c r="N3" s="142"/>
      <c r="O3" s="142"/>
      <c r="P3" s="142"/>
    </row>
    <row r="4" ht="20.1" customHeight="1" spans="1:16">
      <c r="A4" s="124" t="s">
        <v>3</v>
      </c>
      <c r="B4" s="124" t="s">
        <v>4</v>
      </c>
      <c r="C4" s="124" t="s">
        <v>2</v>
      </c>
      <c r="D4" s="124" t="s">
        <v>5</v>
      </c>
      <c r="E4" s="125" t="s">
        <v>2</v>
      </c>
      <c r="F4" s="125" t="s">
        <v>6</v>
      </c>
      <c r="G4" s="124" t="s">
        <v>7</v>
      </c>
      <c r="J4" s="145" t="s">
        <v>8</v>
      </c>
      <c r="K4" s="146">
        <v>33000</v>
      </c>
      <c r="N4" s="142"/>
      <c r="O4" s="142"/>
      <c r="P4" s="142"/>
    </row>
    <row r="5" ht="20.1" customHeight="1" spans="1:16">
      <c r="A5" s="124">
        <v>1</v>
      </c>
      <c r="B5" s="126" t="s">
        <v>9</v>
      </c>
      <c r="C5" s="127">
        <f>K6</f>
        <v>93500</v>
      </c>
      <c r="D5" s="128">
        <v>0.03</v>
      </c>
      <c r="E5" s="129">
        <f>C5/1.05*D5</f>
        <v>2671.42857142857</v>
      </c>
      <c r="F5" s="129">
        <f t="shared" ref="F5:F17" si="0">E5</f>
        <v>2671.42857142857</v>
      </c>
      <c r="G5" s="126"/>
      <c r="J5" s="145" t="s">
        <v>10</v>
      </c>
      <c r="K5" s="146">
        <v>60500</v>
      </c>
      <c r="N5" s="142"/>
      <c r="O5" s="142"/>
      <c r="P5" s="142"/>
    </row>
    <row r="6" ht="20.1" customHeight="1" spans="1:16">
      <c r="A6" s="124">
        <v>2</v>
      </c>
      <c r="B6" s="126" t="s">
        <v>11</v>
      </c>
      <c r="C6" s="127">
        <f>F5</f>
        <v>2671.42857142857</v>
      </c>
      <c r="D6" s="128">
        <v>0.07</v>
      </c>
      <c r="E6" s="129">
        <f t="shared" ref="E6:E14" si="1">ROUND(C6*D6,2)</f>
        <v>187</v>
      </c>
      <c r="F6" s="129">
        <f t="shared" si="0"/>
        <v>187</v>
      </c>
      <c r="G6" s="126"/>
      <c r="J6" s="147" t="s">
        <v>12</v>
      </c>
      <c r="K6" s="146">
        <f>SUM(K4:K5)</f>
        <v>93500</v>
      </c>
      <c r="N6" s="142"/>
      <c r="O6" s="142"/>
      <c r="P6" s="142"/>
    </row>
    <row r="7" ht="20.1" customHeight="1" spans="1:16">
      <c r="A7" s="124">
        <v>3</v>
      </c>
      <c r="B7" s="126" t="s">
        <v>13</v>
      </c>
      <c r="C7" s="127">
        <f>E5</f>
        <v>2671.42857142857</v>
      </c>
      <c r="D7" s="128">
        <v>0.03</v>
      </c>
      <c r="E7" s="129">
        <f t="shared" si="1"/>
        <v>80.14</v>
      </c>
      <c r="F7" s="129">
        <f t="shared" si="0"/>
        <v>80.14</v>
      </c>
      <c r="G7" s="126"/>
      <c r="J7" s="145"/>
      <c r="K7" s="148"/>
      <c r="N7" s="142"/>
      <c r="O7" s="142"/>
      <c r="P7" s="142"/>
    </row>
    <row r="8" ht="20.1" customHeight="1" spans="1:16">
      <c r="A8" s="124">
        <v>4</v>
      </c>
      <c r="B8" s="126" t="s">
        <v>14</v>
      </c>
      <c r="C8" s="127">
        <f>E5</f>
        <v>2671.42857142857</v>
      </c>
      <c r="D8" s="128">
        <v>0.02</v>
      </c>
      <c r="E8" s="129">
        <f t="shared" si="1"/>
        <v>53.43</v>
      </c>
      <c r="F8" s="129">
        <f t="shared" si="0"/>
        <v>53.43</v>
      </c>
      <c r="G8" s="126"/>
      <c r="J8" s="145"/>
      <c r="K8" s="148"/>
      <c r="N8" s="142"/>
      <c r="O8" s="142"/>
      <c r="P8" s="142"/>
    </row>
    <row r="9" ht="20.1" customHeight="1" spans="1:16">
      <c r="A9" s="124">
        <v>5</v>
      </c>
      <c r="B9" s="126" t="s">
        <v>15</v>
      </c>
      <c r="C9" s="127">
        <v>0</v>
      </c>
      <c r="D9" s="128">
        <v>0.02</v>
      </c>
      <c r="E9" s="129">
        <f t="shared" si="1"/>
        <v>0</v>
      </c>
      <c r="F9" s="129">
        <f t="shared" si="0"/>
        <v>0</v>
      </c>
      <c r="G9" s="126"/>
      <c r="J9" s="113"/>
      <c r="N9" s="142"/>
      <c r="O9" s="142"/>
      <c r="P9" s="142"/>
    </row>
    <row r="10" ht="20.1" customHeight="1" spans="1:16">
      <c r="A10" s="124">
        <v>6</v>
      </c>
      <c r="B10" s="126" t="s">
        <v>16</v>
      </c>
      <c r="C10" s="130">
        <f>E9</f>
        <v>0</v>
      </c>
      <c r="D10" s="128">
        <v>0.07</v>
      </c>
      <c r="E10" s="129">
        <f t="shared" si="1"/>
        <v>0</v>
      </c>
      <c r="F10" s="129">
        <f t="shared" si="0"/>
        <v>0</v>
      </c>
      <c r="G10" s="126"/>
      <c r="N10" s="142"/>
      <c r="O10" s="142"/>
      <c r="P10" s="142"/>
    </row>
    <row r="11" ht="20.1" customHeight="1" spans="1:16">
      <c r="A11" s="124">
        <v>7</v>
      </c>
      <c r="B11" s="126" t="s">
        <v>17</v>
      </c>
      <c r="C11" s="130">
        <f>E9</f>
        <v>0</v>
      </c>
      <c r="D11" s="128">
        <v>0.03</v>
      </c>
      <c r="E11" s="129">
        <f t="shared" si="1"/>
        <v>0</v>
      </c>
      <c r="F11" s="129">
        <f t="shared" si="0"/>
        <v>0</v>
      </c>
      <c r="G11" s="126"/>
      <c r="N11" s="142"/>
      <c r="O11" s="142"/>
      <c r="P11" s="142"/>
    </row>
    <row r="12" ht="20.1" customHeight="1" spans="1:16">
      <c r="A12" s="124">
        <v>8</v>
      </c>
      <c r="B12" s="126" t="s">
        <v>18</v>
      </c>
      <c r="C12" s="130">
        <f>E9</f>
        <v>0</v>
      </c>
      <c r="D12" s="128">
        <v>0.02</v>
      </c>
      <c r="E12" s="129">
        <f t="shared" si="1"/>
        <v>0</v>
      </c>
      <c r="F12" s="129">
        <f t="shared" si="0"/>
        <v>0</v>
      </c>
      <c r="G12" s="126"/>
      <c r="N12" s="142"/>
      <c r="O12" s="142"/>
      <c r="P12" s="142"/>
    </row>
    <row r="13" ht="20.1" customHeight="1" spans="1:16">
      <c r="A13" s="124">
        <v>9</v>
      </c>
      <c r="B13" s="126" t="s">
        <v>19</v>
      </c>
      <c r="C13" s="130">
        <f>0/1.05</f>
        <v>0</v>
      </c>
      <c r="D13" s="128">
        <v>0.01</v>
      </c>
      <c r="E13" s="129">
        <f t="shared" si="1"/>
        <v>0</v>
      </c>
      <c r="F13" s="129">
        <f t="shared" si="0"/>
        <v>0</v>
      </c>
      <c r="G13" s="126"/>
      <c r="N13" s="142"/>
      <c r="O13" s="142"/>
      <c r="P13" s="142"/>
    </row>
    <row r="14" ht="20.1" customHeight="1" spans="1:16">
      <c r="A14" s="124">
        <v>10</v>
      </c>
      <c r="B14" s="126" t="s">
        <v>20</v>
      </c>
      <c r="C14" s="130">
        <f>K6/1.05</f>
        <v>89047.619047619</v>
      </c>
      <c r="D14" s="128">
        <v>0.03</v>
      </c>
      <c r="E14" s="129">
        <f t="shared" si="1"/>
        <v>2671.43</v>
      </c>
      <c r="F14" s="129">
        <f t="shared" si="0"/>
        <v>2671.43</v>
      </c>
      <c r="G14" s="126"/>
      <c r="N14" s="142"/>
      <c r="O14" s="142"/>
      <c r="P14" s="142"/>
    </row>
    <row r="15" ht="20.1" customHeight="1" spans="1:16">
      <c r="A15" s="124">
        <v>11</v>
      </c>
      <c r="B15" s="126" t="s">
        <v>21</v>
      </c>
      <c r="C15" s="130">
        <v>0</v>
      </c>
      <c r="D15" s="131">
        <v>0.0005</v>
      </c>
      <c r="E15" s="129">
        <f>C15*D15</f>
        <v>0</v>
      </c>
      <c r="F15" s="129">
        <f t="shared" si="0"/>
        <v>0</v>
      </c>
      <c r="G15" s="126"/>
      <c r="N15" s="142"/>
      <c r="O15" s="142"/>
      <c r="P15" s="142"/>
    </row>
    <row r="16" ht="20.1" customHeight="1" spans="1:16">
      <c r="A16" s="124">
        <v>12</v>
      </c>
      <c r="B16" s="126" t="s">
        <v>22</v>
      </c>
      <c r="C16" s="130">
        <v>0</v>
      </c>
      <c r="D16" s="131">
        <v>0.0003</v>
      </c>
      <c r="E16" s="129">
        <f>ROUND(C16*D16,2)</f>
        <v>0</v>
      </c>
      <c r="F16" s="129">
        <f t="shared" si="0"/>
        <v>0</v>
      </c>
      <c r="G16" s="126"/>
      <c r="N16" s="142"/>
      <c r="O16" s="142"/>
      <c r="P16" s="142"/>
    </row>
    <row r="17" ht="20.1" customHeight="1" spans="1:16">
      <c r="A17" s="124">
        <v>13</v>
      </c>
      <c r="B17" s="126" t="s">
        <v>23</v>
      </c>
      <c r="C17" s="130"/>
      <c r="D17" s="131"/>
      <c r="E17" s="129">
        <v>187497.54</v>
      </c>
      <c r="F17" s="129">
        <f t="shared" si="0"/>
        <v>187497.54</v>
      </c>
      <c r="G17" s="126"/>
      <c r="N17" s="142"/>
      <c r="O17" s="142"/>
      <c r="P17" s="142"/>
    </row>
    <row r="18" ht="20.1" customHeight="1" spans="1:16">
      <c r="A18" s="132" t="s">
        <v>24</v>
      </c>
      <c r="B18" s="132"/>
      <c r="C18" s="132"/>
      <c r="D18" s="132"/>
      <c r="E18" s="133">
        <f>SUM(E5:E17)</f>
        <v>193160.968571429</v>
      </c>
      <c r="F18" s="133">
        <f>SUM(F5:F17)</f>
        <v>193160.968571429</v>
      </c>
      <c r="G18" s="134"/>
      <c r="N18" s="142"/>
      <c r="O18" s="142"/>
      <c r="P18" s="142"/>
    </row>
    <row r="19" ht="20.1" customHeight="1" spans="1:16">
      <c r="A19" s="135"/>
      <c r="B19" s="136" t="s">
        <v>25</v>
      </c>
      <c r="C19" s="136"/>
      <c r="D19" s="137"/>
      <c r="E19" s="129">
        <f>土地使用税!K9</f>
        <v>67297.015</v>
      </c>
      <c r="F19" s="129">
        <f>E19</f>
        <v>67297.015</v>
      </c>
      <c r="G19" s="126"/>
      <c r="N19" s="142"/>
      <c r="O19" s="142"/>
      <c r="P19" s="142"/>
    </row>
    <row r="20" ht="20.1" customHeight="1" spans="1:16">
      <c r="A20" s="138" t="s">
        <v>26</v>
      </c>
      <c r="B20" s="139"/>
      <c r="C20" s="139"/>
      <c r="D20" s="140"/>
      <c r="E20" s="133">
        <f>E18+E19</f>
        <v>260457.983571429</v>
      </c>
      <c r="F20" s="133">
        <f>F18+F19</f>
        <v>260457.983571429</v>
      </c>
      <c r="G20" s="134"/>
      <c r="N20" s="142"/>
      <c r="O20" s="142"/>
      <c r="P20" s="142"/>
    </row>
  </sheetData>
  <mergeCells count="5">
    <mergeCell ref="O1:P1"/>
    <mergeCell ref="A2:G2"/>
    <mergeCell ref="A3:G3"/>
    <mergeCell ref="A18:D18"/>
    <mergeCell ref="A20:D2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5"/>
  <sheetViews>
    <sheetView workbookViewId="0">
      <selection activeCell="B25" sqref="B25:C35"/>
    </sheetView>
  </sheetViews>
  <sheetFormatPr defaultColWidth="9" defaultRowHeight="14.25"/>
  <cols>
    <col min="1" max="1" width="4.25" style="1" customWidth="1"/>
    <col min="2" max="2" width="23.125" style="1" customWidth="1"/>
    <col min="3" max="3" width="14.125" style="1" customWidth="1"/>
    <col min="4" max="4" width="23.125" style="1" customWidth="1"/>
    <col min="5" max="5" width="20.625" style="1" customWidth="1"/>
    <col min="6" max="7" width="15.625" style="1" customWidth="1"/>
    <col min="8" max="8" width="20.625" style="1" customWidth="1"/>
    <col min="9" max="9" width="16.875" style="1" customWidth="1"/>
    <col min="10" max="10" width="13.125" style="1" customWidth="1"/>
    <col min="11" max="11" width="12.625" style="1"/>
    <col min="12" max="12" width="12.625" style="1" customWidth="1"/>
    <col min="13" max="13" width="16.25" style="1" customWidth="1"/>
    <col min="14" max="14" width="14.875" style="1"/>
    <col min="15" max="16384" width="9" style="1"/>
  </cols>
  <sheetData>
    <row r="2" ht="44.1" customHeight="1" spans="2:9">
      <c r="B2" s="5" t="s">
        <v>92</v>
      </c>
      <c r="C2" s="5"/>
      <c r="D2" s="5"/>
      <c r="E2" s="5"/>
      <c r="F2" s="5"/>
      <c r="G2" s="5"/>
      <c r="H2" s="5"/>
      <c r="I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202312</v>
      </c>
      <c r="H3" s="6" t="s">
        <v>96</v>
      </c>
      <c r="I3" s="1" t="s">
        <v>97</v>
      </c>
      <c r="J3" s="1">
        <f>D9/0.05</f>
        <v>0</v>
      </c>
    </row>
    <row r="4" ht="24.95" customHeight="1" spans="2:9">
      <c r="B4" s="8" t="s">
        <v>98</v>
      </c>
      <c r="C4" s="9"/>
      <c r="D4" s="10" t="s">
        <v>99</v>
      </c>
      <c r="E4" s="10" t="s">
        <v>99</v>
      </c>
      <c r="F4" s="10" t="s">
        <v>99</v>
      </c>
      <c r="G4" s="11" t="s">
        <v>100</v>
      </c>
      <c r="H4" s="11" t="s">
        <v>101</v>
      </c>
      <c r="I4" s="11" t="s">
        <v>51</v>
      </c>
    </row>
    <row r="5" ht="24.95" customHeight="1" spans="2:9">
      <c r="B5" s="13"/>
      <c r="C5" s="14"/>
      <c r="D5" s="10" t="s">
        <v>102</v>
      </c>
      <c r="E5" s="10" t="s">
        <v>103</v>
      </c>
      <c r="F5" s="10" t="s">
        <v>104</v>
      </c>
      <c r="G5" s="10" t="s">
        <v>104</v>
      </c>
      <c r="H5" s="70"/>
      <c r="I5" s="70"/>
    </row>
    <row r="6" ht="15.95" customHeight="1" spans="2:10">
      <c r="B6" s="17"/>
      <c r="C6" s="18"/>
      <c r="D6" s="19"/>
      <c r="E6" s="19">
        <v>1287545.23</v>
      </c>
      <c r="F6" s="19"/>
      <c r="G6" s="19">
        <v>25000</v>
      </c>
      <c r="H6" s="19">
        <v>22979</v>
      </c>
      <c r="I6" s="19">
        <f>D6+E6+F6+H6</f>
        <v>1310524.23</v>
      </c>
      <c r="J6" s="35">
        <f>H6/1.05</f>
        <v>21884.7619047619</v>
      </c>
    </row>
    <row r="7" ht="15.95" customHeight="1" spans="2:9">
      <c r="B7" s="10" t="s">
        <v>105</v>
      </c>
      <c r="C7" s="10" t="s">
        <v>5</v>
      </c>
      <c r="D7" s="19"/>
      <c r="E7" s="19"/>
      <c r="F7" s="19"/>
      <c r="G7" s="19"/>
      <c r="H7" s="19"/>
      <c r="I7" s="19">
        <f>D7+E7+F7+H7</f>
        <v>0</v>
      </c>
    </row>
    <row r="8" ht="15.95" customHeight="1" spans="2:9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>
        <f>D8+E8+F8+H8</f>
        <v>0</v>
      </c>
    </row>
    <row r="9" ht="15.95" customHeight="1" spans="2:9">
      <c r="B9" s="20" t="s">
        <v>107</v>
      </c>
      <c r="C9" s="21">
        <v>0.05</v>
      </c>
      <c r="D9" s="19">
        <v>0</v>
      </c>
      <c r="E9" s="19">
        <f>E6*$C$9</f>
        <v>64377.2615</v>
      </c>
      <c r="F9" s="19"/>
      <c r="G9" s="19"/>
      <c r="H9" s="19">
        <f>H6/1.05*C9</f>
        <v>1094.2380952381</v>
      </c>
      <c r="I9" s="19"/>
    </row>
    <row r="10" ht="15.95" customHeight="1" spans="2:9">
      <c r="B10" s="20" t="s">
        <v>108</v>
      </c>
      <c r="C10" s="21"/>
      <c r="D10" s="19"/>
      <c r="E10" s="19">
        <v>696718.7</v>
      </c>
      <c r="F10" s="19"/>
      <c r="G10" s="19"/>
      <c r="H10" s="19"/>
      <c r="I10" s="19"/>
    </row>
    <row r="11" ht="15.95" customHeight="1" spans="2:9">
      <c r="B11" s="20" t="s">
        <v>109</v>
      </c>
      <c r="C11" s="21"/>
      <c r="D11" s="19"/>
      <c r="E11" s="19">
        <f>E9-E10</f>
        <v>-632341.4385</v>
      </c>
      <c r="F11" s="19"/>
      <c r="G11" s="19"/>
      <c r="H11" s="19">
        <f>H9-H10</f>
        <v>1094.2380952381</v>
      </c>
      <c r="I11" s="19">
        <f>D11+H11</f>
        <v>1094.2380952381</v>
      </c>
    </row>
    <row r="12" ht="15.95" customHeight="1" spans="2:9">
      <c r="B12" s="20" t="s">
        <v>16</v>
      </c>
      <c r="C12" s="21">
        <v>0.07</v>
      </c>
      <c r="D12" s="19">
        <f>D9*$C$12</f>
        <v>0</v>
      </c>
      <c r="E12" s="19">
        <v>0</v>
      </c>
      <c r="F12" s="19"/>
      <c r="G12" s="19"/>
      <c r="H12" s="19">
        <f>H9*$C$12</f>
        <v>76.5966666666667</v>
      </c>
      <c r="I12" s="19">
        <f t="shared" ref="I12:I18" si="0">D12+E12+F12+H12+G12</f>
        <v>76.5966666666667</v>
      </c>
    </row>
    <row r="13" ht="15.95" customHeight="1" spans="2:9">
      <c r="B13" s="20" t="s">
        <v>110</v>
      </c>
      <c r="C13" s="21">
        <v>0.02</v>
      </c>
      <c r="D13" s="19">
        <f>D9*$C$13</f>
        <v>0</v>
      </c>
      <c r="E13" s="19">
        <v>0</v>
      </c>
      <c r="F13" s="19"/>
      <c r="G13" s="19"/>
      <c r="H13" s="19">
        <f>H9*$C$13</f>
        <v>21.8847619047619</v>
      </c>
      <c r="I13" s="19">
        <f t="shared" si="0"/>
        <v>21.8847619047619</v>
      </c>
    </row>
    <row r="14" ht="15.95" customHeight="1" spans="2:9">
      <c r="B14" s="20" t="s">
        <v>111</v>
      </c>
      <c r="C14" s="21">
        <v>0.03</v>
      </c>
      <c r="D14" s="19">
        <f>D9*$C$14</f>
        <v>0</v>
      </c>
      <c r="E14" s="19">
        <v>0</v>
      </c>
      <c r="F14" s="19"/>
      <c r="G14" s="19"/>
      <c r="H14" s="19">
        <f>H9*$C$14</f>
        <v>32.8271428571429</v>
      </c>
      <c r="I14" s="19">
        <f t="shared" si="0"/>
        <v>32.8271428571429</v>
      </c>
    </row>
    <row r="15" ht="15.95" customHeight="1" spans="2:9">
      <c r="B15" s="22" t="s">
        <v>112</v>
      </c>
      <c r="C15" s="23">
        <v>0.01</v>
      </c>
      <c r="D15" s="24">
        <v>0</v>
      </c>
      <c r="E15" s="24"/>
      <c r="F15" s="24">
        <f>F6/1.09*$C$15</f>
        <v>0</v>
      </c>
      <c r="G15" s="24"/>
      <c r="H15" s="24">
        <v>0</v>
      </c>
      <c r="I15" s="19">
        <f t="shared" si="0"/>
        <v>0</v>
      </c>
    </row>
    <row r="16" ht="15.95" customHeight="1" spans="2:9">
      <c r="B16" s="22" t="s">
        <v>112</v>
      </c>
      <c r="C16" s="25">
        <v>0.03</v>
      </c>
      <c r="D16" s="24">
        <v>0</v>
      </c>
      <c r="E16" s="24"/>
      <c r="F16" s="24"/>
      <c r="G16" s="24">
        <f>G6/1.05*C16</f>
        <v>714.285714285714</v>
      </c>
      <c r="H16" s="24">
        <v>0</v>
      </c>
      <c r="I16" s="19">
        <f t="shared" si="0"/>
        <v>714.285714285714</v>
      </c>
    </row>
    <row r="17" ht="15.95" customHeight="1" spans="2:9">
      <c r="B17" s="22" t="s">
        <v>112</v>
      </c>
      <c r="C17" s="25">
        <v>0.04</v>
      </c>
      <c r="D17" s="26"/>
      <c r="E17" s="19"/>
      <c r="F17" s="19"/>
      <c r="G17" s="19"/>
      <c r="H17" s="19">
        <v>0</v>
      </c>
      <c r="I17" s="19">
        <f t="shared" si="0"/>
        <v>0</v>
      </c>
    </row>
    <row r="18" ht="15.95" customHeight="1" spans="2:9">
      <c r="B18" s="22" t="s">
        <v>113</v>
      </c>
      <c r="C18" s="27">
        <v>0.001</v>
      </c>
      <c r="D18" s="26"/>
      <c r="E18" s="19"/>
      <c r="F18" s="19"/>
      <c r="G18" s="19"/>
      <c r="H18" s="19">
        <f>H6*C18</f>
        <v>22.979</v>
      </c>
      <c r="I18" s="19">
        <f t="shared" si="0"/>
        <v>22.979</v>
      </c>
    </row>
    <row r="19" ht="15.95" customHeight="1" spans="2:9">
      <c r="B19" s="22" t="s">
        <v>23</v>
      </c>
      <c r="C19" s="28">
        <v>0.25</v>
      </c>
      <c r="D19" s="26"/>
      <c r="E19" s="19"/>
      <c r="F19" s="19"/>
      <c r="G19" s="19"/>
      <c r="H19" s="19"/>
      <c r="I19" s="19">
        <f>D19+E19+F19+H19</f>
        <v>0</v>
      </c>
    </row>
    <row r="20" ht="15.95" customHeight="1" spans="2:9">
      <c r="B20" s="22" t="s">
        <v>51</v>
      </c>
      <c r="C20" s="25"/>
      <c r="D20" s="26">
        <f>SUM(D8:D17)</f>
        <v>0</v>
      </c>
      <c r="E20" s="26">
        <v>0</v>
      </c>
      <c r="F20" s="26">
        <f>SUM(F8:F17)</f>
        <v>0</v>
      </c>
      <c r="G20" s="26">
        <f>SUM(G8:G17)</f>
        <v>714.285714285714</v>
      </c>
      <c r="H20" s="26">
        <f>SUM(H11:H19)</f>
        <v>1248.52566666667</v>
      </c>
      <c r="I20" s="19">
        <f>SUM(I11:I19)</f>
        <v>1962.81138095238</v>
      </c>
    </row>
    <row r="21" spans="2:9">
      <c r="B21" s="29"/>
      <c r="C21" s="30"/>
      <c r="D21" s="30"/>
      <c r="E21" s="30"/>
      <c r="F21" s="30"/>
      <c r="G21" s="30"/>
      <c r="H21" s="30"/>
      <c r="I21" s="71"/>
    </row>
    <row r="22" spans="2:9">
      <c r="B22" s="31"/>
      <c r="C22" s="32"/>
      <c r="D22" s="32"/>
      <c r="E22" s="32"/>
      <c r="F22" s="32"/>
      <c r="G22" s="32"/>
      <c r="H22" s="32"/>
      <c r="I22" s="72"/>
    </row>
    <row r="23" ht="15" spans="2:5">
      <c r="B23" s="33"/>
      <c r="C23" s="33"/>
      <c r="D23" s="34"/>
      <c r="E23" s="35"/>
    </row>
    <row r="24" spans="2:5">
      <c r="B24" s="93"/>
      <c r="C24" s="93"/>
      <c r="D24" s="34"/>
      <c r="E24" s="35"/>
    </row>
    <row r="25" spans="2:5">
      <c r="B25" s="106" t="s">
        <v>114</v>
      </c>
      <c r="C25" s="106" t="s">
        <v>2</v>
      </c>
      <c r="D25" s="34"/>
      <c r="E25" s="35"/>
    </row>
    <row r="26" spans="2:5">
      <c r="B26" s="107" t="s">
        <v>115</v>
      </c>
      <c r="C26" s="108">
        <v>2523543.31</v>
      </c>
      <c r="D26" s="34"/>
      <c r="E26" s="35"/>
    </row>
    <row r="27" spans="2:5">
      <c r="B27" s="107" t="s">
        <v>116</v>
      </c>
      <c r="C27" s="108">
        <v>21884.76</v>
      </c>
      <c r="D27" s="34"/>
      <c r="E27" s="35"/>
    </row>
    <row r="28" spans="2:5">
      <c r="B28" s="107" t="s">
        <v>117</v>
      </c>
      <c r="C28" s="108">
        <v>188500</v>
      </c>
      <c r="D28" s="34"/>
      <c r="E28" s="35"/>
    </row>
    <row r="29" ht="15" spans="2:5">
      <c r="B29" s="107" t="s">
        <v>118</v>
      </c>
      <c r="C29" s="108">
        <v>298822.3</v>
      </c>
      <c r="D29" s="109"/>
      <c r="E29" s="35"/>
    </row>
    <row r="30" ht="15" spans="2:5">
      <c r="B30" s="107" t="s">
        <v>119</v>
      </c>
      <c r="C30" s="108">
        <v>25478.69</v>
      </c>
      <c r="D30" s="109"/>
      <c r="E30" s="35"/>
    </row>
    <row r="31" spans="2:3">
      <c r="B31" s="110" t="s">
        <v>120</v>
      </c>
      <c r="C31" s="108">
        <v>-2097.18</v>
      </c>
    </row>
    <row r="32" spans="2:3">
      <c r="B32" s="20" t="s">
        <v>121</v>
      </c>
      <c r="C32" s="108">
        <f>C26+C27-C28-C29-C30-C31</f>
        <v>2034724.26</v>
      </c>
    </row>
    <row r="33" spans="2:3">
      <c r="B33" s="20" t="s">
        <v>122</v>
      </c>
      <c r="C33" s="111">
        <v>0.25</v>
      </c>
    </row>
    <row r="34" spans="2:3">
      <c r="B34" s="20" t="s">
        <v>123</v>
      </c>
      <c r="C34" s="20">
        <v>0</v>
      </c>
    </row>
    <row r="35" spans="2:3">
      <c r="B35" s="20" t="s">
        <v>124</v>
      </c>
      <c r="C35" s="112">
        <f>C32*C33-C34</f>
        <v>508681.065</v>
      </c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24"/>
  <sheetViews>
    <sheetView workbookViewId="0">
      <selection activeCell="H17" sqref="H17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8" width="18.25" style="1" customWidth="1"/>
    <col min="9" max="9" width="15.625" style="1" customWidth="1"/>
    <col min="10" max="10" width="14.5" style="1" customWidth="1"/>
    <col min="11" max="11" width="12.625" style="1"/>
    <col min="12" max="12" width="12.625" style="1" customWidth="1"/>
    <col min="13" max="13" width="16.25" style="1" customWidth="1"/>
    <col min="14" max="14" width="14.875" style="1"/>
    <col min="15" max="16384" width="9" style="1"/>
  </cols>
  <sheetData>
    <row r="2" ht="44.1" customHeight="1" spans="2:9">
      <c r="B2" s="5" t="s">
        <v>92</v>
      </c>
      <c r="C2" s="5"/>
      <c r="D2" s="5"/>
      <c r="E2" s="5"/>
      <c r="F2" s="5"/>
      <c r="G2" s="5"/>
      <c r="H2" s="5"/>
      <c r="I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202401</v>
      </c>
      <c r="H3" s="6" t="s">
        <v>96</v>
      </c>
      <c r="I3" s="1" t="s">
        <v>97</v>
      </c>
      <c r="J3" s="1">
        <f>D9/0.05</f>
        <v>0</v>
      </c>
    </row>
    <row r="4" ht="24.95" customHeight="1" spans="2:9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51</v>
      </c>
    </row>
    <row r="5" ht="24.95" customHeight="1" spans="2:9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0"/>
      <c r="I5" s="70"/>
    </row>
    <row r="6" ht="15.95" customHeight="1" spans="2:10">
      <c r="B6" s="17"/>
      <c r="C6" s="18"/>
      <c r="D6" s="19"/>
      <c r="E6" s="19">
        <f>211000/1.05</f>
        <v>200952.380952381</v>
      </c>
      <c r="F6" s="19"/>
      <c r="G6" s="19">
        <v>130000</v>
      </c>
      <c r="H6" s="19">
        <v>0</v>
      </c>
      <c r="I6" s="19">
        <f t="shared" ref="I6:I8" si="0">D6+E6+F6+H6</f>
        <v>200952.380952381</v>
      </c>
      <c r="J6" s="35">
        <f>G6/1.05</f>
        <v>123809.523809524</v>
      </c>
    </row>
    <row r="7" ht="15.95" customHeight="1" spans="2:9">
      <c r="B7" s="10" t="s">
        <v>105</v>
      </c>
      <c r="C7" s="10" t="s">
        <v>5</v>
      </c>
      <c r="D7" s="19"/>
      <c r="E7" s="19"/>
      <c r="F7" s="19"/>
      <c r="G7" s="19"/>
      <c r="H7" s="19"/>
      <c r="I7" s="19">
        <f t="shared" si="0"/>
        <v>0</v>
      </c>
    </row>
    <row r="8" ht="15.95" customHeight="1" spans="2:9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>
        <f t="shared" si="0"/>
        <v>0</v>
      </c>
    </row>
    <row r="9" ht="15.95" customHeight="1" spans="2:9">
      <c r="B9" s="20" t="s">
        <v>107</v>
      </c>
      <c r="C9" s="21">
        <v>0.05</v>
      </c>
      <c r="D9" s="19">
        <v>0</v>
      </c>
      <c r="E9" s="19">
        <f>E6*$C$9</f>
        <v>10047.619047619</v>
      </c>
      <c r="F9" s="19"/>
      <c r="G9" s="19"/>
      <c r="H9" s="19">
        <f>H6/1.05*C9</f>
        <v>0</v>
      </c>
      <c r="I9" s="19"/>
    </row>
    <row r="10" ht="15.95" customHeight="1" spans="2:9">
      <c r="B10" s="20" t="s">
        <v>108</v>
      </c>
      <c r="C10" s="21"/>
      <c r="D10" s="19"/>
      <c r="E10" s="19">
        <v>632341.4385</v>
      </c>
      <c r="F10" s="19"/>
      <c r="G10" s="19"/>
      <c r="H10" s="19"/>
      <c r="I10" s="19"/>
    </row>
    <row r="11" ht="15.95" customHeight="1" spans="2:9">
      <c r="B11" s="20" t="s">
        <v>109</v>
      </c>
      <c r="C11" s="21"/>
      <c r="D11" s="19"/>
      <c r="E11" s="19">
        <f>E9-E10</f>
        <v>-622293.819452381</v>
      </c>
      <c r="F11" s="19"/>
      <c r="G11" s="19"/>
      <c r="H11" s="19">
        <f>H9-H10</f>
        <v>0</v>
      </c>
      <c r="I11" s="19">
        <f>D11+H11</f>
        <v>0</v>
      </c>
    </row>
    <row r="12" ht="15.95" customHeight="1" spans="2:9">
      <c r="B12" s="20" t="s">
        <v>16</v>
      </c>
      <c r="C12" s="21">
        <v>0.07</v>
      </c>
      <c r="D12" s="19">
        <f>D9*$C$12</f>
        <v>0</v>
      </c>
      <c r="E12" s="19">
        <v>0</v>
      </c>
      <c r="F12" s="19"/>
      <c r="G12" s="19"/>
      <c r="H12" s="19">
        <f>H9*$C$12</f>
        <v>0</v>
      </c>
      <c r="I12" s="19">
        <f t="shared" ref="I12:I18" si="1">D12+E12+F12+H12+G12</f>
        <v>0</v>
      </c>
    </row>
    <row r="13" ht="15.95" customHeight="1" spans="2:9">
      <c r="B13" s="20" t="s">
        <v>110</v>
      </c>
      <c r="C13" s="21">
        <v>0.02</v>
      </c>
      <c r="D13" s="19">
        <f>D9*$C$13</f>
        <v>0</v>
      </c>
      <c r="E13" s="19">
        <v>0</v>
      </c>
      <c r="F13" s="19"/>
      <c r="G13" s="19"/>
      <c r="H13" s="19">
        <f>H9*$C$13</f>
        <v>0</v>
      </c>
      <c r="I13" s="19">
        <f t="shared" si="1"/>
        <v>0</v>
      </c>
    </row>
    <row r="14" ht="15.95" customHeight="1" spans="2:9">
      <c r="B14" s="20" t="s">
        <v>111</v>
      </c>
      <c r="C14" s="21">
        <v>0.03</v>
      </c>
      <c r="D14" s="19">
        <f>D9*$C$14</f>
        <v>0</v>
      </c>
      <c r="E14" s="19">
        <v>0</v>
      </c>
      <c r="F14" s="19"/>
      <c r="G14" s="19"/>
      <c r="H14" s="19">
        <f>H9*$C$14</f>
        <v>0</v>
      </c>
      <c r="I14" s="19">
        <f t="shared" si="1"/>
        <v>0</v>
      </c>
    </row>
    <row r="15" ht="15.95" customHeight="1" spans="2:9">
      <c r="B15" s="22" t="s">
        <v>112</v>
      </c>
      <c r="C15" s="23">
        <v>0.01</v>
      </c>
      <c r="D15" s="24">
        <v>0</v>
      </c>
      <c r="E15" s="24"/>
      <c r="F15" s="24">
        <f>F6/1.09*$C$15</f>
        <v>0</v>
      </c>
      <c r="G15" s="24"/>
      <c r="H15" s="24">
        <v>0</v>
      </c>
      <c r="I15" s="19">
        <f t="shared" si="1"/>
        <v>0</v>
      </c>
    </row>
    <row r="16" ht="15.95" customHeight="1" spans="2:9">
      <c r="B16" s="22" t="s">
        <v>112</v>
      </c>
      <c r="C16" s="25">
        <v>0.03</v>
      </c>
      <c r="D16" s="24">
        <v>0</v>
      </c>
      <c r="E16" s="24"/>
      <c r="F16" s="24"/>
      <c r="G16" s="24">
        <f>G6/1.05*C16</f>
        <v>3714.28571428571</v>
      </c>
      <c r="H16" s="24">
        <v>0</v>
      </c>
      <c r="I16" s="19">
        <f t="shared" si="1"/>
        <v>3714.28571428571</v>
      </c>
    </row>
    <row r="17" ht="15.95" customHeight="1" spans="2:9">
      <c r="B17" s="22" t="s">
        <v>112</v>
      </c>
      <c r="C17" s="25">
        <v>0.04</v>
      </c>
      <c r="D17" s="26"/>
      <c r="E17" s="19"/>
      <c r="F17" s="19"/>
      <c r="G17" s="19"/>
      <c r="H17" s="19">
        <v>0</v>
      </c>
      <c r="I17" s="19">
        <f t="shared" si="1"/>
        <v>0</v>
      </c>
    </row>
    <row r="18" ht="15.95" customHeight="1" spans="2:9">
      <c r="B18" s="22" t="s">
        <v>113</v>
      </c>
      <c r="C18" s="27">
        <v>0.001</v>
      </c>
      <c r="D18" s="26"/>
      <c r="E18" s="19"/>
      <c r="F18" s="19"/>
      <c r="G18" s="19"/>
      <c r="H18" s="19">
        <f>H6*C18</f>
        <v>0</v>
      </c>
      <c r="I18" s="19">
        <f t="shared" si="1"/>
        <v>0</v>
      </c>
    </row>
    <row r="19" ht="15.95" customHeight="1" spans="2:9">
      <c r="B19" s="22" t="s">
        <v>23</v>
      </c>
      <c r="C19" s="28">
        <v>0.25</v>
      </c>
      <c r="D19" s="26"/>
      <c r="E19" s="19"/>
      <c r="F19" s="19"/>
      <c r="G19" s="19"/>
      <c r="H19" s="19"/>
      <c r="I19" s="19">
        <f>D19+E19+F19+H19</f>
        <v>0</v>
      </c>
    </row>
    <row r="20" ht="15.95" customHeight="1" spans="2:9">
      <c r="B20" s="22" t="s">
        <v>51</v>
      </c>
      <c r="C20" s="25"/>
      <c r="D20" s="26">
        <f t="shared" ref="D20:G20" si="2">SUM(D8:D17)</f>
        <v>0</v>
      </c>
      <c r="E20" s="26">
        <v>0</v>
      </c>
      <c r="F20" s="26">
        <f t="shared" si="2"/>
        <v>0</v>
      </c>
      <c r="G20" s="26">
        <f t="shared" si="2"/>
        <v>3714.28571428571</v>
      </c>
      <c r="H20" s="26">
        <f>SUM(H11:H19)</f>
        <v>0</v>
      </c>
      <c r="I20" s="19">
        <f>SUM(I11:I19)</f>
        <v>3714.28571428571</v>
      </c>
    </row>
    <row r="21" spans="2:9">
      <c r="B21" s="29"/>
      <c r="C21" s="30"/>
      <c r="D21" s="30"/>
      <c r="E21" s="30"/>
      <c r="F21" s="30"/>
      <c r="G21" s="30"/>
      <c r="H21" s="30"/>
      <c r="I21" s="71"/>
    </row>
    <row r="22" spans="2:9">
      <c r="B22" s="31"/>
      <c r="C22" s="32"/>
      <c r="D22" s="32"/>
      <c r="E22" s="32"/>
      <c r="F22" s="32"/>
      <c r="G22" s="32"/>
      <c r="H22" s="32"/>
      <c r="I22" s="72"/>
    </row>
    <row r="23" ht="15" spans="2:5">
      <c r="B23" s="33"/>
      <c r="C23" s="33"/>
      <c r="D23" s="34"/>
      <c r="E23" s="35"/>
    </row>
    <row r="24" spans="2:5">
      <c r="B24" s="93"/>
      <c r="C24" s="93"/>
      <c r="D24" s="34"/>
      <c r="E24" s="35"/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7"/>
  <sheetViews>
    <sheetView workbookViewId="0">
      <selection activeCell="I20" sqref="I20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5.625" style="1" customWidth="1"/>
    <col min="11" max="11" width="14.5" style="1" customWidth="1"/>
    <col min="12" max="12" width="12.625" style="1"/>
    <col min="13" max="13" width="12.625" style="1" customWidth="1"/>
    <col min="14" max="14" width="16.25" style="1" customWidth="1"/>
    <col min="15" max="15" width="14.875" style="1"/>
    <col min="16" max="16384" width="9" style="1"/>
  </cols>
  <sheetData>
    <row r="2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202402</v>
      </c>
      <c r="H3" s="6" t="s">
        <v>96</v>
      </c>
      <c r="I3" s="6"/>
      <c r="J3" s="1" t="s">
        <v>125</v>
      </c>
    </row>
    <row r="4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ht="24.95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0"/>
      <c r="I5" s="70"/>
      <c r="J5" s="70"/>
    </row>
    <row r="6" ht="15.95" customHeight="1" spans="2:11">
      <c r="B6" s="17"/>
      <c r="C6" s="18"/>
      <c r="D6" s="19"/>
      <c r="E6" s="19"/>
      <c r="F6" s="19"/>
      <c r="G6" s="19"/>
      <c r="H6" s="19">
        <v>0</v>
      </c>
      <c r="I6" s="19">
        <v>2500</v>
      </c>
      <c r="J6" s="19">
        <f t="shared" ref="J6:J7" si="0">D6+E6+F6+H6</f>
        <v>0</v>
      </c>
      <c r="K6" s="35">
        <f>I6/1.06</f>
        <v>2358.49056603774</v>
      </c>
    </row>
    <row r="7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 t="shared" si="0"/>
        <v>0</v>
      </c>
    </row>
    <row r="8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>D8+E8+F8+H8+I8</f>
        <v>0</v>
      </c>
    </row>
    <row r="9" ht="15.95" customHeight="1" spans="2:10">
      <c r="B9" s="20" t="s">
        <v>107</v>
      </c>
      <c r="C9" s="21">
        <v>0.05</v>
      </c>
      <c r="D9" s="19">
        <v>0</v>
      </c>
      <c r="E9" s="19">
        <f>E6*$C$9</f>
        <v>0</v>
      </c>
      <c r="F9" s="19"/>
      <c r="G9" s="19"/>
      <c r="H9" s="19">
        <f>H6/1.05*C9</f>
        <v>0</v>
      </c>
      <c r="I9" s="19"/>
      <c r="J9" s="19">
        <f>D9+E9+F9+H9+I9</f>
        <v>0</v>
      </c>
    </row>
    <row r="10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141.509433962264</v>
      </c>
      <c r="J10" s="19">
        <f>D10+E10+F10+H10+I10</f>
        <v>141.509433962264</v>
      </c>
    </row>
    <row r="1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>
        <v>521.31</v>
      </c>
      <c r="J11" s="19"/>
    </row>
    <row r="12" ht="15.95" customHeight="1" spans="2:10">
      <c r="B12" s="20" t="s">
        <v>108</v>
      </c>
      <c r="C12" s="21"/>
      <c r="D12" s="19"/>
      <c r="E12" s="19">
        <v>622293.82</v>
      </c>
      <c r="F12" s="19"/>
      <c r="G12" s="19"/>
      <c r="H12" s="19"/>
      <c r="I12" s="19"/>
      <c r="J12" s="19"/>
    </row>
    <row r="13" ht="15.95" customHeight="1" spans="2:10">
      <c r="B13" s="20" t="s">
        <v>109</v>
      </c>
      <c r="C13" s="21"/>
      <c r="D13" s="19"/>
      <c r="E13" s="19">
        <f>E9-E12</f>
        <v>-622293.82</v>
      </c>
      <c r="F13" s="19"/>
      <c r="G13" s="19"/>
      <c r="H13" s="19">
        <f>H9-H12</f>
        <v>0</v>
      </c>
      <c r="I13" s="19">
        <f>IF(I10-I11&gt;0,I10-I11,0)</f>
        <v>0</v>
      </c>
      <c r="J13" s="19">
        <f>D13+H13+I13</f>
        <v>0</v>
      </c>
    </row>
    <row r="14" ht="15.95" customHeight="1" spans="2:10">
      <c r="B14" s="20" t="s">
        <v>16</v>
      </c>
      <c r="C14" s="21">
        <v>0.07</v>
      </c>
      <c r="D14" s="19">
        <f>D9*$C$14</f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ref="J14:J22" si="1">D14+H14+I14</f>
        <v>0</v>
      </c>
    </row>
    <row r="15" ht="15.95" customHeight="1" spans="2:10">
      <c r="B15" s="20" t="s">
        <v>110</v>
      </c>
      <c r="C15" s="21">
        <v>0.02</v>
      </c>
      <c r="D15" s="19">
        <f>D9*$C$15</f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</row>
    <row r="16" ht="15.95" customHeight="1" spans="2:10">
      <c r="B16" s="20" t="s">
        <v>111</v>
      </c>
      <c r="C16" s="21">
        <v>0.03</v>
      </c>
      <c r="D16" s="19">
        <f>D9*$C$16</f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</row>
    <row r="17" ht="15.95" customHeight="1" spans="2:10">
      <c r="B17" s="22" t="s">
        <v>112</v>
      </c>
      <c r="C17" s="23">
        <v>0.01</v>
      </c>
      <c r="D17" s="24">
        <v>0</v>
      </c>
      <c r="E17" s="24"/>
      <c r="F17" s="24">
        <f>F6/1.09*$C$17</f>
        <v>0</v>
      </c>
      <c r="G17" s="24"/>
      <c r="H17" s="24">
        <v>0</v>
      </c>
      <c r="I17" s="24"/>
      <c r="J17" s="19">
        <f t="shared" si="1"/>
        <v>0</v>
      </c>
    </row>
    <row r="18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si="1"/>
        <v>0</v>
      </c>
    </row>
    <row r="19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1"/>
        <v>0</v>
      </c>
    </row>
    <row r="20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f>I6*C20</f>
        <v>1.25</v>
      </c>
      <c r="J20" s="19">
        <f t="shared" si="1"/>
        <v>1.25</v>
      </c>
    </row>
    <row r="2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1"/>
        <v>0</v>
      </c>
    </row>
    <row r="22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f t="shared" si="1"/>
        <v>0</v>
      </c>
    </row>
    <row r="23" ht="15.95" customHeight="1" spans="2:10">
      <c r="B23" s="22" t="s">
        <v>51</v>
      </c>
      <c r="C23" s="25"/>
      <c r="D23" s="26">
        <f>SUM(D8:D19)</f>
        <v>0</v>
      </c>
      <c r="E23" s="26">
        <v>0</v>
      </c>
      <c r="F23" s="26">
        <f>SUM(F8:F19)</f>
        <v>0</v>
      </c>
      <c r="G23" s="26">
        <f>SUM(G8:G19)</f>
        <v>0</v>
      </c>
      <c r="H23" s="26">
        <f>SUM(H13:H22)</f>
        <v>0</v>
      </c>
      <c r="I23" s="26"/>
      <c r="J23" s="19">
        <f>SUM(J13:J22)</f>
        <v>1.25</v>
      </c>
    </row>
    <row r="24" spans="2:10">
      <c r="B24" s="29"/>
      <c r="C24" s="30"/>
      <c r="D24" s="30"/>
      <c r="E24" s="30"/>
      <c r="F24" s="30"/>
      <c r="G24" s="30"/>
      <c r="H24" s="30"/>
      <c r="I24" s="30"/>
      <c r="J24" s="71"/>
    </row>
    <row r="25" spans="2:10">
      <c r="B25" s="31"/>
      <c r="C25" s="32"/>
      <c r="D25" s="32"/>
      <c r="E25" s="32"/>
      <c r="F25" s="32"/>
      <c r="G25" s="32"/>
      <c r="H25" s="32"/>
      <c r="I25" s="32"/>
      <c r="J25" s="72"/>
    </row>
    <row r="26" ht="15" spans="2:5">
      <c r="B26" s="33"/>
      <c r="C26" s="33"/>
      <c r="D26" s="34"/>
      <c r="E26" s="35"/>
    </row>
    <row r="27" spans="2:5">
      <c r="B27" s="93"/>
      <c r="C27" s="93"/>
      <c r="D27" s="34"/>
      <c r="E27" s="35"/>
    </row>
  </sheetData>
  <mergeCells count="6">
    <mergeCell ref="B2:J2"/>
    <mergeCell ref="H4:H5"/>
    <mergeCell ref="I4:I5"/>
    <mergeCell ref="J4:J5"/>
    <mergeCell ref="B24:J25"/>
    <mergeCell ref="B4:C6"/>
  </mergeCell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43"/>
  <sheetViews>
    <sheetView topLeftCell="A14" workbookViewId="0">
      <selection activeCell="I29" sqref="I29:I30"/>
    </sheetView>
  </sheetViews>
  <sheetFormatPr defaultColWidth="9" defaultRowHeight="14.25"/>
  <cols>
    <col min="1" max="1" width="6" style="1" customWidth="1"/>
    <col min="2" max="2" width="20.375" style="1" customWidth="1"/>
    <col min="3" max="3" width="18.5" style="1" customWidth="1"/>
    <col min="4" max="4" width="21.375" style="1" customWidth="1"/>
    <col min="5" max="5" width="24.25" style="1" customWidth="1"/>
    <col min="6" max="6" width="21.75" style="1" customWidth="1"/>
    <col min="7" max="7" width="18.375" style="1" customWidth="1"/>
    <col min="8" max="8" width="19.375" style="1" customWidth="1"/>
    <col min="9" max="9" width="13" style="1" customWidth="1"/>
    <col min="10" max="10" width="17.125" style="1" customWidth="1"/>
    <col min="11" max="11" width="12.125" style="1" customWidth="1"/>
    <col min="12" max="12" width="15.5" style="1" customWidth="1"/>
    <col min="13" max="13" width="15.875" style="1" customWidth="1"/>
    <col min="14" max="14" width="14" style="1" customWidth="1"/>
    <col min="15" max="15" width="33.75" style="1" customWidth="1"/>
    <col min="16" max="16" width="9.125" style="1" customWidth="1"/>
    <col min="17" max="16384" width="9" style="1"/>
  </cols>
  <sheetData>
    <row r="2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202403</v>
      </c>
      <c r="H3" s="6" t="s">
        <v>96</v>
      </c>
      <c r="I3" s="6"/>
      <c r="J3" s="1" t="s">
        <v>125</v>
      </c>
    </row>
    <row r="4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ht="24.95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0"/>
      <c r="I5" s="70"/>
      <c r="J5" s="70"/>
    </row>
    <row r="6" ht="15.95" customHeight="1" spans="2:11">
      <c r="B6" s="17"/>
      <c r="C6" s="18"/>
      <c r="D6" s="19">
        <v>1513749</v>
      </c>
      <c r="E6" s="19"/>
      <c r="F6" s="19">
        <f>1513749/1.05</f>
        <v>1441665.71428571</v>
      </c>
      <c r="G6" s="19"/>
      <c r="H6" s="19">
        <v>0</v>
      </c>
      <c r="I6" s="19">
        <v>0</v>
      </c>
      <c r="J6" s="19">
        <f>D6+E6+F6+H6</f>
        <v>2955414.71428571</v>
      </c>
      <c r="K6" s="35">
        <f>I6/1.06</f>
        <v>0</v>
      </c>
    </row>
    <row r="7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ht="15.95" customHeight="1" spans="2:10">
      <c r="B9" s="20" t="s">
        <v>107</v>
      </c>
      <c r="C9" s="21">
        <v>0.05</v>
      </c>
      <c r="D9" s="19">
        <f>D6/1.05*C9</f>
        <v>72083.2857142857</v>
      </c>
      <c r="E9" s="19">
        <f>E6*$C$9</f>
        <v>0</v>
      </c>
      <c r="F9" s="19"/>
      <c r="G9" s="19"/>
      <c r="H9" s="19">
        <f>H6/1.05*C9</f>
        <v>0</v>
      </c>
      <c r="I9" s="19"/>
      <c r="J9" s="19">
        <f t="shared" si="0"/>
        <v>72083.2857142857</v>
      </c>
    </row>
    <row r="10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ht="15.95" customHeight="1" spans="2:10">
      <c r="B12" s="20" t="s">
        <v>108</v>
      </c>
      <c r="C12" s="21"/>
      <c r="D12" s="19">
        <f>622293.82-D9</f>
        <v>550210.534285714</v>
      </c>
      <c r="E12" s="19"/>
      <c r="F12" s="19"/>
      <c r="G12" s="19"/>
      <c r="H12" s="19"/>
      <c r="I12" s="19"/>
      <c r="J12" s="19"/>
    </row>
    <row r="13" ht="15.95" customHeight="1" spans="2:10">
      <c r="B13" s="20" t="s">
        <v>109</v>
      </c>
      <c r="C13" s="21"/>
      <c r="D13" s="19">
        <v>0</v>
      </c>
      <c r="E13" s="19">
        <f>E9-E12</f>
        <v>0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22" si="1">D13+H13+I13</f>
        <v>0</v>
      </c>
    </row>
    <row r="14" ht="15.95" customHeight="1" spans="2:10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1"/>
        <v>0</v>
      </c>
    </row>
    <row r="15" ht="15.95" customHeight="1" spans="2:10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</row>
    <row r="16" ht="15.95" customHeight="1" spans="2:10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</row>
    <row r="17" ht="15.95" customHeight="1" spans="2:10">
      <c r="B17" s="22" t="s">
        <v>112</v>
      </c>
      <c r="C17" s="23">
        <v>0.01</v>
      </c>
      <c r="D17" s="24">
        <v>0</v>
      </c>
      <c r="E17" s="24"/>
      <c r="F17" s="24">
        <f>F6*$C$17</f>
        <v>14416.6571428571</v>
      </c>
      <c r="G17" s="24"/>
      <c r="H17" s="24">
        <v>0</v>
      </c>
      <c r="I17" s="24"/>
      <c r="J17" s="19">
        <f>D17+H17+I17+F17</f>
        <v>14416.6571428571</v>
      </c>
    </row>
    <row r="18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si="1"/>
        <v>0</v>
      </c>
    </row>
    <row r="19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1"/>
        <v>0</v>
      </c>
    </row>
    <row r="20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1"/>
        <v>0</v>
      </c>
    </row>
    <row r="2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1"/>
        <v>0</v>
      </c>
    </row>
    <row r="22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f t="shared" si="1"/>
        <v>0</v>
      </c>
    </row>
    <row r="23" ht="15.95" customHeight="1" spans="2:10">
      <c r="B23" s="22" t="s">
        <v>51</v>
      </c>
      <c r="C23" s="25"/>
      <c r="D23" s="26">
        <f t="shared" ref="D23:G23" si="2">SUM(D8:D19)</f>
        <v>622293.82</v>
      </c>
      <c r="E23" s="26">
        <v>0</v>
      </c>
      <c r="F23" s="26">
        <f t="shared" si="2"/>
        <v>14416.6571428571</v>
      </c>
      <c r="G23" s="26">
        <f t="shared" si="2"/>
        <v>0</v>
      </c>
      <c r="H23" s="26">
        <f>SUM(H13:H22)</f>
        <v>0</v>
      </c>
      <c r="I23" s="26"/>
      <c r="J23" s="19">
        <f>SUM(J13:J22)</f>
        <v>14416.6571428571</v>
      </c>
    </row>
    <row r="24" spans="2:10">
      <c r="B24" s="29"/>
      <c r="C24" s="30"/>
      <c r="D24" s="30"/>
      <c r="E24" s="30"/>
      <c r="F24" s="30"/>
      <c r="G24" s="30"/>
      <c r="H24" s="30"/>
      <c r="I24" s="30"/>
      <c r="J24" s="71"/>
    </row>
    <row r="25" spans="2:10">
      <c r="B25" s="31"/>
      <c r="C25" s="32"/>
      <c r="D25" s="32"/>
      <c r="E25" s="32"/>
      <c r="F25" s="32"/>
      <c r="G25" s="32"/>
      <c r="H25" s="32"/>
      <c r="I25" s="32"/>
      <c r="J25" s="72"/>
    </row>
    <row r="26" ht="18" customHeight="1" spans="2:5">
      <c r="B26" s="33"/>
      <c r="C26" s="33"/>
      <c r="D26" s="34"/>
      <c r="E26" s="35"/>
    </row>
    <row r="27" s="2" customFormat="1" ht="35.25" spans="1:15">
      <c r="A27" s="36" t="s">
        <v>131</v>
      </c>
      <c r="B27" s="36"/>
      <c r="C27" s="36"/>
      <c r="D27" s="36"/>
      <c r="E27" s="36"/>
      <c r="F27" s="37"/>
      <c r="G27" s="37"/>
      <c r="H27" s="37"/>
      <c r="I27" s="36"/>
      <c r="J27" s="36"/>
      <c r="K27" s="37"/>
      <c r="L27" s="37"/>
      <c r="M27" s="36"/>
      <c r="N27" s="36"/>
      <c r="O27" s="36"/>
    </row>
    <row r="28" s="97" customFormat="1" ht="69" customHeight="1" spans="1:16">
      <c r="A28" s="98" t="s">
        <v>3</v>
      </c>
      <c r="B28" s="98" t="s">
        <v>28</v>
      </c>
      <c r="C28" s="99" t="s">
        <v>29</v>
      </c>
      <c r="D28" s="100" t="s">
        <v>30</v>
      </c>
      <c r="E28" s="100" t="s">
        <v>31</v>
      </c>
      <c r="F28" s="101" t="s">
        <v>32</v>
      </c>
      <c r="G28" s="101" t="s">
        <v>132</v>
      </c>
      <c r="H28" s="101" t="s">
        <v>133</v>
      </c>
      <c r="I28" s="101" t="s">
        <v>134</v>
      </c>
      <c r="J28" s="98" t="s">
        <v>34</v>
      </c>
      <c r="K28" s="98" t="s">
        <v>35</v>
      </c>
      <c r="L28" s="105" t="s">
        <v>36</v>
      </c>
      <c r="M28" s="105" t="s">
        <v>135</v>
      </c>
      <c r="N28" s="98" t="s">
        <v>38</v>
      </c>
      <c r="O28" s="98" t="s">
        <v>39</v>
      </c>
      <c r="P28" s="98" t="s">
        <v>7</v>
      </c>
    </row>
    <row r="29" s="2" customFormat="1" ht="36.75" customHeight="1" spans="1:16">
      <c r="A29" s="44">
        <v>1</v>
      </c>
      <c r="B29" s="44" t="s">
        <v>40</v>
      </c>
      <c r="C29" s="44">
        <v>33446.1</v>
      </c>
      <c r="D29" s="102">
        <v>58118.02</v>
      </c>
      <c r="E29" s="102">
        <f>系统合同备案面积表!F40</f>
        <v>0</v>
      </c>
      <c r="F29" s="103">
        <f>(E29+E30)/(D29+D30)*(C29+C30)</f>
        <v>0</v>
      </c>
      <c r="G29" s="103">
        <v>2918.49</v>
      </c>
      <c r="H29" s="103">
        <v>1.7</v>
      </c>
      <c r="I29" s="103">
        <f>G29/H29</f>
        <v>1716.75882352941</v>
      </c>
      <c r="J29" s="44" t="s">
        <v>41</v>
      </c>
      <c r="K29" s="44">
        <v>6</v>
      </c>
      <c r="L29" s="74">
        <f>I29*6</f>
        <v>10300.5529411765</v>
      </c>
      <c r="M29" s="74">
        <f>L29/2</f>
        <v>5150.27647058824</v>
      </c>
      <c r="N29" s="44" t="s">
        <v>42</v>
      </c>
      <c r="O29" s="44" t="s">
        <v>43</v>
      </c>
      <c r="P29" s="44" t="s">
        <v>44</v>
      </c>
    </row>
    <row r="30" s="2" customFormat="1" ht="36.75" customHeight="1" spans="1:16">
      <c r="A30" s="44">
        <v>2</v>
      </c>
      <c r="B30" s="44" t="s">
        <v>45</v>
      </c>
      <c r="C30" s="44">
        <v>37188.2</v>
      </c>
      <c r="D30" s="102">
        <f>21670.6+14820.21</f>
        <v>36490.81</v>
      </c>
      <c r="E30" s="102">
        <f>系统合同备案面积表!C40</f>
        <v>0</v>
      </c>
      <c r="F30" s="104"/>
      <c r="G30" s="104"/>
      <c r="H30" s="104"/>
      <c r="I30" s="104"/>
      <c r="J30" s="44" t="s">
        <v>41</v>
      </c>
      <c r="K30" s="44">
        <v>6</v>
      </c>
      <c r="L30" s="75"/>
      <c r="M30" s="75"/>
      <c r="N30" s="44" t="s">
        <v>46</v>
      </c>
      <c r="O30" s="44" t="s">
        <v>47</v>
      </c>
      <c r="P30" s="44" t="s">
        <v>44</v>
      </c>
    </row>
    <row r="31" ht="17.25" customHeight="1" spans="1:16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</row>
    <row r="32" ht="17.25" customHeight="1" spans="1:16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ht="27" customHeight="1" spans="2:13">
      <c r="B33" s="64" t="s">
        <v>114</v>
      </c>
      <c r="C33" s="64" t="s">
        <v>2</v>
      </c>
      <c r="M33" s="88"/>
    </row>
    <row r="34" ht="27" customHeight="1" spans="2:3">
      <c r="B34" s="65" t="s">
        <v>115</v>
      </c>
      <c r="C34" s="66">
        <v>1661666.09</v>
      </c>
    </row>
    <row r="35" ht="27" customHeight="1" spans="2:3">
      <c r="B35" s="65" t="s">
        <v>116</v>
      </c>
      <c r="C35" s="66">
        <v>2358.49</v>
      </c>
    </row>
    <row r="36" ht="27" customHeight="1" spans="2:3">
      <c r="B36" s="65" t="s">
        <v>117</v>
      </c>
      <c r="C36" s="66">
        <v>0</v>
      </c>
    </row>
    <row r="37" ht="27" customHeight="1" spans="2:3">
      <c r="B37" s="65" t="s">
        <v>118</v>
      </c>
      <c r="C37" s="66">
        <v>23282.48</v>
      </c>
    </row>
    <row r="38" ht="27" customHeight="1" spans="2:3">
      <c r="B38" s="65" t="s">
        <v>119</v>
      </c>
      <c r="C38" s="66"/>
    </row>
    <row r="39" ht="27" customHeight="1" spans="2:3">
      <c r="B39" s="67" t="s">
        <v>120</v>
      </c>
      <c r="C39" s="66">
        <v>-63</v>
      </c>
    </row>
    <row r="40" ht="27" customHeight="1" spans="2:3">
      <c r="B40" s="60" t="s">
        <v>121</v>
      </c>
      <c r="C40" s="66">
        <f>C34+C35-C36-C37-C38-C39</f>
        <v>1640805.1</v>
      </c>
    </row>
    <row r="41" ht="27" customHeight="1" spans="2:3">
      <c r="B41" s="60" t="s">
        <v>122</v>
      </c>
      <c r="C41" s="68">
        <v>0.25</v>
      </c>
    </row>
    <row r="42" ht="27" customHeight="1" spans="2:3">
      <c r="B42" s="60" t="s">
        <v>123</v>
      </c>
      <c r="C42" s="60">
        <v>0</v>
      </c>
    </row>
    <row r="43" ht="27" customHeight="1" spans="2:3">
      <c r="B43" s="60" t="s">
        <v>124</v>
      </c>
      <c r="C43" s="69">
        <f>C40*C41-C42</f>
        <v>410201.275</v>
      </c>
    </row>
  </sheetData>
  <mergeCells count="12">
    <mergeCell ref="B2:J2"/>
    <mergeCell ref="F29:F30"/>
    <mergeCell ref="G29:G30"/>
    <mergeCell ref="H4:H5"/>
    <mergeCell ref="H29:H30"/>
    <mergeCell ref="I4:I5"/>
    <mergeCell ref="I29:I30"/>
    <mergeCell ref="J4:J5"/>
    <mergeCell ref="L29:L30"/>
    <mergeCell ref="M29:M30"/>
    <mergeCell ref="B4:C6"/>
    <mergeCell ref="B24:J25"/>
  </mergeCells>
  <pageMargins left="0.75" right="0.75" top="1" bottom="1" header="0.5" footer="0.5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9"/>
  <sheetViews>
    <sheetView view="pageBreakPreview" zoomScaleNormal="100" workbookViewId="0">
      <selection activeCell="E13" sqref="E13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5.625" style="1" customWidth="1"/>
    <col min="11" max="11" width="9.375" style="1" customWidth="1"/>
    <col min="12" max="12" width="12.625" style="1"/>
    <col min="13" max="13" width="12.625" style="1" customWidth="1"/>
    <col min="14" max="14" width="16.25" style="1" customWidth="1"/>
    <col min="15" max="15" width="14.875" style="1"/>
    <col min="16" max="16384" width="9" style="1"/>
  </cols>
  <sheetData>
    <row r="2" s="1" customFormat="1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202404</v>
      </c>
      <c r="G3" s="35">
        <f>G6/1.05</f>
        <v>138556.19047619</v>
      </c>
      <c r="H3" s="6" t="s">
        <v>96</v>
      </c>
      <c r="I3" s="6"/>
      <c r="J3" s="1" t="s">
        <v>125</v>
      </c>
    </row>
    <row r="4" s="1" customFormat="1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s="1" customFormat="1" ht="24.95" customHeight="1" spans="2:11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0"/>
      <c r="I5" s="70"/>
      <c r="J5" s="70"/>
      <c r="K5" s="1" t="s">
        <v>136</v>
      </c>
    </row>
    <row r="6" s="1" customFormat="1" ht="15.95" customHeight="1" spans="2:12">
      <c r="B6" s="17"/>
      <c r="C6" s="18"/>
      <c r="D6" s="19"/>
      <c r="E6" s="19">
        <v>24030.95</v>
      </c>
      <c r="F6" s="19"/>
      <c r="G6" s="19">
        <f>L6+L7+L8+L9+L10+M9</f>
        <v>145484</v>
      </c>
      <c r="H6" s="19">
        <v>0</v>
      </c>
      <c r="I6" s="19">
        <v>0</v>
      </c>
      <c r="J6" s="19">
        <f>D6+E6+F6+H6+G6+I6</f>
        <v>169514.95</v>
      </c>
      <c r="K6" s="35" t="s">
        <v>137</v>
      </c>
      <c r="L6" s="1">
        <v>30250</v>
      </c>
    </row>
    <row r="7" s="1" customFormat="1" ht="15.95" customHeight="1" spans="2:12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D7+E7+F7+H7+G7+I7</f>
        <v>0</v>
      </c>
      <c r="K7" s="1" t="s">
        <v>138</v>
      </c>
      <c r="L7" s="1">
        <v>30250</v>
      </c>
    </row>
    <row r="8" s="1" customFormat="1" ht="15.95" customHeight="1" spans="2:12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>D8+E8+F8+H8+G8+I8</f>
        <v>0</v>
      </c>
      <c r="K8" s="1" t="s">
        <v>139</v>
      </c>
      <c r="L8" s="1">
        <v>29750</v>
      </c>
    </row>
    <row r="9" s="1" customFormat="1" ht="15.95" customHeight="1" spans="2:13">
      <c r="B9" s="20" t="s">
        <v>107</v>
      </c>
      <c r="C9" s="21">
        <v>0.05</v>
      </c>
      <c r="D9" s="19">
        <v>0</v>
      </c>
      <c r="E9" s="19">
        <v>1203.05</v>
      </c>
      <c r="F9" s="19"/>
      <c r="G9" s="19"/>
      <c r="H9" s="19">
        <f>H6/1.05*C9</f>
        <v>0</v>
      </c>
      <c r="I9" s="19"/>
      <c r="J9" s="19">
        <f>D9+E9+F9+H9+G9+I9</f>
        <v>1203.05</v>
      </c>
      <c r="K9" s="1" t="s">
        <v>140</v>
      </c>
      <c r="L9" s="1">
        <v>6428.16</v>
      </c>
      <c r="M9" s="1">
        <v>18805.84</v>
      </c>
    </row>
    <row r="10" s="1" customFormat="1" ht="15.95" customHeight="1" spans="2:12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>D10+E10+F10+H10+G10+I10</f>
        <v>0</v>
      </c>
      <c r="K10" s="1" t="s">
        <v>141</v>
      </c>
      <c r="L10" s="1">
        <v>30000</v>
      </c>
    </row>
    <row r="11" s="1" customFormat="1" ht="15.95" customHeight="1" spans="2:12">
      <c r="B11" s="20" t="s">
        <v>128</v>
      </c>
      <c r="C11" s="21"/>
      <c r="D11" s="19"/>
      <c r="E11" s="19">
        <v>379.8</v>
      </c>
      <c r="F11" s="19"/>
      <c r="G11" s="19"/>
      <c r="H11" s="19"/>
      <c r="I11" s="19"/>
      <c r="J11" s="19"/>
      <c r="K11" s="1" t="s">
        <v>51</v>
      </c>
      <c r="L11" s="1">
        <f>SUM(L6:L10)</f>
        <v>126678.16</v>
      </c>
    </row>
    <row r="12" s="1" customFormat="1" ht="15.95" customHeight="1" spans="2:10">
      <c r="B12" s="20" t="s">
        <v>108</v>
      </c>
      <c r="C12" s="21"/>
      <c r="D12" s="19"/>
      <c r="E12" s="19">
        <v>550210.53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/>
      <c r="E13" s="19">
        <f>E9-E12</f>
        <v>-549007.48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22" si="0">D13+H13+I13</f>
        <v>0</v>
      </c>
    </row>
    <row r="14" s="1" customFormat="1" ht="15.95" customHeight="1" spans="2:10">
      <c r="B14" s="20" t="s">
        <v>16</v>
      </c>
      <c r="C14" s="21">
        <v>0.07</v>
      </c>
      <c r="D14" s="19">
        <f>D9*$C$14</f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0"/>
        <v>0</v>
      </c>
    </row>
    <row r="15" s="1" customFormat="1" ht="15.95" customHeight="1" spans="2:10">
      <c r="B15" s="20" t="s">
        <v>110</v>
      </c>
      <c r="C15" s="21">
        <v>0.02</v>
      </c>
      <c r="D15" s="19">
        <f>D9*$C$15</f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0"/>
        <v>0</v>
      </c>
    </row>
    <row r="16" s="1" customFormat="1" ht="15.95" customHeight="1" spans="2:13">
      <c r="B16" s="20" t="s">
        <v>111</v>
      </c>
      <c r="C16" s="21">
        <v>0.03</v>
      </c>
      <c r="D16" s="19">
        <f>D9*$C$16</f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0"/>
        <v>0</v>
      </c>
      <c r="L16" s="35"/>
      <c r="M16" s="96"/>
    </row>
    <row r="17" s="1" customFormat="1" ht="15.95" customHeight="1" spans="2:12">
      <c r="B17" s="22" t="s">
        <v>112</v>
      </c>
      <c r="C17" s="23">
        <v>0.01</v>
      </c>
      <c r="D17" s="24">
        <v>0</v>
      </c>
      <c r="E17" s="24"/>
      <c r="F17" s="24">
        <f>F6/1.09*$C$17</f>
        <v>0</v>
      </c>
      <c r="G17" s="24"/>
      <c r="H17" s="24">
        <v>0</v>
      </c>
      <c r="I17" s="24"/>
      <c r="J17" s="19">
        <f t="shared" si="0"/>
        <v>0</v>
      </c>
      <c r="L17" s="35"/>
    </row>
    <row r="18" s="1" customFormat="1" ht="15.95" customHeight="1" spans="2:13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4156.68571428571</v>
      </c>
      <c r="H18" s="24">
        <v>0</v>
      </c>
      <c r="I18" s="24"/>
      <c r="J18" s="19">
        <f>SUM(E18:I18)</f>
        <v>4156.68571428571</v>
      </c>
      <c r="L18" s="35"/>
      <c r="M18" s="35"/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0"/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0"/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0"/>
        <v>0</v>
      </c>
    </row>
    <row r="22" s="1" customFormat="1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v>231.56</v>
      </c>
    </row>
    <row r="23" s="1" customFormat="1" ht="15.95" customHeight="1" spans="2:10">
      <c r="B23" s="22" t="s">
        <v>51</v>
      </c>
      <c r="C23" s="25"/>
      <c r="D23" s="26">
        <f t="shared" ref="D23:G23" si="1">SUM(D8:D19)</f>
        <v>0</v>
      </c>
      <c r="E23" s="26">
        <v>0</v>
      </c>
      <c r="F23" s="26">
        <f t="shared" si="1"/>
        <v>0</v>
      </c>
      <c r="G23" s="26">
        <f t="shared" si="1"/>
        <v>4156.68571428571</v>
      </c>
      <c r="H23" s="26">
        <f>SUM(H13:H22)</f>
        <v>0</v>
      </c>
      <c r="I23" s="26"/>
      <c r="J23" s="19">
        <f>SUM(J13:J22)</f>
        <v>4388.24571428571</v>
      </c>
    </row>
    <row r="24" s="1" customFormat="1" spans="2:10">
      <c r="B24" s="89" t="s">
        <v>142</v>
      </c>
      <c r="C24" s="90"/>
      <c r="D24" s="90"/>
      <c r="E24" s="90"/>
      <c r="F24" s="90"/>
      <c r="G24" s="90"/>
      <c r="H24" s="90"/>
      <c r="I24" s="90"/>
      <c r="J24" s="94"/>
    </row>
    <row r="25" s="1" customFormat="1" spans="2:10">
      <c r="B25" s="91"/>
      <c r="C25" s="92"/>
      <c r="D25" s="92"/>
      <c r="E25" s="92"/>
      <c r="F25" s="92"/>
      <c r="G25" s="92"/>
      <c r="H25" s="92"/>
      <c r="I25" s="92"/>
      <c r="J25" s="95"/>
    </row>
    <row r="26" s="1" customFormat="1" ht="15" spans="2:5">
      <c r="B26" s="33"/>
      <c r="C26" s="33"/>
      <c r="D26" s="34"/>
      <c r="E26" s="35"/>
    </row>
    <row r="27" s="1" customFormat="1" spans="2:5">
      <c r="B27" s="93"/>
      <c r="C27" s="93"/>
      <c r="D27" s="34"/>
      <c r="E27" s="35"/>
    </row>
    <row r="29" spans="7:7">
      <c r="G29" s="87"/>
    </row>
  </sheetData>
  <mergeCells count="6">
    <mergeCell ref="B2:J2"/>
    <mergeCell ref="H4:H5"/>
    <mergeCell ref="I4:I5"/>
    <mergeCell ref="J4:J5"/>
    <mergeCell ref="B4:C6"/>
    <mergeCell ref="B24:J25"/>
  </mergeCells>
  <pageMargins left="0.75" right="0.75" top="1" bottom="1" header="0.5" footer="0.5"/>
  <pageSetup paperSize="9" scale="68" orientation="landscape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N29"/>
  <sheetViews>
    <sheetView view="pageBreakPreview" zoomScaleNormal="100" workbookViewId="0">
      <selection activeCell="E13" sqref="E13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1.5" style="1" customWidth="1"/>
    <col min="11" max="11" width="10.375" style="1" customWidth="1"/>
    <col min="12" max="12" width="12.625" style="1"/>
    <col min="13" max="13" width="12.625" style="1" customWidth="1"/>
    <col min="14" max="14" width="16.25" style="35" customWidth="1"/>
    <col min="15" max="15" width="14.875" style="1"/>
    <col min="16" max="16384" width="9" style="1"/>
  </cols>
  <sheetData>
    <row r="2" s="1" customFormat="1" ht="44.1" customHeight="1" spans="2:14">
      <c r="B2" s="5" t="s">
        <v>92</v>
      </c>
      <c r="C2" s="5"/>
      <c r="D2" s="5"/>
      <c r="E2" s="5"/>
      <c r="F2" s="5"/>
      <c r="G2" s="5"/>
      <c r="H2" s="5"/>
      <c r="I2" s="5"/>
      <c r="J2" s="5"/>
      <c r="N2" s="35"/>
    </row>
    <row r="3" s="1" customFormat="1" ht="23.1" customHeight="1" spans="2:14">
      <c r="B3" s="6" t="s">
        <v>93</v>
      </c>
      <c r="C3" s="1" t="s">
        <v>94</v>
      </c>
      <c r="D3" s="6" t="s">
        <v>95</v>
      </c>
      <c r="E3" s="7">
        <v>202405</v>
      </c>
      <c r="F3" s="35">
        <f>F6/1.05</f>
        <v>0</v>
      </c>
      <c r="G3" s="35">
        <f>H6/1.05</f>
        <v>7687.61904761905</v>
      </c>
      <c r="H3" s="6" t="s">
        <v>96</v>
      </c>
      <c r="I3" s="6"/>
      <c r="J3" s="1" t="s">
        <v>143</v>
      </c>
      <c r="N3" s="35"/>
    </row>
    <row r="4" s="1" customFormat="1" ht="24.95" customHeight="1" spans="2:14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  <c r="N4" s="35"/>
    </row>
    <row r="5" s="1" customFormat="1" ht="24.95" customHeight="1" spans="2:14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0"/>
      <c r="I5" s="70"/>
      <c r="J5" s="70"/>
      <c r="K5" s="1" t="s">
        <v>136</v>
      </c>
      <c r="N5" s="35"/>
    </row>
    <row r="6" s="1" customFormat="1" ht="15.95" customHeight="1" spans="2:14">
      <c r="B6" s="17"/>
      <c r="C6" s="18"/>
      <c r="D6" s="19">
        <v>3961</v>
      </c>
      <c r="E6" s="19">
        <v>62</v>
      </c>
      <c r="F6" s="19"/>
      <c r="G6" s="19"/>
      <c r="H6" s="19">
        <v>8072</v>
      </c>
      <c r="I6" s="19">
        <v>0</v>
      </c>
      <c r="J6" s="19">
        <f t="shared" ref="J6:J10" si="0">D6+E6+F6+H6+G6+I6</f>
        <v>12095</v>
      </c>
      <c r="K6" s="35" t="s">
        <v>144</v>
      </c>
      <c r="L6" s="86">
        <v>5000</v>
      </c>
      <c r="N6" s="35"/>
    </row>
    <row r="7" s="1" customFormat="1" ht="15.95" customHeight="1" spans="2:14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 t="shared" si="0"/>
        <v>0</v>
      </c>
      <c r="K7" s="1" t="s">
        <v>145</v>
      </c>
      <c r="L7" s="86">
        <v>27500</v>
      </c>
      <c r="N7" s="35"/>
    </row>
    <row r="8" s="1" customFormat="1" ht="15.95" customHeight="1" spans="2:14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si="0"/>
        <v>0</v>
      </c>
      <c r="K8" s="1" t="s">
        <v>146</v>
      </c>
      <c r="L8" s="86">
        <v>33000</v>
      </c>
      <c r="N8" s="35"/>
    </row>
    <row r="9" s="1" customFormat="1" ht="15.95" customHeight="1" spans="2:14">
      <c r="B9" s="20" t="s">
        <v>107</v>
      </c>
      <c r="C9" s="21">
        <v>0.05</v>
      </c>
      <c r="D9" s="19">
        <f>D6/1.05*0.05</f>
        <v>188.619047619048</v>
      </c>
      <c r="E9" s="19">
        <f>E6/1.05*0.05</f>
        <v>2.95238095238095</v>
      </c>
      <c r="F9" s="19"/>
      <c r="G9" s="19"/>
      <c r="H9" s="19">
        <f>H6/1.05*C9</f>
        <v>384.380952380952</v>
      </c>
      <c r="I9" s="19"/>
      <c r="J9" s="19">
        <f t="shared" si="0"/>
        <v>575.952380952381</v>
      </c>
      <c r="K9" s="1" t="s">
        <v>147</v>
      </c>
      <c r="L9" s="86">
        <v>10000</v>
      </c>
      <c r="M9" s="1"/>
      <c r="N9" s="35"/>
    </row>
    <row r="10" s="1" customFormat="1" ht="15.95" customHeight="1" spans="2:14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  <c r="N10" s="35"/>
    </row>
    <row r="11" s="1" customFormat="1" ht="15.95" customHeight="1" spans="2:14">
      <c r="B11" s="20" t="s">
        <v>128</v>
      </c>
      <c r="C11" s="21"/>
      <c r="D11" s="19"/>
      <c r="E11" s="19">
        <v>379.8</v>
      </c>
      <c r="F11" s="19"/>
      <c r="G11" s="19"/>
      <c r="H11" s="19"/>
      <c r="I11" s="19"/>
      <c r="J11" s="19"/>
      <c r="K11" s="1" t="s">
        <v>51</v>
      </c>
      <c r="L11" s="35">
        <f>SUM(L6:L10)</f>
        <v>75500</v>
      </c>
      <c r="N11" s="35"/>
    </row>
    <row r="12" s="1" customFormat="1" ht="15.95" customHeight="1" spans="2:14">
      <c r="B12" s="20" t="s">
        <v>108</v>
      </c>
      <c r="C12" s="21"/>
      <c r="D12" s="19"/>
      <c r="E12" s="19">
        <v>549007.48</v>
      </c>
      <c r="F12" s="19"/>
      <c r="G12" s="19"/>
      <c r="H12" s="19"/>
      <c r="I12" s="19"/>
      <c r="J12" s="19"/>
      <c r="N12" s="35"/>
    </row>
    <row r="13" s="1" customFormat="1" ht="15.95" customHeight="1" spans="2:14">
      <c r="B13" s="20" t="s">
        <v>109</v>
      </c>
      <c r="C13" s="21"/>
      <c r="D13" s="19"/>
      <c r="E13" s="19">
        <f>E12-E9-D9</f>
        <v>548815.908571429</v>
      </c>
      <c r="F13" s="19"/>
      <c r="G13" s="19"/>
      <c r="H13" s="19">
        <f>H9-H12</f>
        <v>384.380952380952</v>
      </c>
      <c r="I13" s="19">
        <f>IF(I10-I11&gt;0,I10-I11,0)</f>
        <v>0</v>
      </c>
      <c r="J13" s="19">
        <f t="shared" ref="J13:J17" si="1">D13+H13+I13</f>
        <v>384.380952380952</v>
      </c>
      <c r="K13" s="1" t="s">
        <v>148</v>
      </c>
      <c r="L13" s="1">
        <v>62</v>
      </c>
      <c r="N13" s="35"/>
    </row>
    <row r="14" s="1" customFormat="1" ht="15.95" customHeight="1" spans="2:14">
      <c r="B14" s="20" t="s">
        <v>16</v>
      </c>
      <c r="C14" s="21">
        <v>0.07</v>
      </c>
      <c r="D14" s="19">
        <f>D9*$C$14</f>
        <v>13.2033333333333</v>
      </c>
      <c r="E14" s="19">
        <v>0</v>
      </c>
      <c r="F14" s="19"/>
      <c r="G14" s="19"/>
      <c r="H14" s="19">
        <f>H9*$C$14</f>
        <v>26.9066666666667</v>
      </c>
      <c r="I14" s="19">
        <f>I13*C14</f>
        <v>0</v>
      </c>
      <c r="J14" s="19">
        <f t="shared" si="1"/>
        <v>40.11</v>
      </c>
      <c r="N14" s="35"/>
    </row>
    <row r="15" s="1" customFormat="1" ht="15.95" customHeight="1" spans="2:14">
      <c r="B15" s="20" t="s">
        <v>110</v>
      </c>
      <c r="C15" s="21">
        <v>0.02</v>
      </c>
      <c r="D15" s="19">
        <f>D9*$C$15</f>
        <v>3.77238095238095</v>
      </c>
      <c r="E15" s="19">
        <v>0</v>
      </c>
      <c r="F15" s="19"/>
      <c r="G15" s="19"/>
      <c r="H15" s="19">
        <f>H9*$C$15</f>
        <v>7.68761904761905</v>
      </c>
      <c r="I15" s="19">
        <f>I13*C15</f>
        <v>0</v>
      </c>
      <c r="J15" s="19">
        <f t="shared" si="1"/>
        <v>11.46</v>
      </c>
      <c r="N15" s="35"/>
    </row>
    <row r="16" s="1" customFormat="1" ht="15.95" customHeight="1" spans="2:14">
      <c r="B16" s="20" t="s">
        <v>111</v>
      </c>
      <c r="C16" s="21">
        <v>0.03</v>
      </c>
      <c r="D16" s="19">
        <f>D9*$C$16</f>
        <v>5.65857142857143</v>
      </c>
      <c r="E16" s="19">
        <v>0</v>
      </c>
      <c r="F16" s="19"/>
      <c r="G16" s="19"/>
      <c r="H16" s="19">
        <f>H9*$C$16</f>
        <v>11.5314285714286</v>
      </c>
      <c r="I16" s="19">
        <f>I13*C16</f>
        <v>0</v>
      </c>
      <c r="J16" s="19">
        <f t="shared" si="1"/>
        <v>17.19</v>
      </c>
      <c r="L16" s="35"/>
      <c r="N16" s="35"/>
    </row>
    <row r="17" s="1" customFormat="1" ht="15.95" customHeight="1" spans="2:14">
      <c r="B17" s="22" t="s">
        <v>112</v>
      </c>
      <c r="C17" s="23">
        <v>0.01</v>
      </c>
      <c r="D17" s="24">
        <v>0</v>
      </c>
      <c r="E17" s="24"/>
      <c r="F17" s="24">
        <f>F6/1.05*$C$17</f>
        <v>0</v>
      </c>
      <c r="G17" s="24"/>
      <c r="H17" s="24">
        <v>0</v>
      </c>
      <c r="I17" s="24"/>
      <c r="J17" s="19">
        <f>SUM(E17:I17)</f>
        <v>0</v>
      </c>
      <c r="L17" s="35"/>
      <c r="N17" s="35"/>
    </row>
    <row r="18" s="1" customFormat="1" ht="15.95" customHeight="1" spans="2:14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>SUM(E18:I18)</f>
        <v>0</v>
      </c>
      <c r="L18" s="35"/>
      <c r="N18" s="35"/>
    </row>
    <row r="19" s="1" customFormat="1" ht="15.95" customHeight="1" spans="2:14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ref="J19:J22" si="2">D19+H19+I19</f>
        <v>0</v>
      </c>
      <c r="N19" s="35"/>
    </row>
    <row r="20" s="1" customFormat="1" ht="15.95" customHeight="1" spans="2:14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2"/>
        <v>0</v>
      </c>
      <c r="N20" s="35"/>
    </row>
    <row r="21" s="1" customFormat="1" ht="15.95" customHeight="1" spans="2:14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8.072</v>
      </c>
      <c r="I21" s="19"/>
      <c r="J21" s="19">
        <f t="shared" si="2"/>
        <v>8.072</v>
      </c>
      <c r="N21" s="35"/>
    </row>
    <row r="22" s="1" customFormat="1" ht="15.95" customHeight="1" spans="2:14">
      <c r="B22" s="22" t="s">
        <v>149</v>
      </c>
      <c r="C22" s="28">
        <v>0.12</v>
      </c>
      <c r="D22" s="26"/>
      <c r="E22" s="19"/>
      <c r="F22" s="19"/>
      <c r="G22" s="19"/>
      <c r="H22" s="19">
        <f>H6/1.05*C22</f>
        <v>922.514285714286</v>
      </c>
      <c r="I22" s="19"/>
      <c r="J22" s="19">
        <f t="shared" si="2"/>
        <v>922.514285714286</v>
      </c>
      <c r="N22" s="35"/>
    </row>
    <row r="23" s="1" customFormat="1" ht="15.95" customHeight="1" spans="2:14">
      <c r="B23" s="22" t="s">
        <v>51</v>
      </c>
      <c r="C23" s="25"/>
      <c r="D23" s="26">
        <f t="shared" ref="D23:G23" si="3">SUM(D8:D19)</f>
        <v>211.253333333333</v>
      </c>
      <c r="E23" s="26">
        <v>0</v>
      </c>
      <c r="F23" s="26">
        <f t="shared" si="3"/>
        <v>0</v>
      </c>
      <c r="G23" s="26">
        <f t="shared" si="3"/>
        <v>0</v>
      </c>
      <c r="H23" s="26">
        <f>SUM(H13:H22)</f>
        <v>1361.09295238095</v>
      </c>
      <c r="I23" s="26"/>
      <c r="J23" s="19">
        <f>SUM(J13:J22)</f>
        <v>1383.72723809524</v>
      </c>
      <c r="N23" s="35"/>
    </row>
    <row r="24" s="1" customFormat="1" spans="2:14">
      <c r="B24" s="89"/>
      <c r="C24" s="90"/>
      <c r="D24" s="90"/>
      <c r="E24" s="90"/>
      <c r="F24" s="90"/>
      <c r="G24" s="90"/>
      <c r="H24" s="90"/>
      <c r="I24" s="90"/>
      <c r="J24" s="94"/>
      <c r="N24" s="35"/>
    </row>
    <row r="25" s="1" customFormat="1" spans="2:14">
      <c r="B25" s="91"/>
      <c r="C25" s="92"/>
      <c r="D25" s="92"/>
      <c r="E25" s="92"/>
      <c r="F25" s="92"/>
      <c r="G25" s="92"/>
      <c r="H25" s="92"/>
      <c r="I25" s="92"/>
      <c r="J25" s="95"/>
      <c r="N25" s="35"/>
    </row>
    <row r="26" s="1" customFormat="1" ht="15" spans="2:14">
      <c r="B26" s="33"/>
      <c r="C26" s="33"/>
      <c r="D26" s="34"/>
      <c r="E26" s="35"/>
      <c r="N26" s="35"/>
    </row>
    <row r="27" s="1" customFormat="1" spans="2:14">
      <c r="B27" s="93"/>
      <c r="C27" s="93"/>
      <c r="D27" s="34"/>
      <c r="E27" s="35"/>
      <c r="N27" s="35"/>
    </row>
    <row r="29" s="1" customFormat="1" spans="7:14">
      <c r="G29" s="87"/>
      <c r="N29" s="35"/>
    </row>
  </sheetData>
  <autoFilter xmlns:etc="http://www.wps.cn/officeDocument/2017/etCustomData" ref="N25:N26" etc:filterBottomFollowUsedRange="0">
    <extLst/>
  </autoFilter>
  <mergeCells count="6">
    <mergeCell ref="B2:J2"/>
    <mergeCell ref="H4:H5"/>
    <mergeCell ref="I4:I5"/>
    <mergeCell ref="J4:J5"/>
    <mergeCell ref="B4:C6"/>
    <mergeCell ref="B24:J25"/>
  </mergeCells>
  <pageMargins left="0.75" right="0.75" top="1" bottom="1" header="0.5" footer="0.5"/>
  <pageSetup paperSize="9" scale="74" fitToHeight="0" orientation="landscape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9"/>
  <sheetViews>
    <sheetView zoomScale="85" zoomScaleNormal="85" workbookViewId="0">
      <selection activeCell="J35" sqref="J35"/>
    </sheetView>
  </sheetViews>
  <sheetFormatPr defaultColWidth="9" defaultRowHeight="14.25"/>
  <cols>
    <col min="1" max="1" width="6" style="1" customWidth="1"/>
    <col min="2" max="2" width="24.5" style="1" customWidth="1"/>
    <col min="3" max="3" width="18.75" style="1" customWidth="1"/>
    <col min="4" max="5" width="18.25" style="1" customWidth="1"/>
    <col min="6" max="7" width="13.75" style="1" customWidth="1"/>
    <col min="8" max="9" width="18.25" style="1" customWidth="1"/>
    <col min="10" max="10" width="12.625" style="1" customWidth="1"/>
    <col min="11" max="11" width="12.125" style="1" customWidth="1"/>
    <col min="12" max="12" width="14.875" style="1" customWidth="1"/>
    <col min="13" max="13" width="19" style="1" customWidth="1"/>
    <col min="14" max="14" width="14" style="1" customWidth="1"/>
    <col min="15" max="15" width="33.75" style="1" customWidth="1"/>
    <col min="16" max="16" width="9.125" style="1" customWidth="1"/>
    <col min="17" max="16384" width="9" style="1"/>
  </cols>
  <sheetData>
    <row r="2" s="1" customForma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202406</v>
      </c>
      <c r="H3" s="6" t="s">
        <v>96</v>
      </c>
      <c r="I3" s="6"/>
      <c r="J3" s="1" t="s">
        <v>143</v>
      </c>
    </row>
    <row r="4" s="1" customFormat="1" ht="20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s="1" customFormat="1" ht="18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0"/>
      <c r="I5" s="70"/>
      <c r="J5" s="70"/>
    </row>
    <row r="6" s="1" customFormat="1" ht="15.95" customHeight="1" spans="2:13">
      <c r="B6" s="17"/>
      <c r="C6" s="18"/>
      <c r="D6" s="19">
        <v>0</v>
      </c>
      <c r="E6" s="19">
        <v>314540.25</v>
      </c>
      <c r="F6" s="19">
        <v>0</v>
      </c>
      <c r="G6" s="19"/>
      <c r="H6" s="19">
        <v>0</v>
      </c>
      <c r="I6" s="19">
        <v>0</v>
      </c>
      <c r="J6" s="19">
        <f>D6+E6+F6+H6</f>
        <v>314540.25</v>
      </c>
      <c r="K6" s="35">
        <f>I6/1.06</f>
        <v>0</v>
      </c>
      <c r="L6" s="1">
        <v>1135150.49</v>
      </c>
      <c r="M6" s="1">
        <f>L6-E6</f>
        <v>820610.24</v>
      </c>
    </row>
    <row r="7" s="1" customFormat="1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3">
      <c r="B9" s="20" t="s">
        <v>107</v>
      </c>
      <c r="C9" s="21">
        <v>0.05</v>
      </c>
      <c r="D9" s="19">
        <f>D6/1.05*C9</f>
        <v>0</v>
      </c>
      <c r="E9" s="19">
        <v>15727.76</v>
      </c>
      <c r="F9" s="19"/>
      <c r="G9" s="19"/>
      <c r="H9" s="19">
        <f>H6/1.05*C9</f>
        <v>0</v>
      </c>
      <c r="I9" s="19"/>
      <c r="J9" s="19">
        <f t="shared" si="0"/>
        <v>15727.76</v>
      </c>
      <c r="L9" s="1">
        <v>56757.52</v>
      </c>
      <c r="M9" s="1">
        <f>L9-E9</f>
        <v>41029.76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548815.908571429</v>
      </c>
      <c r="F12" s="19"/>
      <c r="G12" s="19"/>
      <c r="H12" s="19"/>
      <c r="I12" s="19"/>
      <c r="J12" s="19"/>
    </row>
    <row r="13" s="1" customFormat="1" ht="15.95" customHeight="1" spans="2:12">
      <c r="B13" s="20" t="s">
        <v>109</v>
      </c>
      <c r="C13" s="21"/>
      <c r="D13" s="19">
        <v>0</v>
      </c>
      <c r="E13" s="19">
        <f>E9-E12</f>
        <v>-533088.148571429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16" si="1">D13+H13+I13</f>
        <v>0</v>
      </c>
      <c r="L13" s="1" t="s">
        <v>150</v>
      </c>
    </row>
    <row r="14" s="1" customFormat="1" ht="15.95" customHeight="1" spans="2:13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1"/>
        <v>0</v>
      </c>
      <c r="L14" s="1" t="s">
        <v>146</v>
      </c>
      <c r="M14" s="1">
        <v>244760</v>
      </c>
    </row>
    <row r="15" s="1" customFormat="1" ht="15.95" customHeight="1" spans="2:13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  <c r="L15" s="1" t="s">
        <v>137</v>
      </c>
      <c r="M15" s="1">
        <v>220690</v>
      </c>
    </row>
    <row r="16" s="1" customFormat="1" ht="15.95" customHeight="1" spans="2:13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  <c r="L16" s="1" t="s">
        <v>138</v>
      </c>
      <c r="M16" s="1">
        <v>220690</v>
      </c>
    </row>
    <row r="17" s="1" customFormat="1" ht="15.95" customHeight="1" spans="2:13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  <c r="L17" s="1" t="s">
        <v>51</v>
      </c>
      <c r="M17" s="1">
        <f>SUM(M14:M16)</f>
        <v>686140</v>
      </c>
    </row>
    <row r="18" s="1" customFormat="1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>D18+H18+I18</f>
        <v>0</v>
      </c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>D19+H19+I19</f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>D20+H20+I20</f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>D21+H21+I21</f>
        <v>0</v>
      </c>
    </row>
    <row r="22" s="1" customFormat="1" ht="15.95" customHeight="1" spans="2:10">
      <c r="B22" s="22" t="s">
        <v>151</v>
      </c>
      <c r="C22" s="27">
        <v>0.0005</v>
      </c>
      <c r="D22" s="26">
        <v>686140</v>
      </c>
      <c r="E22" s="19"/>
      <c r="F22" s="19"/>
      <c r="G22" s="19"/>
      <c r="H22" s="19"/>
      <c r="I22" s="19"/>
      <c r="J22" s="19">
        <f>D22*C22</f>
        <v>343.07</v>
      </c>
    </row>
    <row r="23" s="1" customFormat="1" ht="15.95" customHeight="1" spans="2:10">
      <c r="B23" s="22" t="s">
        <v>23</v>
      </c>
      <c r="C23" s="28">
        <v>0.25</v>
      </c>
      <c r="D23" s="26"/>
      <c r="E23" s="19"/>
      <c r="F23" s="19"/>
      <c r="G23" s="19"/>
      <c r="H23" s="19"/>
      <c r="I23" s="19"/>
      <c r="J23" s="19">
        <f>D23+H23+I23</f>
        <v>0</v>
      </c>
    </row>
    <row r="24" s="1" customFormat="1" ht="15.95" customHeight="1" spans="1:10">
      <c r="A24" s="1" t="s">
        <v>152</v>
      </c>
      <c r="B24" s="22" t="s">
        <v>51</v>
      </c>
      <c r="C24" s="25"/>
      <c r="D24" s="26">
        <f t="shared" ref="D24:G24" si="2">SUM(D8:D19)</f>
        <v>0</v>
      </c>
      <c r="E24" s="26">
        <v>0</v>
      </c>
      <c r="F24" s="26">
        <f t="shared" si="2"/>
        <v>0</v>
      </c>
      <c r="G24" s="26">
        <f t="shared" si="2"/>
        <v>0</v>
      </c>
      <c r="H24" s="26">
        <f>SUM(H13:H23)</f>
        <v>0</v>
      </c>
      <c r="I24" s="26"/>
      <c r="J24" s="19">
        <f>SUM(J13:J23)</f>
        <v>343.07</v>
      </c>
    </row>
    <row r="25" s="1" customFormat="1" spans="2:10">
      <c r="B25" s="29"/>
      <c r="C25" s="30"/>
      <c r="D25" s="30"/>
      <c r="E25" s="30"/>
      <c r="F25" s="30"/>
      <c r="G25" s="30"/>
      <c r="H25" s="30"/>
      <c r="I25" s="30"/>
      <c r="J25" s="71"/>
    </row>
    <row r="26" s="1" customFormat="1" spans="2:10">
      <c r="B26" s="31"/>
      <c r="C26" s="32"/>
      <c r="D26" s="32"/>
      <c r="E26" s="32"/>
      <c r="F26" s="32"/>
      <c r="G26" s="32"/>
      <c r="H26" s="32"/>
      <c r="I26" s="32"/>
      <c r="J26" s="72"/>
    </row>
    <row r="27" s="1" customFormat="1" ht="18.75" spans="2:13">
      <c r="B27" s="64" t="s">
        <v>114</v>
      </c>
      <c r="C27" s="64" t="s">
        <v>2</v>
      </c>
      <c r="M27" s="88"/>
    </row>
    <row r="28" s="1" customFormat="1" ht="18.75" spans="2:3">
      <c r="B28" s="65" t="s">
        <v>115</v>
      </c>
      <c r="C28" s="66">
        <v>342402.64</v>
      </c>
    </row>
    <row r="29" s="1" customFormat="1" ht="18.75" spans="2:3">
      <c r="B29" s="65" t="s">
        <v>116</v>
      </c>
      <c r="C29" s="66">
        <v>7687.62</v>
      </c>
    </row>
    <row r="30" s="1" customFormat="1" ht="18.75" spans="2:3">
      <c r="B30" s="65" t="s">
        <v>153</v>
      </c>
      <c r="C30" s="66">
        <v>5811</v>
      </c>
    </row>
    <row r="31" s="1" customFormat="1" ht="18.75" spans="2:3">
      <c r="B31" s="65" t="s">
        <v>117</v>
      </c>
      <c r="C31" s="66">
        <v>0</v>
      </c>
    </row>
    <row r="32" s="1" customFormat="1" ht="18.75" spans="2:3">
      <c r="B32" s="65" t="s">
        <v>118</v>
      </c>
      <c r="C32" s="66">
        <v>1900984.56</v>
      </c>
    </row>
    <row r="33" s="1" customFormat="1" ht="18.75" spans="2:3">
      <c r="B33" s="65" t="s">
        <v>119</v>
      </c>
      <c r="C33" s="66"/>
    </row>
    <row r="34" s="1" customFormat="1" ht="18.75" spans="2:3">
      <c r="B34" s="67" t="s">
        <v>120</v>
      </c>
      <c r="C34" s="66">
        <v>614.06</v>
      </c>
    </row>
    <row r="35" s="1" customFormat="1" ht="18.75" spans="2:3">
      <c r="B35" s="67" t="s">
        <v>154</v>
      </c>
      <c r="C35" s="66">
        <v>76623.85</v>
      </c>
    </row>
    <row r="36" s="1" customFormat="1" ht="18.75" spans="2:3">
      <c r="B36" s="60" t="s">
        <v>121</v>
      </c>
      <c r="C36" s="66">
        <f>C28+C29-C31-C32-C33-C34</f>
        <v>-1551508.36</v>
      </c>
    </row>
    <row r="37" s="1" customFormat="1" ht="18.75" spans="2:3">
      <c r="B37" s="60" t="s">
        <v>122</v>
      </c>
      <c r="C37" s="68">
        <v>0.25</v>
      </c>
    </row>
    <row r="38" s="1" customFormat="1" ht="18.75" spans="2:3">
      <c r="B38" s="60" t="s">
        <v>123</v>
      </c>
      <c r="C38" s="60">
        <v>0</v>
      </c>
    </row>
    <row r="39" s="1" customFormat="1" ht="18.75" spans="2:3">
      <c r="B39" s="60" t="s">
        <v>124</v>
      </c>
      <c r="C39" s="69">
        <f>C36*C37-C38</f>
        <v>-387877.09</v>
      </c>
    </row>
  </sheetData>
  <mergeCells count="6">
    <mergeCell ref="B2:J2"/>
    <mergeCell ref="H4:H5"/>
    <mergeCell ref="I4:I5"/>
    <mergeCell ref="J4:J5"/>
    <mergeCell ref="B4:C6"/>
    <mergeCell ref="B25:J26"/>
  </mergeCells>
  <pageMargins left="0.75" right="0.75" top="1" bottom="1" header="0.5" footer="0.5"/>
  <pageSetup paperSize="9" orientation="portrait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27"/>
  <sheetViews>
    <sheetView workbookViewId="0">
      <selection activeCell="E13" sqref="E13"/>
    </sheetView>
  </sheetViews>
  <sheetFormatPr defaultColWidth="9" defaultRowHeight="14.25"/>
  <cols>
    <col min="1" max="1" width="6" style="1" customWidth="1"/>
    <col min="2" max="2" width="24.5" style="1" customWidth="1"/>
    <col min="3" max="3" width="18.75" style="1" customWidth="1"/>
    <col min="4" max="5" width="18.25" style="1" customWidth="1"/>
    <col min="6" max="7" width="13.75" style="1" customWidth="1"/>
    <col min="8" max="9" width="18.25" style="1" customWidth="1"/>
    <col min="10" max="10" width="12.625" style="1" customWidth="1"/>
    <col min="11" max="11" width="12.125" style="1" customWidth="1"/>
    <col min="12" max="12" width="14.875" style="1" customWidth="1"/>
    <col min="13" max="13" width="19" style="1" customWidth="1"/>
    <col min="14" max="14" width="14" style="1" customWidth="1"/>
    <col min="15" max="15" width="33.75" style="1" customWidth="1"/>
    <col min="16" max="16" width="9.125" style="1" customWidth="1"/>
    <col min="17" max="16384" width="9" style="1"/>
  </cols>
  <sheetData>
    <row r="2" s="1" customForma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202406</v>
      </c>
      <c r="H3" s="6" t="s">
        <v>96</v>
      </c>
      <c r="I3" s="6"/>
      <c r="J3" s="1" t="s">
        <v>155</v>
      </c>
    </row>
    <row r="4" s="1" customFormat="1" ht="20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s="1" customFormat="1" ht="18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0"/>
      <c r="I5" s="70"/>
      <c r="J5" s="70"/>
    </row>
    <row r="6" s="1" customFormat="1" ht="15.95" customHeight="1" spans="2:13">
      <c r="B6" s="17"/>
      <c r="C6" s="18"/>
      <c r="D6" s="19">
        <v>0</v>
      </c>
      <c r="E6" s="19">
        <v>175312.09</v>
      </c>
      <c r="F6" s="19">
        <v>0</v>
      </c>
      <c r="G6" s="19"/>
      <c r="H6" s="19">
        <v>0</v>
      </c>
      <c r="I6" s="19">
        <v>0</v>
      </c>
      <c r="J6" s="19">
        <f>D6+E6+F6+H6</f>
        <v>175312.09</v>
      </c>
      <c r="K6" s="35">
        <f>I6/1.06</f>
        <v>0</v>
      </c>
      <c r="L6" s="1">
        <v>952916.19</v>
      </c>
      <c r="M6" s="1">
        <f>L6-E6</f>
        <v>777604.1</v>
      </c>
    </row>
    <row r="7" s="1" customFormat="1" ht="15.95" customHeight="1" spans="2:13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  <c r="L7" s="87">
        <v>47645.81</v>
      </c>
      <c r="M7" s="1">
        <f>L7-E9</f>
        <v>38879.9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0">
      <c r="B9" s="20" t="s">
        <v>107</v>
      </c>
      <c r="C9" s="21">
        <v>0.05</v>
      </c>
      <c r="D9" s="19">
        <f>D6/1.05*C9</f>
        <v>0</v>
      </c>
      <c r="E9" s="19">
        <v>8765.91</v>
      </c>
      <c r="F9" s="19"/>
      <c r="G9" s="19"/>
      <c r="H9" s="19">
        <f>H6/1.05*C9</f>
        <v>0</v>
      </c>
      <c r="I9" s="19"/>
      <c r="J9" s="19">
        <f t="shared" si="0"/>
        <v>8765.91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533088.148571429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>
        <v>0</v>
      </c>
      <c r="E13" s="19">
        <f>E9-E12</f>
        <v>-524322.238571429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16" si="1">D13+H13+I13</f>
        <v>0</v>
      </c>
    </row>
    <row r="14" s="1" customFormat="1" ht="15.95" customHeight="1" spans="2:10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1"/>
        <v>0</v>
      </c>
    </row>
    <row r="15" s="1" customFormat="1" ht="15.95" customHeight="1" spans="2:10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</row>
    <row r="16" s="1" customFormat="1" ht="15.95" customHeight="1" spans="2:10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</row>
    <row r="17" s="1" customFormat="1" ht="15.95" customHeight="1" spans="2:13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  <c r="L17" s="1" t="s">
        <v>51</v>
      </c>
      <c r="M17" s="1">
        <f>SUM(M14:M16)</f>
        <v>0</v>
      </c>
    </row>
    <row r="18" s="1" customFormat="1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ref="J18:J21" si="2">D18+H18+I18</f>
        <v>0</v>
      </c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2"/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2"/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2"/>
        <v>0</v>
      </c>
    </row>
    <row r="22" s="1" customFormat="1" ht="15.95" customHeight="1" spans="2:10">
      <c r="B22" s="22" t="s">
        <v>151</v>
      </c>
      <c r="C22" s="27">
        <v>0.0005</v>
      </c>
      <c r="D22" s="26"/>
      <c r="E22" s="19"/>
      <c r="F22" s="19"/>
      <c r="G22" s="19"/>
      <c r="H22" s="19"/>
      <c r="I22" s="19"/>
      <c r="J22" s="19">
        <f>D22*C22</f>
        <v>0</v>
      </c>
    </row>
    <row r="23" s="1" customFormat="1" ht="15.95" customHeight="1" spans="2:10">
      <c r="B23" s="22" t="s">
        <v>23</v>
      </c>
      <c r="C23" s="28">
        <v>0.25</v>
      </c>
      <c r="D23" s="26"/>
      <c r="E23" s="19"/>
      <c r="F23" s="19"/>
      <c r="G23" s="19"/>
      <c r="H23" s="19"/>
      <c r="I23" s="19"/>
      <c r="J23" s="19">
        <f>D23+H23+I23</f>
        <v>0</v>
      </c>
    </row>
    <row r="24" s="1" customFormat="1" ht="15.95" customHeight="1" spans="1:10">
      <c r="A24" s="1" t="s">
        <v>152</v>
      </c>
      <c r="B24" s="22" t="s">
        <v>51</v>
      </c>
      <c r="C24" s="25"/>
      <c r="D24" s="26">
        <f t="shared" ref="D24:G24" si="3">SUM(D8:D19)</f>
        <v>0</v>
      </c>
      <c r="E24" s="26">
        <v>0</v>
      </c>
      <c r="F24" s="26">
        <f t="shared" si="3"/>
        <v>0</v>
      </c>
      <c r="G24" s="26">
        <f t="shared" si="3"/>
        <v>0</v>
      </c>
      <c r="H24" s="26">
        <f>SUM(H13:H23)</f>
        <v>0</v>
      </c>
      <c r="I24" s="26"/>
      <c r="J24" s="19">
        <f>SUM(J13:J23)</f>
        <v>0</v>
      </c>
    </row>
    <row r="25" s="1" customFormat="1" spans="2:10">
      <c r="B25" s="29"/>
      <c r="C25" s="30"/>
      <c r="D25" s="30"/>
      <c r="E25" s="30"/>
      <c r="F25" s="30"/>
      <c r="G25" s="30"/>
      <c r="H25" s="30"/>
      <c r="I25" s="30"/>
      <c r="J25" s="71"/>
    </row>
    <row r="26" s="1" customFormat="1" spans="2:10">
      <c r="B26" s="31"/>
      <c r="C26" s="32"/>
      <c r="D26" s="32"/>
      <c r="E26" s="32"/>
      <c r="F26" s="32"/>
      <c r="G26" s="32"/>
      <c r="H26" s="32"/>
      <c r="I26" s="32"/>
      <c r="J26" s="72"/>
    </row>
    <row r="27" s="1" customFormat="1" spans="13:13">
      <c r="M27" s="88"/>
    </row>
  </sheetData>
  <mergeCells count="6">
    <mergeCell ref="B2:J2"/>
    <mergeCell ref="H4:H5"/>
    <mergeCell ref="I4:I5"/>
    <mergeCell ref="J4:J5"/>
    <mergeCell ref="B4:C6"/>
    <mergeCell ref="B25:J26"/>
  </mergeCell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6"/>
  <sheetViews>
    <sheetView workbookViewId="0">
      <selection activeCell="D13" sqref="D13"/>
    </sheetView>
  </sheetViews>
  <sheetFormatPr defaultColWidth="9" defaultRowHeight="14.25"/>
  <cols>
    <col min="1" max="1" width="6" style="1" customWidth="1"/>
    <col min="2" max="2" width="24.5" style="1" customWidth="1"/>
    <col min="3" max="3" width="18.75" style="1" customWidth="1"/>
    <col min="4" max="4" width="18.25" style="1" customWidth="1"/>
    <col min="5" max="6" width="13.75" style="1" customWidth="1"/>
    <col min="7" max="8" width="18.25" style="1" customWidth="1"/>
    <col min="9" max="9" width="12.625" style="1" customWidth="1"/>
    <col min="10" max="10" width="13.75" style="1" customWidth="1"/>
    <col min="11" max="11" width="14.875" style="1" customWidth="1"/>
    <col min="12" max="12" width="19" style="1" customWidth="1"/>
    <col min="13" max="13" width="14" style="1" customWidth="1"/>
    <col min="14" max="14" width="33.75" style="1" customWidth="1"/>
    <col min="15" max="15" width="9.125" style="1" customWidth="1"/>
    <col min="16" max="16384" width="9" style="1"/>
  </cols>
  <sheetData>
    <row r="2" s="1" customFormat="1" spans="2:9">
      <c r="B2" s="5" t="s">
        <v>92</v>
      </c>
      <c r="C2" s="5"/>
      <c r="D2" s="5"/>
      <c r="E2" s="5"/>
      <c r="F2" s="5"/>
      <c r="G2" s="5"/>
      <c r="H2" s="5"/>
      <c r="I2" s="5"/>
    </row>
    <row r="3" s="1" customFormat="1" ht="23.1" customHeight="1" spans="2:9">
      <c r="B3" s="6" t="s">
        <v>93</v>
      </c>
      <c r="C3" s="1" t="s">
        <v>94</v>
      </c>
      <c r="D3" s="6" t="s">
        <v>95</v>
      </c>
      <c r="G3" s="6" t="s">
        <v>96</v>
      </c>
      <c r="H3" s="6"/>
      <c r="I3" s="1" t="s">
        <v>156</v>
      </c>
    </row>
    <row r="4" s="1" customFormat="1" ht="20" customHeight="1" spans="2:9">
      <c r="B4" s="8" t="s">
        <v>98</v>
      </c>
      <c r="C4" s="9"/>
      <c r="D4" s="11" t="s">
        <v>157</v>
      </c>
      <c r="E4" s="10" t="s">
        <v>99</v>
      </c>
      <c r="F4" s="11" t="s">
        <v>100</v>
      </c>
      <c r="G4" s="11" t="s">
        <v>101</v>
      </c>
      <c r="H4" s="11" t="s">
        <v>126</v>
      </c>
      <c r="I4" s="11" t="s">
        <v>51</v>
      </c>
    </row>
    <row r="5" s="1" customFormat="1" ht="18" customHeight="1" spans="2:9">
      <c r="B5" s="13"/>
      <c r="C5" s="14"/>
      <c r="D5" s="70"/>
      <c r="E5" s="10" t="s">
        <v>104</v>
      </c>
      <c r="F5" s="10" t="s">
        <v>104</v>
      </c>
      <c r="G5" s="70"/>
      <c r="H5" s="70"/>
      <c r="I5" s="70"/>
    </row>
    <row r="6" s="1" customFormat="1" ht="15.95" customHeight="1" spans="2:11">
      <c r="B6" s="17"/>
      <c r="C6" s="18"/>
      <c r="D6" s="19">
        <f>J6+K6</f>
        <v>498216</v>
      </c>
      <c r="E6" s="19">
        <v>0</v>
      </c>
      <c r="F6" s="19"/>
      <c r="G6" s="19">
        <v>0</v>
      </c>
      <c r="H6" s="19">
        <v>0</v>
      </c>
      <c r="I6" s="19">
        <f>D6+E6+G6</f>
        <v>498216</v>
      </c>
      <c r="J6" s="86">
        <v>253456</v>
      </c>
      <c r="K6" s="86">
        <v>244760</v>
      </c>
    </row>
    <row r="7" s="1" customFormat="1" ht="15.95" customHeight="1" spans="2:9">
      <c r="B7" s="10" t="s">
        <v>105</v>
      </c>
      <c r="C7" s="10" t="s">
        <v>5</v>
      </c>
      <c r="D7" s="19"/>
      <c r="E7" s="19"/>
      <c r="F7" s="19"/>
      <c r="G7" s="19"/>
      <c r="H7" s="19"/>
      <c r="I7" s="19">
        <f>D7+E7+G7</f>
        <v>0</v>
      </c>
    </row>
    <row r="8" s="1" customFormat="1" ht="15.95" customHeight="1" spans="2:9">
      <c r="B8" s="20" t="s">
        <v>106</v>
      </c>
      <c r="C8" s="21">
        <v>0.03</v>
      </c>
      <c r="D8" s="19">
        <v>0</v>
      </c>
      <c r="E8" s="19"/>
      <c r="F8" s="19"/>
      <c r="G8" s="19"/>
      <c r="H8" s="19"/>
      <c r="I8" s="19">
        <f>D8+E8+G8</f>
        <v>0</v>
      </c>
    </row>
    <row r="9" s="1" customFormat="1" ht="15.95" customHeight="1" spans="2:10">
      <c r="B9" s="20" t="s">
        <v>107</v>
      </c>
      <c r="C9" s="21">
        <v>0.05</v>
      </c>
      <c r="D9" s="19">
        <f>D6/1.05*C9</f>
        <v>23724.5714285714</v>
      </c>
      <c r="E9" s="19"/>
      <c r="F9" s="19"/>
      <c r="G9" s="19">
        <f>G6/1.05*C9</f>
        <v>0</v>
      </c>
      <c r="H9" s="19"/>
      <c r="I9" s="19">
        <f>D9+E9+G9</f>
        <v>23724.5714285714</v>
      </c>
      <c r="J9" s="1">
        <f>D6-D9</f>
        <v>474491.428571429</v>
      </c>
    </row>
    <row r="10" s="1" customFormat="1" ht="15.95" customHeight="1" spans="2:9">
      <c r="B10" s="20" t="s">
        <v>127</v>
      </c>
      <c r="C10" s="21">
        <v>0.06</v>
      </c>
      <c r="D10" s="19"/>
      <c r="E10" s="19"/>
      <c r="F10" s="19"/>
      <c r="G10" s="19"/>
      <c r="H10" s="19">
        <f>H6/(1+C10)*C10</f>
        <v>0</v>
      </c>
      <c r="I10" s="19">
        <f>D10+E10+G10</f>
        <v>0</v>
      </c>
    </row>
    <row r="11" s="1" customFormat="1" ht="15.95" customHeight="1" spans="2:9">
      <c r="B11" s="20" t="s">
        <v>128</v>
      </c>
      <c r="C11" s="21"/>
      <c r="D11" s="19"/>
      <c r="E11" s="19"/>
      <c r="F11" s="19"/>
      <c r="G11" s="19"/>
      <c r="H11" s="19"/>
      <c r="I11" s="19"/>
    </row>
    <row r="12" s="1" customFormat="1" ht="15.95" customHeight="1" spans="2:9">
      <c r="B12" s="20" t="s">
        <v>108</v>
      </c>
      <c r="C12" s="21"/>
      <c r="D12" s="19">
        <v>524322.238571429</v>
      </c>
      <c r="E12" s="19"/>
      <c r="F12" s="19"/>
      <c r="G12" s="19"/>
      <c r="H12" s="19"/>
      <c r="I12" s="19"/>
    </row>
    <row r="13" s="1" customFormat="1" ht="15.95" customHeight="1" spans="2:9">
      <c r="B13" s="20" t="s">
        <v>109</v>
      </c>
      <c r="C13" s="21"/>
      <c r="D13" s="19">
        <f>D9-D12</f>
        <v>-500597.667142858</v>
      </c>
      <c r="E13" s="19"/>
      <c r="F13" s="19"/>
      <c r="G13" s="19">
        <f>G9-G12</f>
        <v>0</v>
      </c>
      <c r="H13" s="19">
        <f>IF(H10-H11&gt;0,H10-H11,0)</f>
        <v>0</v>
      </c>
      <c r="I13" s="19">
        <f t="shared" ref="I13:I16" si="0">D13+G13+H13</f>
        <v>-500597.667142858</v>
      </c>
    </row>
    <row r="14" s="1" customFormat="1" ht="15.95" customHeight="1" spans="2:9">
      <c r="B14" s="20" t="s">
        <v>16</v>
      </c>
      <c r="C14" s="21">
        <v>0.07</v>
      </c>
      <c r="D14" s="19">
        <v>0</v>
      </c>
      <c r="E14" s="19"/>
      <c r="F14" s="19"/>
      <c r="G14" s="19">
        <f>G9*$C$14</f>
        <v>0</v>
      </c>
      <c r="H14" s="19">
        <f>H13*C14</f>
        <v>0</v>
      </c>
      <c r="I14" s="19">
        <f t="shared" si="0"/>
        <v>0</v>
      </c>
    </row>
    <row r="15" s="1" customFormat="1" ht="15.95" customHeight="1" spans="2:9">
      <c r="B15" s="20" t="s">
        <v>110</v>
      </c>
      <c r="C15" s="21">
        <v>0.02</v>
      </c>
      <c r="D15" s="19">
        <v>0</v>
      </c>
      <c r="E15" s="19"/>
      <c r="F15" s="19"/>
      <c r="G15" s="19">
        <f>G9*$C$15</f>
        <v>0</v>
      </c>
      <c r="H15" s="19">
        <f>H13*C15</f>
        <v>0</v>
      </c>
      <c r="I15" s="19">
        <f t="shared" si="0"/>
        <v>0</v>
      </c>
    </row>
    <row r="16" s="1" customFormat="1" ht="15.95" customHeight="1" spans="2:9">
      <c r="B16" s="20" t="s">
        <v>111</v>
      </c>
      <c r="C16" s="21">
        <v>0.03</v>
      </c>
      <c r="D16" s="19">
        <v>0</v>
      </c>
      <c r="E16" s="19"/>
      <c r="F16" s="19"/>
      <c r="G16" s="19">
        <f>G9*$C$16</f>
        <v>0</v>
      </c>
      <c r="H16" s="19">
        <f>H13*C16</f>
        <v>0</v>
      </c>
      <c r="I16" s="19">
        <f t="shared" si="0"/>
        <v>0</v>
      </c>
    </row>
    <row r="17" s="1" customFormat="1" ht="15.95" customHeight="1" spans="2:9">
      <c r="B17" s="22" t="s">
        <v>112</v>
      </c>
      <c r="C17" s="23">
        <v>0.01</v>
      </c>
      <c r="D17" s="24">
        <v>0</v>
      </c>
      <c r="E17" s="24">
        <f>E6*$C$17</f>
        <v>0</v>
      </c>
      <c r="F17" s="24"/>
      <c r="G17" s="24">
        <v>0</v>
      </c>
      <c r="H17" s="24"/>
      <c r="I17" s="19">
        <f>D17+G17+H17+E17</f>
        <v>0</v>
      </c>
    </row>
    <row r="18" s="1" customFormat="1" ht="15.95" customHeight="1" spans="2:9">
      <c r="B18" s="22" t="s">
        <v>112</v>
      </c>
      <c r="C18" s="25">
        <v>0.03</v>
      </c>
      <c r="D18" s="24">
        <v>0</v>
      </c>
      <c r="E18" s="24"/>
      <c r="F18" s="24">
        <f>F6/1.05*C18</f>
        <v>0</v>
      </c>
      <c r="G18" s="24">
        <v>0</v>
      </c>
      <c r="H18" s="24"/>
      <c r="I18" s="19">
        <f t="shared" ref="I18:I21" si="1">D18+G18+H18</f>
        <v>0</v>
      </c>
    </row>
    <row r="19" s="1" customFormat="1" ht="15.95" customHeight="1" spans="2:9">
      <c r="B19" s="22" t="s">
        <v>112</v>
      </c>
      <c r="C19" s="25">
        <v>0.04</v>
      </c>
      <c r="D19" s="26"/>
      <c r="E19" s="19"/>
      <c r="F19" s="19"/>
      <c r="G19" s="19">
        <v>0</v>
      </c>
      <c r="H19" s="19"/>
      <c r="I19" s="19">
        <f t="shared" si="1"/>
        <v>0</v>
      </c>
    </row>
    <row r="20" s="1" customFormat="1" ht="15.95" customHeight="1" spans="2:9">
      <c r="B20" s="22" t="s">
        <v>129</v>
      </c>
      <c r="C20" s="27">
        <v>0.0005</v>
      </c>
      <c r="D20" s="26"/>
      <c r="E20" s="19"/>
      <c r="F20" s="19"/>
      <c r="G20" s="19"/>
      <c r="H20" s="19">
        <v>0</v>
      </c>
      <c r="I20" s="19">
        <f t="shared" si="1"/>
        <v>0</v>
      </c>
    </row>
    <row r="21" s="1" customFormat="1" ht="15.95" customHeight="1" spans="2:9">
      <c r="B21" s="22" t="s">
        <v>130</v>
      </c>
      <c r="C21" s="27">
        <v>0.001</v>
      </c>
      <c r="D21" s="26"/>
      <c r="E21" s="19"/>
      <c r="F21" s="19"/>
      <c r="G21" s="19">
        <f>G6*C21</f>
        <v>0</v>
      </c>
      <c r="H21" s="19"/>
      <c r="I21" s="19">
        <f t="shared" si="1"/>
        <v>0</v>
      </c>
    </row>
    <row r="22" s="1" customFormat="1" ht="15.95" customHeight="1" spans="2:9">
      <c r="B22" s="22" t="s">
        <v>151</v>
      </c>
      <c r="C22" s="27">
        <v>0.0005</v>
      </c>
      <c r="D22" s="26"/>
      <c r="E22" s="19"/>
      <c r="F22" s="19"/>
      <c r="G22" s="19"/>
      <c r="H22" s="19"/>
      <c r="I22" s="19">
        <f>D22*C22</f>
        <v>0</v>
      </c>
    </row>
    <row r="23" s="1" customFormat="1" ht="15.95" customHeight="1" spans="2:9">
      <c r="B23" s="22" t="s">
        <v>23</v>
      </c>
      <c r="C23" s="28">
        <v>0.25</v>
      </c>
      <c r="D23" s="26"/>
      <c r="E23" s="19"/>
      <c r="F23" s="19"/>
      <c r="G23" s="19"/>
      <c r="H23" s="19"/>
      <c r="I23" s="19">
        <f>D23+G23+H23</f>
        <v>0</v>
      </c>
    </row>
    <row r="24" s="1" customFormat="1" ht="15.95" customHeight="1" spans="1:9">
      <c r="A24" s="1" t="s">
        <v>152</v>
      </c>
      <c r="B24" s="22" t="s">
        <v>51</v>
      </c>
      <c r="C24" s="25"/>
      <c r="D24" s="26">
        <f>SUM(D8:D19)</f>
        <v>47449.1428571429</v>
      </c>
      <c r="E24" s="26">
        <f>SUM(E8:E19)</f>
        <v>0</v>
      </c>
      <c r="F24" s="26">
        <f>SUM(F8:F19)</f>
        <v>0</v>
      </c>
      <c r="G24" s="26">
        <f>SUM(G13:G23)</f>
        <v>0</v>
      </c>
      <c r="H24" s="26"/>
      <c r="I24" s="19">
        <f>SUM(I13:I23)</f>
        <v>-500597.667142858</v>
      </c>
    </row>
    <row r="25" s="1" customFormat="1" spans="2:9">
      <c r="B25" s="29"/>
      <c r="C25" s="30"/>
      <c r="D25" s="30"/>
      <c r="E25" s="30"/>
      <c r="F25" s="30"/>
      <c r="G25" s="30"/>
      <c r="H25" s="30"/>
      <c r="I25" s="71"/>
    </row>
    <row r="26" s="1" customFormat="1" spans="2:9">
      <c r="B26" s="31"/>
      <c r="C26" s="32"/>
      <c r="D26" s="32"/>
      <c r="E26" s="32"/>
      <c r="F26" s="32"/>
      <c r="G26" s="32"/>
      <c r="H26" s="32"/>
      <c r="I26" s="72"/>
    </row>
  </sheetData>
  <mergeCells count="7">
    <mergeCell ref="B2:I2"/>
    <mergeCell ref="D4:D5"/>
    <mergeCell ref="G4:G5"/>
    <mergeCell ref="H4:H5"/>
    <mergeCell ref="I4:I5"/>
    <mergeCell ref="B4:C6"/>
    <mergeCell ref="B25:I2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52"/>
  <sheetViews>
    <sheetView workbookViewId="0">
      <selection activeCell="E13" sqref="E13"/>
    </sheetView>
  </sheetViews>
  <sheetFormatPr defaultColWidth="9" defaultRowHeight="14.25"/>
  <cols>
    <col min="1" max="1" width="6" style="1" customWidth="1"/>
    <col min="2" max="2" width="20" style="1" customWidth="1"/>
    <col min="3" max="3" width="19.875" style="1" customWidth="1"/>
    <col min="4" max="4" width="18.25" style="1" customWidth="1"/>
    <col min="5" max="5" width="16.625" style="1" customWidth="1"/>
    <col min="6" max="6" width="16" style="1" customWidth="1"/>
    <col min="7" max="7" width="14.625" style="1" customWidth="1"/>
    <col min="8" max="8" width="16.625" style="1" customWidth="1"/>
    <col min="9" max="9" width="13" style="1" customWidth="1"/>
    <col min="10" max="10" width="12" style="1" customWidth="1"/>
    <col min="11" max="11" width="13.25" style="1" customWidth="1"/>
    <col min="12" max="12" width="14.625" style="1" customWidth="1"/>
    <col min="13" max="14" width="13.25" style="1" customWidth="1"/>
    <col min="15" max="15" width="9.25" style="1" customWidth="1"/>
    <col min="16" max="16" width="8.75" style="1" customWidth="1"/>
    <col min="17" max="16384" width="9" style="1"/>
  </cols>
  <sheetData>
    <row r="2" s="1" customFormat="1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202409</v>
      </c>
      <c r="H3" s="6" t="s">
        <v>96</v>
      </c>
      <c r="I3" s="6"/>
      <c r="J3" s="1" t="s">
        <v>158</v>
      </c>
    </row>
    <row r="4" s="1" customFormat="1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2" t="s">
        <v>101</v>
      </c>
      <c r="I4" s="12" t="s">
        <v>126</v>
      </c>
      <c r="J4" s="11" t="s">
        <v>51</v>
      </c>
    </row>
    <row r="5" s="1" customFormat="1" ht="30" customHeight="1" spans="2:10">
      <c r="B5" s="13"/>
      <c r="C5" s="14"/>
      <c r="D5" s="10" t="s">
        <v>103</v>
      </c>
      <c r="E5" s="15" t="s">
        <v>103</v>
      </c>
      <c r="F5" s="10" t="s">
        <v>104</v>
      </c>
      <c r="G5" s="10" t="s">
        <v>104</v>
      </c>
      <c r="H5" s="16"/>
      <c r="I5" s="16"/>
      <c r="J5" s="70"/>
    </row>
    <row r="6" s="1" customFormat="1" ht="15.95" customHeight="1" spans="2:11">
      <c r="B6" s="17"/>
      <c r="C6" s="18"/>
      <c r="D6" s="19"/>
      <c r="E6" s="19">
        <v>219476.19</v>
      </c>
      <c r="F6" s="19"/>
      <c r="G6" s="19"/>
      <c r="H6" s="19">
        <v>10000</v>
      </c>
      <c r="I6" s="19">
        <v>0</v>
      </c>
      <c r="J6" s="19">
        <f>D6+E6+F6+H6</f>
        <v>229476.19</v>
      </c>
      <c r="K6" s="35">
        <f>H6-H9</f>
        <v>9523.80952380952</v>
      </c>
    </row>
    <row r="7" s="1" customFormat="1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0">
      <c r="B9" s="20" t="s">
        <v>107</v>
      </c>
      <c r="C9" s="21">
        <v>0.05</v>
      </c>
      <c r="D9" s="19">
        <f>D6/1.05*C9</f>
        <v>0</v>
      </c>
      <c r="E9" s="19">
        <f>E6*$C$9</f>
        <v>10973.8095</v>
      </c>
      <c r="F9" s="19"/>
      <c r="G9" s="19"/>
      <c r="H9" s="19">
        <f>H6/1.05*C9</f>
        <v>476.190476190476</v>
      </c>
      <c r="I9" s="19"/>
      <c r="J9" s="19">
        <f t="shared" si="0"/>
        <v>11449.9999761905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500597.667142858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>
        <v>0</v>
      </c>
      <c r="E13" s="19">
        <f>E9-E12</f>
        <v>-489623.857642858</v>
      </c>
      <c r="F13" s="19"/>
      <c r="G13" s="19"/>
      <c r="H13" s="19">
        <f>H9-H12</f>
        <v>476.190476190476</v>
      </c>
      <c r="I13" s="19">
        <f>IF(I10-I11&gt;0,I10-I11,0)</f>
        <v>0</v>
      </c>
      <c r="J13" s="19">
        <f t="shared" ref="J13:J16" si="1">D13+H13+I13</f>
        <v>476.190476190476</v>
      </c>
    </row>
    <row r="14" s="1" customFormat="1" ht="15.95" customHeight="1" spans="2:10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33.3333333333333</v>
      </c>
      <c r="I14" s="19">
        <f>I13*C14</f>
        <v>0</v>
      </c>
      <c r="J14" s="19">
        <f t="shared" si="1"/>
        <v>33.3333333333333</v>
      </c>
    </row>
    <row r="15" s="1" customFormat="1" ht="15.95" customHeight="1" spans="2:10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9.52380952380952</v>
      </c>
      <c r="I15" s="19">
        <f>I13*C15</f>
        <v>0</v>
      </c>
      <c r="J15" s="19">
        <f t="shared" si="1"/>
        <v>9.52380952380952</v>
      </c>
    </row>
    <row r="16" s="1" customFormat="1" ht="15.95" customHeight="1" spans="2:10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14.2857142857143</v>
      </c>
      <c r="I16" s="19">
        <f>I13*C16</f>
        <v>0</v>
      </c>
      <c r="J16" s="19">
        <f t="shared" si="1"/>
        <v>14.2857142857143</v>
      </c>
    </row>
    <row r="17" s="1" customFormat="1" ht="15.95" customHeight="1" spans="2:10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</row>
    <row r="18" s="1" customFormat="1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ref="J18:J22" si="2">D18+H18+I18</f>
        <v>0</v>
      </c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2"/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2"/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10</v>
      </c>
      <c r="I21" s="19"/>
      <c r="J21" s="19">
        <f t="shared" si="2"/>
        <v>10</v>
      </c>
    </row>
    <row r="22" s="1" customFormat="1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f t="shared" si="2"/>
        <v>0</v>
      </c>
    </row>
    <row r="23" s="1" customFormat="1" ht="15.95" customHeight="1" spans="2:10">
      <c r="B23" s="22" t="s">
        <v>51</v>
      </c>
      <c r="C23" s="25"/>
      <c r="D23" s="26">
        <f t="shared" ref="D23:G23" si="3">SUM(D8:D19)</f>
        <v>0</v>
      </c>
      <c r="E23" s="26">
        <v>0</v>
      </c>
      <c r="F23" s="26">
        <f t="shared" si="3"/>
        <v>0</v>
      </c>
      <c r="G23" s="26">
        <f t="shared" si="3"/>
        <v>0</v>
      </c>
      <c r="H23" s="26">
        <f>SUM(H13:H22)</f>
        <v>543.333333333333</v>
      </c>
      <c r="I23" s="26"/>
      <c r="J23" s="19">
        <f>SUM(J13:J22)</f>
        <v>543.333333333333</v>
      </c>
    </row>
    <row r="24" s="1" customFormat="1" spans="2:10">
      <c r="B24" s="29"/>
      <c r="C24" s="30"/>
      <c r="D24" s="30"/>
      <c r="E24" s="30"/>
      <c r="F24" s="30"/>
      <c r="G24" s="30"/>
      <c r="H24" s="30"/>
      <c r="I24" s="30"/>
      <c r="J24" s="71"/>
    </row>
    <row r="25" s="1" customFormat="1" spans="2:10">
      <c r="B25" s="31"/>
      <c r="C25" s="32"/>
      <c r="D25" s="32"/>
      <c r="E25" s="32"/>
      <c r="F25" s="32"/>
      <c r="G25" s="32"/>
      <c r="H25" s="32"/>
      <c r="I25" s="32"/>
      <c r="J25" s="72"/>
    </row>
    <row r="26" s="1" customFormat="1" ht="18" customHeight="1" spans="2:5">
      <c r="B26" s="33"/>
      <c r="C26" s="33"/>
      <c r="D26" s="34"/>
      <c r="E26" s="35"/>
    </row>
    <row r="27" s="2" customFormat="1" ht="35.25" spans="1:15">
      <c r="A27" s="36" t="s">
        <v>27</v>
      </c>
      <c r="B27" s="36"/>
      <c r="C27" s="36"/>
      <c r="D27" s="36"/>
      <c r="E27" s="36"/>
      <c r="F27" s="37"/>
      <c r="G27" s="38"/>
      <c r="H27" s="39"/>
      <c r="I27" s="36"/>
      <c r="J27" s="36"/>
      <c r="K27" s="37"/>
      <c r="L27" s="37"/>
      <c r="M27" s="36"/>
      <c r="N27" s="36"/>
      <c r="O27" s="1"/>
    </row>
    <row r="28" s="3" customFormat="1" ht="24" customHeight="1" spans="1:15">
      <c r="A28" s="40" t="s">
        <v>3</v>
      </c>
      <c r="B28" s="40" t="s">
        <v>28</v>
      </c>
      <c r="C28" s="41" t="s">
        <v>29</v>
      </c>
      <c r="D28" s="42" t="s">
        <v>30</v>
      </c>
      <c r="E28" s="43" t="s">
        <v>132</v>
      </c>
      <c r="F28" s="43" t="s">
        <v>133</v>
      </c>
      <c r="G28" s="43" t="s">
        <v>134</v>
      </c>
      <c r="H28" s="40" t="s">
        <v>34</v>
      </c>
      <c r="I28" s="40" t="s">
        <v>35</v>
      </c>
      <c r="J28" s="73" t="s">
        <v>36</v>
      </c>
      <c r="K28" s="73" t="s">
        <v>37</v>
      </c>
      <c r="L28" s="40" t="s">
        <v>38</v>
      </c>
      <c r="M28" s="40" t="s">
        <v>39</v>
      </c>
      <c r="N28" s="40" t="s">
        <v>7</v>
      </c>
      <c r="O28" s="1"/>
    </row>
    <row r="29" s="2" customFormat="1" ht="18.75" spans="1:15">
      <c r="A29" s="44">
        <v>1</v>
      </c>
      <c r="B29" s="44" t="s">
        <v>40</v>
      </c>
      <c r="C29" s="45">
        <v>33446.1</v>
      </c>
      <c r="D29" s="46">
        <v>58118.02</v>
      </c>
      <c r="E29" s="47">
        <f>M41</f>
        <v>1177.95</v>
      </c>
      <c r="F29" s="47">
        <v>1.7</v>
      </c>
      <c r="G29" s="47">
        <f>E29/F29</f>
        <v>692.911764705882</v>
      </c>
      <c r="H29" s="44" t="s">
        <v>41</v>
      </c>
      <c r="I29" s="44">
        <v>6</v>
      </c>
      <c r="J29" s="74">
        <f>G29/2*I29-0.01</f>
        <v>2078.72529411765</v>
      </c>
      <c r="K29" s="74">
        <f>J29</f>
        <v>2078.72529411765</v>
      </c>
      <c r="L29" s="44" t="s">
        <v>42</v>
      </c>
      <c r="M29" s="44" t="s">
        <v>43</v>
      </c>
      <c r="N29" s="44" t="s">
        <v>44</v>
      </c>
      <c r="O29" s="1"/>
    </row>
    <row r="30" s="2" customFormat="1" ht="18.75" spans="1:15">
      <c r="A30" s="44">
        <v>2</v>
      </c>
      <c r="B30" s="44" t="s">
        <v>45</v>
      </c>
      <c r="C30" s="45">
        <v>37188.2</v>
      </c>
      <c r="D30" s="46">
        <v>61960.29</v>
      </c>
      <c r="E30" s="48"/>
      <c r="F30" s="48"/>
      <c r="G30" s="48"/>
      <c r="H30" s="44" t="s">
        <v>41</v>
      </c>
      <c r="I30" s="44">
        <v>6</v>
      </c>
      <c r="J30" s="75"/>
      <c r="K30" s="75"/>
      <c r="L30" s="44" t="s">
        <v>46</v>
      </c>
      <c r="M30" s="44" t="s">
        <v>47</v>
      </c>
      <c r="N30" s="44" t="s">
        <v>44</v>
      </c>
      <c r="O30" s="1"/>
    </row>
    <row r="31" s="1" customFormat="1" ht="20" customHeight="1" spans="1:16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1"/>
      <c r="P31" s="49"/>
    </row>
    <row r="32" s="1" customFormat="1" ht="20" customHeight="1" spans="1:16">
      <c r="A32" s="49"/>
      <c r="B32" s="50" t="s">
        <v>159</v>
      </c>
      <c r="C32" s="51"/>
      <c r="D32" s="51"/>
      <c r="E32" s="51"/>
      <c r="F32" s="51"/>
      <c r="G32" s="51"/>
      <c r="H32" s="51"/>
      <c r="I32" s="51"/>
      <c r="J32" s="51"/>
      <c r="K32" s="51"/>
      <c r="L32" s="76" t="s">
        <v>160</v>
      </c>
      <c r="M32" s="77" t="s">
        <v>161</v>
      </c>
      <c r="P32" s="49"/>
    </row>
    <row r="33" s="1" customFormat="1" ht="34" customHeight="1" spans="1:16">
      <c r="A33" s="49"/>
      <c r="B33" s="52" t="s">
        <v>162</v>
      </c>
      <c r="C33" s="53"/>
      <c r="D33" s="41" t="s">
        <v>163</v>
      </c>
      <c r="E33" s="52" t="s">
        <v>164</v>
      </c>
      <c r="F33" s="54" t="s">
        <v>165</v>
      </c>
      <c r="G33" s="55" t="s">
        <v>166</v>
      </c>
      <c r="H33" s="10" t="s">
        <v>5</v>
      </c>
      <c r="I33" s="10" t="s">
        <v>167</v>
      </c>
      <c r="J33" s="57" t="s">
        <v>168</v>
      </c>
      <c r="K33" s="78" t="s">
        <v>7</v>
      </c>
      <c r="L33" s="79"/>
      <c r="M33" s="80"/>
      <c r="P33" s="49"/>
    </row>
    <row r="34" s="1" customFormat="1" ht="20" customHeight="1" spans="1:16">
      <c r="A34" s="49"/>
      <c r="B34" s="56" t="s">
        <v>169</v>
      </c>
      <c r="C34" s="57" t="s">
        <v>94</v>
      </c>
      <c r="D34" s="19">
        <f>E29-M36-M35</f>
        <v>1010.9</v>
      </c>
      <c r="E34" s="19">
        <v>2076.47955437079</v>
      </c>
      <c r="F34" s="58">
        <f>D34*E34</f>
        <v>2099113.18151343</v>
      </c>
      <c r="G34" s="19">
        <f>F34*0.7</f>
        <v>1469379.2270594</v>
      </c>
      <c r="H34" s="59">
        <v>0.012</v>
      </c>
      <c r="I34" s="81">
        <f>G34*H34</f>
        <v>17632.5507247128</v>
      </c>
      <c r="J34" s="82">
        <f>ROUND(I34/2,2)</f>
        <v>8816.28</v>
      </c>
      <c r="K34" s="78" t="s">
        <v>170</v>
      </c>
      <c r="L34" s="83" t="s">
        <v>171</v>
      </c>
      <c r="M34" s="84">
        <v>73.71</v>
      </c>
      <c r="P34" s="49"/>
    </row>
    <row r="35" s="1" customFormat="1" ht="20" customHeight="1" spans="1:16">
      <c r="A35" s="49"/>
      <c r="B35" s="60"/>
      <c r="C35" s="57"/>
      <c r="D35" s="19"/>
      <c r="E35" s="19"/>
      <c r="F35" s="58"/>
      <c r="G35" s="19"/>
      <c r="H35" s="59"/>
      <c r="I35" s="81"/>
      <c r="J35" s="82"/>
      <c r="K35" s="78"/>
      <c r="L35" s="83" t="s">
        <v>172</v>
      </c>
      <c r="M35" s="84">
        <v>51.03</v>
      </c>
      <c r="N35" s="1" t="s">
        <v>173</v>
      </c>
      <c r="O35" s="1"/>
      <c r="P35" s="49"/>
    </row>
    <row r="36" s="1" customFormat="1" ht="20" customHeight="1" spans="1:16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83" t="s">
        <v>174</v>
      </c>
      <c r="M36" s="84">
        <v>116.02</v>
      </c>
      <c r="N36" s="1" t="s">
        <v>173</v>
      </c>
      <c r="O36" s="1"/>
      <c r="P36" s="49"/>
    </row>
    <row r="37" s="4" customFormat="1" ht="20" customHeight="1" spans="1:16">
      <c r="A37" s="61"/>
      <c r="B37" s="52" t="s">
        <v>162</v>
      </c>
      <c r="C37" s="57"/>
      <c r="D37" s="62" t="s">
        <v>175</v>
      </c>
      <c r="E37" s="62" t="s">
        <v>176</v>
      </c>
      <c r="F37" s="63" t="s">
        <v>177</v>
      </c>
      <c r="G37" s="62" t="s">
        <v>178</v>
      </c>
      <c r="H37" s="10" t="s">
        <v>5</v>
      </c>
      <c r="I37" s="10" t="s">
        <v>167</v>
      </c>
      <c r="J37" s="57" t="s">
        <v>168</v>
      </c>
      <c r="K37" s="78" t="s">
        <v>7</v>
      </c>
      <c r="L37" s="83" t="s">
        <v>179</v>
      </c>
      <c r="M37" s="84">
        <v>723.46</v>
      </c>
      <c r="N37" s="1"/>
      <c r="O37" s="1"/>
      <c r="P37" s="61"/>
    </row>
    <row r="38" s="1" customFormat="1" ht="20" customHeight="1" spans="1:16">
      <c r="A38" s="49"/>
      <c r="B38" s="56" t="s">
        <v>180</v>
      </c>
      <c r="C38" s="57" t="s">
        <v>181</v>
      </c>
      <c r="D38" s="19">
        <f>M35+M36</f>
        <v>167.05</v>
      </c>
      <c r="E38" s="19">
        <f>D38*E34</f>
        <v>346875.90955764</v>
      </c>
      <c r="F38" s="58">
        <f>H6</f>
        <v>10000</v>
      </c>
      <c r="G38" s="19">
        <f>F38/1.05</f>
        <v>9523.80952380952</v>
      </c>
      <c r="H38" s="59">
        <v>0.12</v>
      </c>
      <c r="I38" s="81">
        <f>G38*H38</f>
        <v>1142.85714285714</v>
      </c>
      <c r="J38" s="82">
        <f>ROUND(I38,2)</f>
        <v>1142.86</v>
      </c>
      <c r="K38" s="78" t="s">
        <v>182</v>
      </c>
      <c r="L38" s="83" t="s">
        <v>183</v>
      </c>
      <c r="M38" s="84">
        <v>45.14</v>
      </c>
      <c r="P38" s="49"/>
    </row>
    <row r="39" s="1" customFormat="1" ht="20" customHeight="1" spans="1:16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83" t="s">
        <v>184</v>
      </c>
      <c r="M39" s="84">
        <v>72.63</v>
      </c>
      <c r="P39" s="49"/>
    </row>
    <row r="40" s="1" customFormat="1" ht="18.75" spans="2:13">
      <c r="B40" s="64" t="s">
        <v>114</v>
      </c>
      <c r="C40" s="64" t="s">
        <v>2</v>
      </c>
      <c r="L40" s="83" t="s">
        <v>185</v>
      </c>
      <c r="M40" s="84">
        <v>95.96</v>
      </c>
    </row>
    <row r="41" s="1" customFormat="1" ht="18.75" spans="2:13">
      <c r="B41" s="65" t="s">
        <v>115</v>
      </c>
      <c r="C41" s="66">
        <v>869279.71</v>
      </c>
      <c r="L41" s="85" t="s">
        <v>51</v>
      </c>
      <c r="M41" s="84">
        <f>SUM(M34:M40)</f>
        <v>1177.95</v>
      </c>
    </row>
    <row r="42" s="1" customFormat="1" ht="18.75" spans="2:3">
      <c r="B42" s="65" t="s">
        <v>116</v>
      </c>
      <c r="C42" s="66">
        <v>9523.81</v>
      </c>
    </row>
    <row r="43" s="1" customFormat="1" ht="18.75" spans="2:3">
      <c r="B43" s="65" t="s">
        <v>153</v>
      </c>
      <c r="C43" s="66">
        <v>6150.8</v>
      </c>
    </row>
    <row r="44" s="1" customFormat="1" ht="18.75" spans="2:3">
      <c r="B44" s="65" t="s">
        <v>117</v>
      </c>
      <c r="C44" s="66">
        <v>0</v>
      </c>
    </row>
    <row r="45" s="1" customFormat="1" ht="18.75" spans="2:3">
      <c r="B45" s="65" t="s">
        <v>118</v>
      </c>
      <c r="C45" s="66">
        <v>12105.01</v>
      </c>
    </row>
    <row r="46" s="1" customFormat="1" ht="18.75" spans="2:3">
      <c r="B46" s="65" t="s">
        <v>119</v>
      </c>
      <c r="C46" s="66"/>
    </row>
    <row r="47" s="1" customFormat="1" ht="18.75" spans="2:3">
      <c r="B47" s="67" t="s">
        <v>120</v>
      </c>
      <c r="C47" s="66">
        <v>-783.79</v>
      </c>
    </row>
    <row r="48" s="1" customFormat="1" ht="18.75" spans="2:3">
      <c r="B48" s="65" t="s">
        <v>154</v>
      </c>
      <c r="C48" s="66">
        <v>108293.22</v>
      </c>
    </row>
    <row r="49" s="1" customFormat="1" ht="18.75" spans="2:3">
      <c r="B49" s="60" t="s">
        <v>121</v>
      </c>
      <c r="C49" s="66">
        <f>C41+C42+C43-C44-C45-C46-C47-C48</f>
        <v>765339.88</v>
      </c>
    </row>
    <row r="50" s="1" customFormat="1" ht="18.75" spans="2:3">
      <c r="B50" s="60" t="s">
        <v>122</v>
      </c>
      <c r="C50" s="68">
        <v>0.25</v>
      </c>
    </row>
    <row r="51" s="1" customFormat="1" ht="18.75" spans="2:3">
      <c r="B51" s="60" t="s">
        <v>123</v>
      </c>
      <c r="C51" s="69">
        <v>410201.28</v>
      </c>
    </row>
    <row r="52" s="1" customFormat="1" ht="18.75" spans="2:3">
      <c r="B52" s="60" t="s">
        <v>124</v>
      </c>
      <c r="C52" s="69">
        <f>C49*C50-C51</f>
        <v>-218866.31</v>
      </c>
    </row>
  </sheetData>
  <mergeCells count="14">
    <mergeCell ref="B2:J2"/>
    <mergeCell ref="B32:K32"/>
    <mergeCell ref="E29:E30"/>
    <mergeCell ref="F29:F30"/>
    <mergeCell ref="G29:G30"/>
    <mergeCell ref="H4:H5"/>
    <mergeCell ref="I4:I5"/>
    <mergeCell ref="J4:J5"/>
    <mergeCell ref="J29:J30"/>
    <mergeCell ref="K29:K30"/>
    <mergeCell ref="L32:L33"/>
    <mergeCell ref="M32:M33"/>
    <mergeCell ref="B4:C6"/>
    <mergeCell ref="B24:J25"/>
  </mergeCells>
  <pageMargins left="0.75" right="0.75" top="1" bottom="1" header="0.5" footer="0.5"/>
  <pageSetup paperSize="9" orientation="portrait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52"/>
  <sheetViews>
    <sheetView tabSelected="1" workbookViewId="0">
      <selection activeCell="C52" sqref="C52"/>
    </sheetView>
  </sheetViews>
  <sheetFormatPr defaultColWidth="9" defaultRowHeight="14.25"/>
  <cols>
    <col min="1" max="1" width="6" style="1" customWidth="1"/>
    <col min="2" max="2" width="20" style="1" customWidth="1"/>
    <col min="3" max="3" width="19.875" style="1" customWidth="1"/>
    <col min="4" max="4" width="18.25" style="1" customWidth="1"/>
    <col min="5" max="5" width="16.625" style="1" customWidth="1"/>
    <col min="6" max="6" width="16" style="1" customWidth="1"/>
    <col min="7" max="7" width="14.625" style="1" customWidth="1"/>
    <col min="8" max="8" width="11.75" style="1" customWidth="1"/>
    <col min="9" max="9" width="13" style="1" customWidth="1"/>
    <col min="10" max="10" width="14.875" style="1" customWidth="1"/>
    <col min="11" max="11" width="13.25" style="1" customWidth="1"/>
    <col min="12" max="12" width="13.25" style="1" hidden="1" customWidth="1"/>
    <col min="13" max="13" width="13.125" style="1" hidden="1" customWidth="1"/>
    <col min="14" max="14" width="13.25" style="1" customWidth="1"/>
    <col min="15" max="15" width="9.25" style="1" customWidth="1"/>
    <col min="16" max="16" width="8.75" style="1" customWidth="1"/>
    <col min="17" max="16384" width="9" style="1"/>
  </cols>
  <sheetData>
    <row r="2" s="1" customFormat="1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202412</v>
      </c>
      <c r="H3" s="6" t="s">
        <v>96</v>
      </c>
      <c r="I3" s="6"/>
      <c r="J3" s="1" t="s">
        <v>186</v>
      </c>
    </row>
    <row r="4" s="1" customFormat="1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2" t="s">
        <v>101</v>
      </c>
      <c r="I4" s="12" t="s">
        <v>126</v>
      </c>
      <c r="J4" s="11" t="s">
        <v>51</v>
      </c>
    </row>
    <row r="5" s="1" customFormat="1" ht="30" customHeight="1" spans="2:10">
      <c r="B5" s="13"/>
      <c r="C5" s="14"/>
      <c r="D5" s="10" t="s">
        <v>103</v>
      </c>
      <c r="E5" s="15" t="s">
        <v>103</v>
      </c>
      <c r="F5" s="10" t="s">
        <v>104</v>
      </c>
      <c r="G5" s="10" t="s">
        <v>104</v>
      </c>
      <c r="H5" s="16"/>
      <c r="I5" s="16"/>
      <c r="J5" s="70"/>
    </row>
    <row r="6" s="1" customFormat="1" ht="15.95" customHeight="1" spans="2:11">
      <c r="B6" s="17"/>
      <c r="C6" s="18"/>
      <c r="D6" s="19"/>
      <c r="E6" s="19">
        <v>1058800.89</v>
      </c>
      <c r="F6" s="19"/>
      <c r="G6" s="19"/>
      <c r="H6" s="19">
        <v>10000</v>
      </c>
      <c r="I6" s="19">
        <v>0</v>
      </c>
      <c r="J6" s="19">
        <f>D6+E6+F6+H6</f>
        <v>1068800.89</v>
      </c>
      <c r="K6" s="35">
        <f>H6-H9</f>
        <v>9523.80952380952</v>
      </c>
    </row>
    <row r="7" s="1" customFormat="1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0">
      <c r="B9" s="20" t="s">
        <v>107</v>
      </c>
      <c r="C9" s="21">
        <v>0.05</v>
      </c>
      <c r="D9" s="19">
        <f>D6/1.05*C9</f>
        <v>0</v>
      </c>
      <c r="E9" s="19">
        <v>52941.5295238095</v>
      </c>
      <c r="F9" s="19"/>
      <c r="G9" s="19"/>
      <c r="H9" s="19">
        <f>H6/1.05*C9</f>
        <v>476.190476190476</v>
      </c>
      <c r="I9" s="19"/>
      <c r="J9" s="19">
        <f t="shared" si="0"/>
        <v>53417.72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477809.69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>
        <v>0</v>
      </c>
      <c r="E13" s="19">
        <f>E9-E12</f>
        <v>-424868.160476191</v>
      </c>
      <c r="F13" s="19"/>
      <c r="G13" s="19"/>
      <c r="H13" s="19">
        <f>H9-H12</f>
        <v>476.190476190476</v>
      </c>
      <c r="I13" s="19">
        <f>IF(I10-I11&gt;0,I10-I11,0)</f>
        <v>0</v>
      </c>
      <c r="J13" s="19">
        <f t="shared" ref="J13:J16" si="1">D13+H13+I13</f>
        <v>476.190476190476</v>
      </c>
    </row>
    <row r="14" s="1" customFormat="1" ht="15.95" customHeight="1" spans="2:10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33.3333333333333</v>
      </c>
      <c r="I14" s="19">
        <f>I13*C14</f>
        <v>0</v>
      </c>
      <c r="J14" s="19">
        <f t="shared" si="1"/>
        <v>33.3333333333333</v>
      </c>
    </row>
    <row r="15" s="1" customFormat="1" ht="15.95" customHeight="1" spans="2:10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9.52380952380952</v>
      </c>
      <c r="I15" s="19">
        <f>I13*C15</f>
        <v>0</v>
      </c>
      <c r="J15" s="19">
        <f t="shared" si="1"/>
        <v>9.52380952380952</v>
      </c>
    </row>
    <row r="16" s="1" customFormat="1" ht="15.95" customHeight="1" spans="2:10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14.2857142857143</v>
      </c>
      <c r="I16" s="19">
        <f>I13*C16</f>
        <v>0</v>
      </c>
      <c r="J16" s="19">
        <f t="shared" si="1"/>
        <v>14.2857142857143</v>
      </c>
    </row>
    <row r="17" s="1" customFormat="1" ht="15.95" customHeight="1" spans="2:10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</row>
    <row r="18" s="1" customFormat="1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ref="J18:J22" si="2">D18+H18+I18</f>
        <v>0</v>
      </c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2"/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2"/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10</v>
      </c>
      <c r="I21" s="19"/>
      <c r="J21" s="19">
        <f t="shared" si="2"/>
        <v>10</v>
      </c>
    </row>
    <row r="22" s="1" customFormat="1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f t="shared" si="2"/>
        <v>0</v>
      </c>
    </row>
    <row r="23" s="1" customFormat="1" ht="15.95" customHeight="1" spans="2:10">
      <c r="B23" s="22" t="s">
        <v>51</v>
      </c>
      <c r="C23" s="25"/>
      <c r="D23" s="26">
        <f t="shared" ref="D23:G23" si="3">SUM(D8:D19)</f>
        <v>0</v>
      </c>
      <c r="E23" s="26">
        <v>0</v>
      </c>
      <c r="F23" s="26">
        <f t="shared" si="3"/>
        <v>0</v>
      </c>
      <c r="G23" s="26">
        <f t="shared" si="3"/>
        <v>0</v>
      </c>
      <c r="H23" s="26">
        <f>SUM(H13:H22)</f>
        <v>543.333333333333</v>
      </c>
      <c r="I23" s="26"/>
      <c r="J23" s="19">
        <f>SUM(J13:J22)</f>
        <v>543.333333333333</v>
      </c>
    </row>
    <row r="24" s="1" customFormat="1" spans="2:10">
      <c r="B24" s="29"/>
      <c r="C24" s="30"/>
      <c r="D24" s="30"/>
      <c r="E24" s="30"/>
      <c r="F24" s="30"/>
      <c r="G24" s="30"/>
      <c r="H24" s="30"/>
      <c r="I24" s="30"/>
      <c r="J24" s="71"/>
    </row>
    <row r="25" s="1" customFormat="1" spans="2:10">
      <c r="B25" s="31"/>
      <c r="C25" s="32"/>
      <c r="D25" s="32"/>
      <c r="E25" s="32"/>
      <c r="F25" s="32"/>
      <c r="G25" s="32"/>
      <c r="H25" s="32"/>
      <c r="I25" s="32"/>
      <c r="J25" s="72"/>
    </row>
    <row r="26" s="1" customFormat="1" ht="18" customHeight="1" spans="2:5">
      <c r="B26" s="33"/>
      <c r="C26" s="33"/>
      <c r="D26" s="34"/>
      <c r="E26" s="35"/>
    </row>
    <row r="27" s="2" customFormat="1" ht="35.25" hidden="1" spans="1:15">
      <c r="A27" s="36" t="s">
        <v>27</v>
      </c>
      <c r="B27" s="36"/>
      <c r="C27" s="36"/>
      <c r="D27" s="36"/>
      <c r="E27" s="36"/>
      <c r="F27" s="37"/>
      <c r="G27" s="38"/>
      <c r="H27" s="39"/>
      <c r="I27" s="36"/>
      <c r="J27" s="36"/>
      <c r="K27" s="37"/>
      <c r="L27" s="37"/>
      <c r="M27" s="36"/>
      <c r="N27" s="36"/>
      <c r="O27" s="1"/>
    </row>
    <row r="28" s="3" customFormat="1" ht="24" hidden="1" customHeight="1" spans="1:15">
      <c r="A28" s="40" t="s">
        <v>3</v>
      </c>
      <c r="B28" s="40" t="s">
        <v>28</v>
      </c>
      <c r="C28" s="41" t="s">
        <v>29</v>
      </c>
      <c r="D28" s="42" t="s">
        <v>30</v>
      </c>
      <c r="E28" s="43" t="s">
        <v>132</v>
      </c>
      <c r="F28" s="43" t="s">
        <v>133</v>
      </c>
      <c r="G28" s="43" t="s">
        <v>134</v>
      </c>
      <c r="H28" s="40" t="s">
        <v>34</v>
      </c>
      <c r="I28" s="40" t="s">
        <v>35</v>
      </c>
      <c r="J28" s="73" t="s">
        <v>36</v>
      </c>
      <c r="K28" s="73" t="s">
        <v>37</v>
      </c>
      <c r="L28" s="40" t="s">
        <v>38</v>
      </c>
      <c r="M28" s="40" t="s">
        <v>39</v>
      </c>
      <c r="N28" s="40" t="s">
        <v>7</v>
      </c>
      <c r="O28" s="1"/>
    </row>
    <row r="29" s="2" customFormat="1" ht="18.75" hidden="1" spans="1:15">
      <c r="A29" s="44">
        <v>1</v>
      </c>
      <c r="B29" s="44" t="s">
        <v>40</v>
      </c>
      <c r="C29" s="45">
        <v>33446.1</v>
      </c>
      <c r="D29" s="46">
        <v>58118.02</v>
      </c>
      <c r="E29" s="47">
        <f>M41</f>
        <v>1177.95</v>
      </c>
      <c r="F29" s="47">
        <v>1.7</v>
      </c>
      <c r="G29" s="47">
        <f>E29/F29</f>
        <v>692.911764705882</v>
      </c>
      <c r="H29" s="44" t="s">
        <v>41</v>
      </c>
      <c r="I29" s="44">
        <v>6</v>
      </c>
      <c r="J29" s="74">
        <f>G29/2*I29-0.01</f>
        <v>2078.72529411765</v>
      </c>
      <c r="K29" s="74">
        <f>J29</f>
        <v>2078.72529411765</v>
      </c>
      <c r="L29" s="44" t="s">
        <v>42</v>
      </c>
      <c r="M29" s="44" t="s">
        <v>43</v>
      </c>
      <c r="N29" s="44" t="s">
        <v>44</v>
      </c>
      <c r="O29" s="1"/>
    </row>
    <row r="30" s="2" customFormat="1" ht="18.75" hidden="1" spans="1:15">
      <c r="A30" s="44">
        <v>2</v>
      </c>
      <c r="B30" s="44" t="s">
        <v>45</v>
      </c>
      <c r="C30" s="45">
        <v>37188.2</v>
      </c>
      <c r="D30" s="46">
        <v>61960.29</v>
      </c>
      <c r="E30" s="48"/>
      <c r="F30" s="48"/>
      <c r="G30" s="48"/>
      <c r="H30" s="44" t="s">
        <v>41</v>
      </c>
      <c r="I30" s="44">
        <v>6</v>
      </c>
      <c r="J30" s="75"/>
      <c r="K30" s="75"/>
      <c r="L30" s="44" t="s">
        <v>46</v>
      </c>
      <c r="M30" s="44" t="s">
        <v>47</v>
      </c>
      <c r="N30" s="44" t="s">
        <v>44</v>
      </c>
      <c r="O30" s="1"/>
    </row>
    <row r="31" s="1" customFormat="1" ht="20" customHeight="1" spans="1:16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P31" s="49"/>
    </row>
    <row r="32" s="1" customFormat="1" ht="20" customHeight="1" spans="1:16">
      <c r="A32" s="49"/>
      <c r="B32" s="50" t="s">
        <v>159</v>
      </c>
      <c r="C32" s="51"/>
      <c r="D32" s="51"/>
      <c r="E32" s="51"/>
      <c r="F32" s="51"/>
      <c r="G32" s="51"/>
      <c r="H32" s="51"/>
      <c r="I32" s="51"/>
      <c r="J32" s="51"/>
      <c r="K32" s="51"/>
      <c r="L32" s="76" t="s">
        <v>160</v>
      </c>
      <c r="M32" s="77" t="s">
        <v>161</v>
      </c>
      <c r="P32" s="49"/>
    </row>
    <row r="33" s="1" customFormat="1" ht="34" hidden="1" customHeight="1" spans="1:16">
      <c r="A33" s="49"/>
      <c r="B33" s="52" t="s">
        <v>162</v>
      </c>
      <c r="C33" s="53"/>
      <c r="D33" s="41" t="s">
        <v>163</v>
      </c>
      <c r="E33" s="52" t="s">
        <v>164</v>
      </c>
      <c r="F33" s="54" t="s">
        <v>165</v>
      </c>
      <c r="G33" s="55" t="s">
        <v>166</v>
      </c>
      <c r="H33" s="10" t="s">
        <v>5</v>
      </c>
      <c r="I33" s="10" t="s">
        <v>167</v>
      </c>
      <c r="J33" s="57" t="s">
        <v>168</v>
      </c>
      <c r="K33" s="78" t="s">
        <v>7</v>
      </c>
      <c r="L33" s="79"/>
      <c r="M33" s="80"/>
      <c r="P33" s="49"/>
    </row>
    <row r="34" s="1" customFormat="1" ht="20" hidden="1" customHeight="1" spans="1:16">
      <c r="A34" s="49"/>
      <c r="B34" s="56" t="s">
        <v>169</v>
      </c>
      <c r="C34" s="57" t="s">
        <v>94</v>
      </c>
      <c r="D34" s="19">
        <f>E29-M36-M35</f>
        <v>1010.9</v>
      </c>
      <c r="E34" s="19">
        <v>2076.47955437079</v>
      </c>
      <c r="F34" s="58">
        <f>D34*E34</f>
        <v>2099113.18151343</v>
      </c>
      <c r="G34" s="19">
        <f>F34*0.7</f>
        <v>1469379.2270594</v>
      </c>
      <c r="H34" s="59">
        <v>0.012</v>
      </c>
      <c r="I34" s="81">
        <f>G34*H34</f>
        <v>17632.5507247128</v>
      </c>
      <c r="J34" s="82">
        <f>ROUND(I34/2,2)</f>
        <v>8816.28</v>
      </c>
      <c r="K34" s="78" t="s">
        <v>170</v>
      </c>
      <c r="L34" s="83" t="s">
        <v>171</v>
      </c>
      <c r="M34" s="84">
        <v>73.71</v>
      </c>
      <c r="P34" s="49"/>
    </row>
    <row r="35" s="1" customFormat="1" ht="20" hidden="1" customHeight="1" spans="1:16">
      <c r="A35" s="49"/>
      <c r="B35" s="60"/>
      <c r="C35" s="57"/>
      <c r="D35" s="19"/>
      <c r="E35" s="19"/>
      <c r="F35" s="58"/>
      <c r="G35" s="19"/>
      <c r="H35" s="59"/>
      <c r="I35" s="81"/>
      <c r="J35" s="82"/>
      <c r="K35" s="78"/>
      <c r="L35" s="83" t="s">
        <v>172</v>
      </c>
      <c r="M35" s="84">
        <v>51.03</v>
      </c>
      <c r="N35" s="1" t="s">
        <v>173</v>
      </c>
      <c r="P35" s="49"/>
    </row>
    <row r="36" s="1" customFormat="1" ht="20" hidden="1" customHeight="1" spans="1:16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83" t="s">
        <v>174</v>
      </c>
      <c r="M36" s="84">
        <v>116.02</v>
      </c>
      <c r="N36" s="1" t="s">
        <v>173</v>
      </c>
      <c r="P36" s="49"/>
    </row>
    <row r="37" s="4" customFormat="1" ht="20" customHeight="1" spans="1:16">
      <c r="A37" s="61"/>
      <c r="B37" s="52" t="s">
        <v>162</v>
      </c>
      <c r="C37" s="57"/>
      <c r="D37" s="62" t="s">
        <v>175</v>
      </c>
      <c r="E37" s="62" t="s">
        <v>176</v>
      </c>
      <c r="F37" s="63" t="s">
        <v>177</v>
      </c>
      <c r="G37" s="62" t="s">
        <v>178</v>
      </c>
      <c r="H37" s="10" t="s">
        <v>5</v>
      </c>
      <c r="I37" s="10" t="s">
        <v>167</v>
      </c>
      <c r="J37" s="57" t="s">
        <v>168</v>
      </c>
      <c r="K37" s="78" t="s">
        <v>7</v>
      </c>
      <c r="L37" s="83" t="s">
        <v>179</v>
      </c>
      <c r="M37" s="84">
        <v>723.46</v>
      </c>
      <c r="N37" s="1"/>
      <c r="O37" s="1"/>
      <c r="P37" s="61"/>
    </row>
    <row r="38" s="1" customFormat="1" ht="20" customHeight="1" spans="1:16">
      <c r="A38" s="49"/>
      <c r="B38" s="56" t="s">
        <v>180</v>
      </c>
      <c r="C38" s="57" t="s">
        <v>181</v>
      </c>
      <c r="D38" s="19">
        <f>M35+M36</f>
        <v>167.05</v>
      </c>
      <c r="E38" s="19">
        <f>D38*E34</f>
        <v>346875.90955764</v>
      </c>
      <c r="F38" s="58">
        <f>H6</f>
        <v>10000</v>
      </c>
      <c r="G38" s="19">
        <f>F38/1.05</f>
        <v>9523.80952380952</v>
      </c>
      <c r="H38" s="59">
        <v>0.12</v>
      </c>
      <c r="I38" s="81">
        <f>G38*H38</f>
        <v>1142.85714285714</v>
      </c>
      <c r="J38" s="82">
        <f>ROUND(I38,2)</f>
        <v>1142.86</v>
      </c>
      <c r="K38" s="78" t="s">
        <v>187</v>
      </c>
      <c r="L38" s="83" t="s">
        <v>183</v>
      </c>
      <c r="M38" s="84">
        <v>45.14</v>
      </c>
      <c r="P38" s="49"/>
    </row>
    <row r="39" s="1" customFormat="1" ht="20" customHeight="1" spans="1:16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83" t="s">
        <v>184</v>
      </c>
      <c r="M39" s="84">
        <v>72.63</v>
      </c>
      <c r="P39" s="49"/>
    </row>
    <row r="40" s="1" customFormat="1" ht="18.75" spans="2:13">
      <c r="B40" s="64" t="s">
        <v>114</v>
      </c>
      <c r="C40" s="64" t="s">
        <v>2</v>
      </c>
      <c r="L40" s="83" t="s">
        <v>185</v>
      </c>
      <c r="M40" s="84">
        <v>95.96</v>
      </c>
    </row>
    <row r="41" s="1" customFormat="1" ht="18.75" spans="2:13">
      <c r="B41" s="65" t="s">
        <v>115</v>
      </c>
      <c r="C41" s="66">
        <v>4168433.02</v>
      </c>
      <c r="L41" s="85" t="s">
        <v>51</v>
      </c>
      <c r="M41" s="84">
        <f>SUM(M34:M40)</f>
        <v>1177.95</v>
      </c>
    </row>
    <row r="42" s="1" customFormat="1" ht="18.75" spans="2:3">
      <c r="B42" s="65" t="s">
        <v>116</v>
      </c>
      <c r="C42" s="66">
        <v>29093.73</v>
      </c>
    </row>
    <row r="43" s="1" customFormat="1" ht="18.75" spans="2:3">
      <c r="B43" s="65" t="s">
        <v>153</v>
      </c>
      <c r="C43" s="66">
        <v>92913</v>
      </c>
    </row>
    <row r="44" s="1" customFormat="1" ht="18.75" spans="2:3">
      <c r="B44" s="65" t="s">
        <v>117</v>
      </c>
      <c r="C44" s="66">
        <v>0</v>
      </c>
    </row>
    <row r="45" s="1" customFormat="1" ht="18.75" spans="2:3">
      <c r="B45" s="65" t="s">
        <v>118</v>
      </c>
      <c r="C45" s="66">
        <v>1936439.19</v>
      </c>
    </row>
    <row r="46" s="1" customFormat="1" ht="18.75" spans="2:3">
      <c r="B46" s="65" t="s">
        <v>119</v>
      </c>
      <c r="C46" s="66"/>
    </row>
    <row r="47" s="1" customFormat="1" ht="18.75" spans="2:3">
      <c r="B47" s="67" t="s">
        <v>120</v>
      </c>
      <c r="C47" s="66">
        <v>-587.02</v>
      </c>
    </row>
    <row r="48" s="1" customFormat="1" ht="18.75" spans="2:3">
      <c r="B48" s="65" t="s">
        <v>154</v>
      </c>
      <c r="C48" s="66">
        <v>294939.56</v>
      </c>
    </row>
    <row r="49" s="1" customFormat="1" ht="18.75" spans="2:3">
      <c r="B49" s="60" t="s">
        <v>121</v>
      </c>
      <c r="C49" s="66">
        <f>C41+C42+C43-C44-C45-C46-C47-C48</f>
        <v>2059648.02</v>
      </c>
    </row>
    <row r="50" s="1" customFormat="1" ht="18.75" spans="2:3">
      <c r="B50" s="60" t="s">
        <v>122</v>
      </c>
      <c r="C50" s="68">
        <v>0.25</v>
      </c>
    </row>
    <row r="51" s="1" customFormat="1" ht="18.75" spans="2:3">
      <c r="B51" s="60" t="s">
        <v>123</v>
      </c>
      <c r="C51" s="69">
        <v>410201.28</v>
      </c>
    </row>
    <row r="52" s="1" customFormat="1" ht="18.75" spans="2:3">
      <c r="B52" s="60" t="s">
        <v>124</v>
      </c>
      <c r="C52" s="69">
        <f>C49*C50-C51</f>
        <v>104710.725</v>
      </c>
    </row>
  </sheetData>
  <mergeCells count="14">
    <mergeCell ref="B2:J2"/>
    <mergeCell ref="B32:K32"/>
    <mergeCell ref="E29:E30"/>
    <mergeCell ref="F29:F30"/>
    <mergeCell ref="G29:G30"/>
    <mergeCell ref="H4:H5"/>
    <mergeCell ref="I4:I5"/>
    <mergeCell ref="J4:J5"/>
    <mergeCell ref="J29:J30"/>
    <mergeCell ref="K29:K30"/>
    <mergeCell ref="L32:L33"/>
    <mergeCell ref="M32:M33"/>
    <mergeCell ref="B4:C6"/>
    <mergeCell ref="B24:J25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税金计算表</vt:lpstr>
      <vt:lpstr>土地使用税</vt:lpstr>
      <vt:lpstr>系统合同备案面积表</vt:lpstr>
      <vt:lpstr>2023年11月税金</vt:lpstr>
      <vt:lpstr>2023年12月税金</vt:lpstr>
      <vt:lpstr>2024年1月</vt:lpstr>
      <vt:lpstr>2024年2月</vt:lpstr>
      <vt:lpstr>2024年3月</vt:lpstr>
      <vt:lpstr>2024年4月</vt:lpstr>
      <vt:lpstr>2024年5月</vt:lpstr>
      <vt:lpstr>2024年6月</vt:lpstr>
      <vt:lpstr>2024年7月</vt:lpstr>
      <vt:lpstr>2024年8月</vt:lpstr>
      <vt:lpstr>2024年9月</vt:lpstr>
      <vt:lpstr>2024年12月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2023-04-20T02:50:00Z</dcterms:created>
  <dcterms:modified xsi:type="dcterms:W3CDTF">2025-01-09T05:23:25Z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645912C3161240448D22C7B6AA90B9EC_13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