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65" windowHeight="12375" activeTab="2"/>
  </bookViews>
  <sheets>
    <sheet name="2024.12.31预提开发成本明细（与二分公司合同）" sheetId="1" r:id="rId1"/>
    <sheet name="2024.12.31预提开发成本明细（通力股份合同）" sheetId="2" r:id="rId2"/>
    <sheet name="2024年通力二分公司企业所得税预测表" sheetId="3" r:id="rId3"/>
    <sheet name="单方成本计算" sheetId="4" r:id="rId4"/>
  </sheets>
  <externalReferences>
    <externalReference r:id="rId5"/>
  </externalReferences>
  <definedNames>
    <definedName name="土地征用及拆迁补偿费">'[1]项目分类（不可删除）'!$B$4:$H$4</definedName>
    <definedName name="房地产开发费用">'[1]项目分类（不可删除）'!$B$10</definedName>
    <definedName name="建筑安装工程费">'[1]项目分类（不可删除）'!$B$6:$H$6</definedName>
    <definedName name="基础设施费">'[1]项目分类（不可删除）'!$B$7:$M$7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M1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因合同拆分，金额减少，抵账额度不够，金额调至拆分合同</t>
        </r>
      </text>
    </comment>
  </commentList>
</comments>
</file>

<file path=xl/comments2.xml><?xml version="1.0" encoding="utf-8"?>
<comments xmlns="http://schemas.openxmlformats.org/spreadsheetml/2006/main">
  <authors>
    <author>Administrator</author>
  </authors>
  <commentList>
    <comment ref="E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开发间接费-监理费+开发成本-画堂一期</t>
        </r>
      </text>
    </comment>
    <comment ref="F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根据通力股份合同金额上浮5%-已付款金额 后预提成本</t>
        </r>
      </text>
    </comment>
  </commentList>
</comments>
</file>

<file path=xl/sharedStrings.xml><?xml version="1.0" encoding="utf-8"?>
<sst xmlns="http://schemas.openxmlformats.org/spreadsheetml/2006/main" count="372" uniqueCount="194">
  <si>
    <t>2024年库尔勒片区合同汇总表</t>
  </si>
  <si>
    <t>序号</t>
  </si>
  <si>
    <t>审定时间</t>
  </si>
  <si>
    <t>合同对应的成本对象</t>
  </si>
  <si>
    <t>合同名称</t>
  </si>
  <si>
    <t>签订单位</t>
  </si>
  <si>
    <t>合同主要内容</t>
  </si>
  <si>
    <t>合同金额（元）</t>
  </si>
  <si>
    <t>税率</t>
  </si>
  <si>
    <t>不含税价</t>
  </si>
  <si>
    <t>结算价（不含税）</t>
  </si>
  <si>
    <t>账载的成本分类</t>
  </si>
  <si>
    <t>二级分类</t>
  </si>
  <si>
    <t>已付款</t>
  </si>
  <si>
    <t>已付款不含税价</t>
  </si>
  <si>
    <t>未付款</t>
  </si>
  <si>
    <t>抵账部分金额</t>
  </si>
  <si>
    <t>已交印花税</t>
  </si>
  <si>
    <t>钉钉已抵</t>
  </si>
  <si>
    <t>2024年四季度暂估成本明细</t>
  </si>
  <si>
    <t>2022.3.17</t>
  </si>
  <si>
    <t>画堂春锦苑一期</t>
  </si>
  <si>
    <t>岩土工程勘察、水文地质勘察（含凿井）工程测量、工程物探
12栋住宅、8栋商业、1栋幼儿园、1栋社区管理及配套用房</t>
  </si>
  <si>
    <t>巴州基安岩土工程勘察设计有限责任公司</t>
  </si>
  <si>
    <t>提交勘察报告后支付勘察费的90%计72000元，竣工验收合格取得竣工备案后支付10%计8000元</t>
  </si>
  <si>
    <t>前期工程费</t>
  </si>
  <si>
    <t>设计费用</t>
  </si>
  <si>
    <t>合同内无</t>
  </si>
  <si>
    <t>已核对</t>
  </si>
  <si>
    <t>2022.7.11</t>
  </si>
  <si>
    <t>画堂春锦苑（一期基坑、9#11#楼之间机械停车位）基坑变形监测、9#楼、11#楼沉降观测</t>
  </si>
  <si>
    <t>包干价90000元，开具增值税6%专票</t>
  </si>
  <si>
    <t>勘探费用</t>
  </si>
  <si>
    <t>画堂春锦苑项目景观设计</t>
  </si>
  <si>
    <t>浙江新中环建筑设计有限公司乌鲁木齐分公司</t>
  </si>
  <si>
    <t>已交</t>
  </si>
  <si>
    <t>2022.4.12</t>
  </si>
  <si>
    <t>画堂春锦苑建设项目（画堂春锦苑一期9#11#13#15#18#及非人防地下车库）</t>
  </si>
  <si>
    <t>巴州建筑勘察规划设计工程有限公司</t>
  </si>
  <si>
    <t>取得审图合格书支30%
基础验收合格支付合同价20%
主体验收合格20%，其中10%抵账
取得竣工备案表后支30%，全部抵账（130万整个画堂春总价，其他为列）</t>
  </si>
  <si>
    <t>2022.4.11</t>
  </si>
  <si>
    <t>建设工程监理合同
画堂春锦苑9.10.11.12.13.14.15.17.18号楼</t>
  </si>
  <si>
    <t>新疆智诚工程项目管理有限公司</t>
  </si>
  <si>
    <r>
      <rPr>
        <sz val="10"/>
        <rFont val="宋体"/>
        <charset val="134"/>
      </rPr>
      <t xml:space="preserve">每平方10元*51632平方米，暂定516320元，配套工程暂按70000元计取，共计586320元
</t>
    </r>
    <r>
      <rPr>
        <sz val="10"/>
        <color indexed="10"/>
        <rFont val="宋体"/>
        <charset val="134"/>
      </rPr>
      <t>其中60%现金，40%抵账</t>
    </r>
  </si>
  <si>
    <t>建筑安装工程费</t>
  </si>
  <si>
    <t>监理费用</t>
  </si>
  <si>
    <t>不交</t>
  </si>
  <si>
    <t>画堂春锦苑一期商业</t>
  </si>
  <si>
    <t>画堂春锦苑13/14/15/17/18号楼外立面幕墙</t>
  </si>
  <si>
    <t>沈阳市金罗盘建筑设计有限公司新疆分公司</t>
  </si>
  <si>
    <t>建筑面积4556.89*10元/m²=45569元
签订合同后6日内第一次付费30%即13670.7元
施工图审批通过，向甲方提交施工图纸后6日内付50%即22784.5元
竣工验收合同6日内付20%即9113.8元</t>
  </si>
  <si>
    <t>高档外立面工程费用</t>
  </si>
  <si>
    <t>水土保持方案编制合同</t>
  </si>
  <si>
    <t>新疆和禹源生态工程咨询有限公司</t>
  </si>
  <si>
    <t>画堂春锦苑项目1-20#楼水土保持方案
专票3%</t>
  </si>
  <si>
    <t>水文费用</t>
  </si>
  <si>
    <t>2023.10.11</t>
  </si>
  <si>
    <t>画堂春锦苑项目商业街二层连廊及室外直梯钢结构深化设计工程</t>
  </si>
  <si>
    <t>中述设计集团有限公司（中述设计集团有限公司鲁西南分公司）</t>
  </si>
  <si>
    <t>实际收款单位为分公司</t>
  </si>
  <si>
    <t>2023.6.12</t>
  </si>
  <si>
    <t>画堂春锦苑展示区门头改造、精神堡垒新建工程</t>
  </si>
  <si>
    <t>巴州冠弘建筑装饰有限公司</t>
  </si>
  <si>
    <t>开发间接费用</t>
  </si>
  <si>
    <t>2023.6.2</t>
  </si>
  <si>
    <t>画堂春锦苑展示区驻车器购买安装工程</t>
  </si>
  <si>
    <t>巴州青橄榄电子科技有限公司</t>
  </si>
  <si>
    <t>其他建筑安装工程费</t>
  </si>
  <si>
    <t>画堂春锦苑一期交付围挡拆除及搭设工程</t>
  </si>
  <si>
    <t>巴州方程视广告有限公司</t>
  </si>
  <si>
    <t>30%抵账支付，提供3%专票</t>
  </si>
  <si>
    <t>画堂春锦苑一期住宅亮化工程</t>
  </si>
  <si>
    <t>主材进场支30%
全部安装完毕验收后支总价67%，其中合同总价30%抵账支付
质保3%
提供3%专票</t>
  </si>
  <si>
    <t>基础设施费</t>
  </si>
  <si>
    <t>照明工程支出</t>
  </si>
  <si>
    <t>因合同总价减少 抵账额度不够</t>
  </si>
  <si>
    <t>画堂春锦苑一期13-15/17/18楼亮化施工</t>
  </si>
  <si>
    <t>结算总价25%的非货币支付
提供3%专票</t>
  </si>
  <si>
    <t>画堂春锦苑14#17#楼商业烟道工程专业施工合同</t>
  </si>
  <si>
    <t>工程总价20%非货币支付</t>
  </si>
  <si>
    <t>画堂春锦苑15#18#楼商业烟道工程专业施工合同</t>
  </si>
  <si>
    <t>新疆建邦消防工程有限公司</t>
  </si>
  <si>
    <t>画堂春锦苑商业街美陈采购及安装工程</t>
  </si>
  <si>
    <t>合同价20%抵账支付，提供3%专票</t>
  </si>
  <si>
    <t>画堂春锦苑13#14#16#17#19#商业电梯监控采购及安装工程专业施工承包合同</t>
  </si>
  <si>
    <t>总价30%抵账
提供1%专票</t>
  </si>
  <si>
    <t>画堂春锦苑挑檐防水维修（局部）工程专业施工分包合同（13#-15#17#18#）</t>
  </si>
  <si>
    <t>新疆汇坤建设工程有限公司</t>
  </si>
  <si>
    <t>提供3%专票</t>
  </si>
  <si>
    <t>画堂春锦苑17#18#号楼天然气安装工程委托建设管理协议书</t>
  </si>
  <si>
    <t>新疆南天城建（集团）股份有限公司（已更名 深能）</t>
  </si>
  <si>
    <t>画堂春锦苑17#18#楼天然气安装</t>
  </si>
  <si>
    <t>无合同</t>
  </si>
  <si>
    <t>画堂春锦苑9-12#楼天然气安装工程委托建设管理协议书-</t>
  </si>
  <si>
    <t>画堂春锦苑13/14/15号楼天然气安装工程</t>
  </si>
  <si>
    <t>画堂春锦苑项目14楼天然气安装</t>
  </si>
  <si>
    <t>画堂春锦苑14号楼下沉庭院天然气工程款</t>
  </si>
  <si>
    <t>深能巴州燃气股份有限公司</t>
  </si>
  <si>
    <t>画堂春锦苑13#14#15#商业楼天然气表数量增加壁挂炉间23个，安装J4表23个（131870.79元）</t>
  </si>
  <si>
    <t>已付款未开票</t>
  </si>
  <si>
    <t>工程名称</t>
  </si>
  <si>
    <t>合同价</t>
  </si>
  <si>
    <t>现金已支付</t>
  </si>
  <si>
    <t>抵账已支付</t>
  </si>
  <si>
    <t>合计</t>
  </si>
  <si>
    <t>合同未付款</t>
  </si>
  <si>
    <t>已付款不含税金额</t>
  </si>
  <si>
    <t>合同总价不含税</t>
  </si>
  <si>
    <t>2024年四季度暂估成本数</t>
  </si>
  <si>
    <t>画堂春锦苑10、12、14、15、17、18#建设工程</t>
  </si>
  <si>
    <t>画堂春锦苑17、18#楼商业展示区园林景观工程（杜奇志）</t>
  </si>
  <si>
    <t>画堂春锦苑9、11、13#楼及地下车库工程建设工程</t>
  </si>
  <si>
    <t>画堂春锦苑17#、18#楼外墙装饰工程（刘品全）</t>
  </si>
  <si>
    <t>画堂春锦苑一期消防工程（建邦消防 巩红卫）</t>
  </si>
  <si>
    <t>画堂春锦苑13、14、15、17、18#楼铝合金门窗制作安装工程</t>
  </si>
  <si>
    <t>画堂春锦苑9#10#11#12#楼铝合金门窗制作安装工程</t>
  </si>
  <si>
    <t>画堂春锦9-12#楼、13、14、17#商业楼电梯供货及安装工程</t>
  </si>
  <si>
    <t>画堂春锦苑一期9#-12#、13#-15#17#18#、非人防车库 防火门、防盗门供货及安装（施 ）</t>
  </si>
  <si>
    <t>画堂春锦苑展示区水景改造工程!A1</t>
  </si>
  <si>
    <t>画堂春锦苑一期变配电（正式用电）工程'!A1</t>
  </si>
  <si>
    <t>画堂春锦一期（9#-12#住宅楼13#-15#17#18#商业楼）室外管网（杜奇志）</t>
  </si>
  <si>
    <t>画堂春锦一期园林景观（杜奇志）</t>
  </si>
  <si>
    <t>画堂春锦苑小区一期公共部位及门斗内装修工程!A1</t>
  </si>
  <si>
    <t>画堂春锦苑一期直梯、门斗、雨棚、连廊 外饰面装修 铝板（江通海）</t>
  </si>
  <si>
    <t>画堂春锦苑项目一期13#15#楼外墙装修工程（金克）</t>
  </si>
  <si>
    <t>画堂春锦苑项目一期14#楼外墙装修工程（倪大伟）</t>
  </si>
  <si>
    <t>画堂春锦苑项目一期机械车位设备采购与安装（大洋泊车）'!A1</t>
  </si>
  <si>
    <t>根据三季度领导批示，合同总价上浮30%核算</t>
  </si>
  <si>
    <t>情况说明：2024年四季度共计预提成本101,177,820.46元，
其中：1、按照通力二分公司直接与供应商签订合同未付款金额预提成本2447,557.78元（付款后可取得发票）
      2、预提南天城建天然气安装款2,261,853.55元（款已付，暂未开发票，未开具发票原因：对方单位要求项目结束款结清后开发票，目前存在变更项款还未付，发票暂未开，已催促工程部）款结清可取得发票
      3、按照通力二分公司与通力股份合同未付款金额上浮30%左右预提成本74,468,409.15元（根据不同类型合同上浮比例不同）
      4、剩余2200万元无依据，当时为计算达到公司缴纳企业所得税数，所计提。</t>
  </si>
  <si>
    <t>2024年企业所得税概算明细表（暂估成本）</t>
  </si>
  <si>
    <t>已确认收入</t>
  </si>
  <si>
    <t>金额（元）</t>
  </si>
  <si>
    <t>一期房款收入</t>
  </si>
  <si>
    <t>已入账成本+费用</t>
  </si>
  <si>
    <t>主营成本</t>
  </si>
  <si>
    <t>商铺租金收入</t>
  </si>
  <si>
    <t>税金及附加</t>
  </si>
  <si>
    <t>储藏间收入</t>
  </si>
  <si>
    <t>销售费用</t>
  </si>
  <si>
    <t>营业外收入</t>
  </si>
  <si>
    <t>管理费用</t>
  </si>
  <si>
    <t>一期已申报预计毛利10%</t>
  </si>
  <si>
    <t>财务费用</t>
  </si>
  <si>
    <t>二期预收账款预计毛利10%</t>
  </si>
  <si>
    <t>营业外支出</t>
  </si>
  <si>
    <t>暂估成本</t>
  </si>
  <si>
    <t>利润总额</t>
  </si>
  <si>
    <t>应缴纳企业所得税</t>
  </si>
  <si>
    <t>已交企业所得税</t>
  </si>
  <si>
    <t>2024年企业所得税概算明细表（不暂估成本）</t>
  </si>
  <si>
    <t>不暂估成本需缴纳企业所得税</t>
  </si>
  <si>
    <t>2024年企业所得税概算明细表（根据合同未付款暂估成本）</t>
  </si>
  <si>
    <t>按合同未付款预提成本</t>
  </si>
  <si>
    <t>根据通力股份已签订合同上浮5%-已付款后估估算成本后，计算单方成本，
单方成本4279.58元/m²*已售面积39197.68m²=成本167749486.41元</t>
  </si>
  <si>
    <t>按合同未付款暂估成本需缴纳企业所得税</t>
  </si>
  <si>
    <t>项目名称</t>
  </si>
  <si>
    <t>开发楼号</t>
  </si>
  <si>
    <t>账面楼号</t>
  </si>
  <si>
    <t>账载实际成本（不含税）</t>
  </si>
  <si>
    <t>公共设施分摊成本</t>
  </si>
  <si>
    <t>分摊土地拆迁安置费</t>
  </si>
  <si>
    <t>实际开发成本</t>
  </si>
  <si>
    <t>总可售面积</t>
  </si>
  <si>
    <t>单位成本</t>
  </si>
  <si>
    <t>2024年度确认销售面积（已售）</t>
  </si>
  <si>
    <t>2024年度结转</t>
  </si>
  <si>
    <t>截止4季度已售面积</t>
  </si>
  <si>
    <t>截止2024年四季度已售面积结转成本</t>
  </si>
  <si>
    <t>2024年4季度应结转</t>
  </si>
  <si>
    <t>13#-15#17#18#</t>
  </si>
  <si>
    <t>画堂春锦苑一期住宅</t>
  </si>
  <si>
    <t>9#-12#</t>
  </si>
  <si>
    <t>画堂春锦苑二期住宅</t>
  </si>
  <si>
    <t>1.2.3.4.5.7#</t>
  </si>
  <si>
    <t>1、2、3、5、7、8、4.6，</t>
  </si>
  <si>
    <t>画堂春锦苑二期商业</t>
  </si>
  <si>
    <t>16.19#</t>
  </si>
  <si>
    <t>画堂春锦苑三期住宅</t>
  </si>
  <si>
    <t>6.8#</t>
  </si>
  <si>
    <t>本月应结转成本=单方成本*已售面积-上一季度已结转成本</t>
  </si>
  <si>
    <t>规划面积（地上）</t>
  </si>
  <si>
    <t>分摊比例</t>
  </si>
  <si>
    <t>测绘面积</t>
  </si>
  <si>
    <t>可售面积</t>
  </si>
  <si>
    <t>拆迁安置已入账</t>
  </si>
  <si>
    <t>拆迁安置未入账</t>
  </si>
  <si>
    <t>公共配套金额</t>
  </si>
  <si>
    <t>拆迁安置费用</t>
  </si>
  <si>
    <t>其他分摊</t>
  </si>
  <si>
    <t>画堂春锦苑三期商业</t>
  </si>
  <si>
    <t>2024.9.30开发成本-画堂春锦苑56907231.71</t>
  </si>
  <si>
    <t>剩余为前期费用</t>
  </si>
  <si>
    <t>公共分摊入账</t>
  </si>
  <si>
    <t>分摊4904999.79明细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</si>
</sst>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_ * #,##0.0000_ ;_ * \-#,##0.0000_ ;_ * &quot;-&quot;??.00_ ;_ @_ "/>
    <numFmt numFmtId="178" formatCode="yyyy/m/d;@"/>
    <numFmt numFmtId="179" formatCode="#,##0_);[Red]\(#,##0\)"/>
    <numFmt numFmtId="180" formatCode="0.00_);[Red]\(0.00\)"/>
  </numFmts>
  <fonts count="36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u/>
      <sz val="10"/>
      <color rgb="FF800080"/>
      <name val="宋体"/>
      <charset val="134"/>
    </font>
    <font>
      <u/>
      <sz val="10"/>
      <color rgb="FF800080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indexed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9" borderId="11" applyNumberFormat="0" applyAlignment="0" applyProtection="0">
      <alignment vertical="center"/>
    </xf>
    <xf numFmtId="0" fontId="22" fillId="10" borderId="12" applyNumberFormat="0" applyAlignment="0" applyProtection="0">
      <alignment vertical="center"/>
    </xf>
    <xf numFmtId="0" fontId="23" fillId="10" borderId="11" applyNumberFormat="0" applyAlignment="0" applyProtection="0">
      <alignment vertical="center"/>
    </xf>
    <xf numFmtId="0" fontId="24" fillId="11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2" fillId="0" borderId="0"/>
  </cellStyleXfs>
  <cellXfs count="1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176" fontId="1" fillId="0" borderId="2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vertical="center"/>
    </xf>
    <xf numFmtId="176" fontId="1" fillId="0" borderId="3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vertical="center"/>
    </xf>
    <xf numFmtId="4" fontId="1" fillId="0" borderId="0" xfId="0" applyNumberFormat="1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177" fontId="1" fillId="0" borderId="2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177" fontId="1" fillId="0" borderId="3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3" fontId="1" fillId="0" borderId="2" xfId="0" applyNumberFormat="1" applyFont="1" applyFill="1" applyBorder="1" applyAlignment="1">
      <alignment horizontal="center" vertical="center"/>
    </xf>
    <xf numFmtId="43" fontId="1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43" fontId="1" fillId="0" borderId="3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43" fontId="1" fillId="0" borderId="0" xfId="0" applyNumberFormat="1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43" fontId="3" fillId="0" borderId="0" xfId="0" applyNumberFormat="1" applyFont="1">
      <alignment vertical="center"/>
    </xf>
    <xf numFmtId="0" fontId="3" fillId="0" borderId="1" xfId="0" applyFont="1" applyBorder="1" applyAlignment="1">
      <alignment horizontal="center" vertical="center"/>
    </xf>
    <xf numFmtId="43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3" fontId="3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43" fontId="3" fillId="0" borderId="1" xfId="0" applyNumberFormat="1" applyFont="1" applyBorder="1">
      <alignment vertical="center"/>
    </xf>
    <xf numFmtId="43" fontId="3" fillId="0" borderId="4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3" borderId="1" xfId="0" applyFont="1" applyFill="1" applyBorder="1">
      <alignment vertical="center"/>
    </xf>
    <xf numFmtId="43" fontId="3" fillId="3" borderId="1" xfId="0" applyNumberFormat="1" applyFont="1" applyFill="1" applyBorder="1">
      <alignment vertical="center"/>
    </xf>
    <xf numFmtId="43" fontId="3" fillId="0" borderId="3" xfId="0" applyNumberFormat="1" applyFont="1" applyBorder="1" applyAlignment="1">
      <alignment horizontal="center" vertical="center" wrapText="1"/>
    </xf>
    <xf numFmtId="43" fontId="3" fillId="0" borderId="2" xfId="0" applyNumberFormat="1" applyFont="1" applyBorder="1" applyAlignment="1">
      <alignment horizontal="center" vertical="center"/>
    </xf>
    <xf numFmtId="43" fontId="3" fillId="0" borderId="4" xfId="0" applyNumberFormat="1" applyFont="1" applyBorder="1" applyAlignment="1">
      <alignment horizontal="center" vertical="center"/>
    </xf>
    <xf numFmtId="43" fontId="3" fillId="0" borderId="3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1" xfId="0" applyFont="1" applyBorder="1">
      <alignment vertical="center"/>
    </xf>
    <xf numFmtId="43" fontId="4" fillId="0" borderId="1" xfId="0" applyNumberFormat="1" applyFont="1" applyBorder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43" fontId="5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4" borderId="1" xfId="0" applyNumberFormat="1" applyFont="1" applyFill="1" applyBorder="1" applyAlignment="1">
      <alignment vertical="center"/>
    </xf>
    <xf numFmtId="176" fontId="6" fillId="0" borderId="1" xfId="0" applyNumberFormat="1" applyFont="1" applyFill="1" applyBorder="1" applyAlignment="1">
      <alignment vertical="center"/>
    </xf>
    <xf numFmtId="43" fontId="6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7" fillId="0" borderId="1" xfId="6" applyFont="1" applyFill="1" applyBorder="1" applyAlignment="1">
      <alignment vertical="center"/>
    </xf>
    <xf numFmtId="176" fontId="5" fillId="4" borderId="1" xfId="0" applyNumberFormat="1" applyFont="1" applyFill="1" applyBorder="1" applyAlignment="1">
      <alignment vertical="center"/>
    </xf>
    <xf numFmtId="176" fontId="5" fillId="0" borderId="1" xfId="0" applyNumberFormat="1" applyFont="1" applyFill="1" applyBorder="1" applyAlignment="1">
      <alignment vertical="center"/>
    </xf>
    <xf numFmtId="43" fontId="5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176" fontId="7" fillId="0" borderId="1" xfId="6" applyNumberFormat="1" applyFont="1" applyFill="1" applyBorder="1" applyAlignment="1">
      <alignment vertical="center"/>
    </xf>
    <xf numFmtId="0" fontId="8" fillId="0" borderId="1" xfId="6" applyFont="1" applyFill="1" applyBorder="1" applyAlignment="1">
      <alignment vertical="center"/>
    </xf>
    <xf numFmtId="0" fontId="9" fillId="0" borderId="0" xfId="0" applyFont="1" applyFill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49" fontId="11" fillId="0" borderId="1" xfId="49" applyNumberFormat="1" applyFont="1" applyFill="1" applyBorder="1" applyAlignment="1">
      <alignment horizontal="left" vertical="center" wrapText="1"/>
    </xf>
    <xf numFmtId="43" fontId="11" fillId="5" borderId="1" xfId="0" applyNumberFormat="1" applyFont="1" applyFill="1" applyBorder="1" applyAlignment="1">
      <alignment horizontal="left" vertical="center" wrapText="1"/>
    </xf>
    <xf numFmtId="9" fontId="11" fillId="0" borderId="1" xfId="3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178" fontId="10" fillId="0" borderId="1" xfId="49" applyNumberFormat="1" applyFont="1" applyFill="1" applyBorder="1" applyAlignment="1">
      <alignment horizontal="left" vertical="center" wrapText="1"/>
    </xf>
    <xf numFmtId="178" fontId="10" fillId="3" borderId="1" xfId="49" applyNumberFormat="1" applyFont="1" applyFill="1" applyBorder="1" applyAlignment="1">
      <alignment horizontal="left" vertical="center" wrapText="1"/>
    </xf>
    <xf numFmtId="49" fontId="10" fillId="0" borderId="1" xfId="49" applyNumberFormat="1" applyFont="1" applyFill="1" applyBorder="1" applyAlignment="1">
      <alignment horizontal="left" vertical="center" wrapText="1"/>
    </xf>
    <xf numFmtId="179" fontId="10" fillId="0" borderId="1" xfId="49" applyNumberFormat="1" applyFont="1" applyFill="1" applyBorder="1" applyAlignment="1">
      <alignment horizontal="left" vertical="center" wrapText="1"/>
    </xf>
    <xf numFmtId="43" fontId="10" fillId="0" borderId="1" xfId="49" applyNumberFormat="1" applyFont="1" applyFill="1" applyBorder="1" applyAlignment="1">
      <alignment horizontal="left" vertical="center" wrapText="1"/>
    </xf>
    <xf numFmtId="9" fontId="10" fillId="0" borderId="1" xfId="3" applyNumberFormat="1" applyFont="1" applyBorder="1" applyAlignment="1">
      <alignment horizontal="left" vertical="center" wrapText="1"/>
    </xf>
    <xf numFmtId="0" fontId="10" fillId="0" borderId="1" xfId="49" applyFont="1" applyFill="1" applyBorder="1" applyAlignment="1" applyProtection="1">
      <alignment horizontal="left" vertical="center" wrapText="1"/>
      <protection locked="0"/>
    </xf>
    <xf numFmtId="0" fontId="10" fillId="0" borderId="1" xfId="49" applyFont="1" applyFill="1" applyBorder="1" applyAlignment="1">
      <alignment horizontal="left" vertical="center" wrapText="1"/>
    </xf>
    <xf numFmtId="0" fontId="10" fillId="0" borderId="1" xfId="49" applyNumberFormat="1" applyFont="1" applyFill="1" applyBorder="1" applyAlignment="1">
      <alignment horizontal="left" vertical="center" wrapText="1"/>
    </xf>
    <xf numFmtId="9" fontId="10" fillId="0" borderId="1" xfId="3" applyFont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/>
    </xf>
    <xf numFmtId="9" fontId="10" fillId="0" borderId="1" xfId="3" applyNumberFormat="1" applyFont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43" fontId="10" fillId="0" borderId="1" xfId="0" applyNumberFormat="1" applyFont="1" applyFill="1" applyBorder="1" applyAlignment="1">
      <alignment horizontal="left" vertical="center"/>
    </xf>
    <xf numFmtId="9" fontId="10" fillId="0" borderId="1" xfId="3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1" xfId="0" applyNumberFormat="1" applyFont="1" applyFill="1" applyBorder="1" applyAlignment="1">
      <alignment horizontal="left" vertical="center" wrapText="1"/>
    </xf>
    <xf numFmtId="176" fontId="11" fillId="0" borderId="1" xfId="0" applyNumberFormat="1" applyFont="1" applyFill="1" applyBorder="1" applyAlignment="1">
      <alignment horizontal="left" vertical="center" wrapText="1"/>
    </xf>
    <xf numFmtId="43" fontId="11" fillId="6" borderId="1" xfId="0" applyNumberFormat="1" applyFont="1" applyFill="1" applyBorder="1" applyAlignment="1">
      <alignment horizontal="left" vertical="center" wrapText="1"/>
    </xf>
    <xf numFmtId="43" fontId="11" fillId="6" borderId="1" xfId="0" applyNumberFormat="1" applyFont="1" applyFill="1" applyBorder="1" applyAlignment="1">
      <alignment horizontal="center" vertical="center" wrapText="1"/>
    </xf>
    <xf numFmtId="43" fontId="11" fillId="5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left" vertical="center" wrapText="1"/>
    </xf>
    <xf numFmtId="176" fontId="10" fillId="0" borderId="1" xfId="0" applyNumberFormat="1" applyFont="1" applyFill="1" applyBorder="1" applyAlignment="1">
      <alignment horizontal="left" vertical="center"/>
    </xf>
    <xf numFmtId="180" fontId="10" fillId="0" borderId="1" xfId="0" applyNumberFormat="1" applyFont="1" applyFill="1" applyBorder="1" applyAlignment="1">
      <alignment horizontal="left" vertical="center"/>
    </xf>
    <xf numFmtId="43" fontId="10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1" fillId="0" borderId="7" xfId="0" applyFont="1" applyFill="1" applyBorder="1" applyAlignment="1">
      <alignment horizontal="center" vertical="center"/>
    </xf>
    <xf numFmtId="43" fontId="11" fillId="4" borderId="1" xfId="0" applyNumberFormat="1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/>
    </xf>
    <xf numFmtId="43" fontId="12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4" fillId="7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8" fillId="0" borderId="1" xfId="6" applyFont="1" applyFill="1" applyBorder="1" applyAlignment="1" quotePrefix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323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24</xdr:col>
      <xdr:colOff>44450</xdr:colOff>
      <xdr:row>0</xdr:row>
      <xdr:rowOff>306705</xdr:rowOff>
    </xdr:from>
    <xdr:to>
      <xdr:col>25</xdr:col>
      <xdr:colOff>120650</xdr:colOff>
      <xdr:row>3</xdr:row>
      <xdr:rowOff>17780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399375" y="306705"/>
          <a:ext cx="762000" cy="1082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24</xdr:col>
      <xdr:colOff>325120</xdr:colOff>
      <xdr:row>3</xdr:row>
      <xdr:rowOff>20955</xdr:rowOff>
    </xdr:from>
    <xdr:to>
      <xdr:col>25</xdr:col>
      <xdr:colOff>9525</xdr:colOff>
      <xdr:row>6</xdr:row>
      <xdr:rowOff>538480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flipV="1">
          <a:off x="20680045" y="1392555"/>
          <a:ext cx="370205" cy="24098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0011;&#22530;&#26149;&#38182;&#36164;&#26009;\&#30011;&#22530;&#26149;&#38182;&#33489;&#19968;&#26399;2024.9.30&#35745;&#31639;&#25104;&#26412;&#30456;&#20851;&#36164;&#26009;\&#30011;&#22530;&#26149;&#38182;&#33489;2024&#24180;.12.31&#36134;&#38754;&#25104;&#26412;&#20998;&#25674;&#34920;&#65288;&#20462;&#25913;&#21518;2025.1.8(1)%20-%20&#21103;&#26412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4年库尔勒片区合同汇总表 "/>
      <sheetName val="项目分类（不可删除）"/>
      <sheetName val="销售类"/>
      <sheetName val="2024.12.31成本确认表"/>
      <sheetName val="规划面积统计表"/>
      <sheetName val="开发成本截止2024.9.30日"/>
      <sheetName val="开发间接费用2024.9.30"/>
      <sheetName val="2024.12.31预提开发成本明细（与二分公司合同）"/>
      <sheetName val="2024.12.31预提开发成本明细（通力股份合同）"/>
    </sheetNames>
    <sheetDataSet>
      <sheetData sheetId="0"/>
      <sheetData sheetId="1"/>
      <sheetData sheetId="2"/>
      <sheetData sheetId="3"/>
      <sheetData sheetId="4">
        <row r="15">
          <cell r="J15">
            <v>43042.22</v>
          </cell>
        </row>
        <row r="29">
          <cell r="J29">
            <v>87091.09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29"/>
  <sheetViews>
    <sheetView topLeftCell="E15" workbookViewId="0">
      <selection activeCell="W21" sqref="W21"/>
    </sheetView>
  </sheetViews>
  <sheetFormatPr defaultColWidth="9" defaultRowHeight="26" customHeight="1"/>
  <cols>
    <col min="1" max="2" width="9" style="54"/>
    <col min="3" max="3" width="14.25" style="54" customWidth="1"/>
    <col min="4" max="4" width="17.5" style="54" customWidth="1"/>
    <col min="5" max="6" width="9" style="54"/>
    <col min="7" max="7" width="14.375" style="54" customWidth="1"/>
    <col min="8" max="8" width="9" style="54"/>
    <col min="9" max="9" width="14.875" style="54"/>
    <col min="10" max="10" width="9" style="54"/>
    <col min="11" max="11" width="11.125" style="54"/>
    <col min="12" max="12" width="9" style="54"/>
    <col min="13" max="13" width="12.625" style="54"/>
    <col min="14" max="14" width="13.75" style="54"/>
    <col min="15" max="15" width="12.625" style="54"/>
    <col min="16" max="16" width="9" style="54"/>
    <col min="17" max="17" width="13.75" style="54"/>
    <col min="18" max="19" width="9" style="54"/>
    <col min="20" max="20" width="11.125" style="54"/>
    <col min="21" max="22" width="9" style="54"/>
    <col min="23" max="23" width="14.125" style="54"/>
    <col min="24" max="16384" width="9" style="54"/>
  </cols>
  <sheetData>
    <row r="1" s="71" customFormat="1" ht="30" customHeight="1" spans="1:21">
      <c r="A1" s="74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107"/>
    </row>
    <row r="2" s="72" customFormat="1" ht="30" customHeight="1" spans="1:30">
      <c r="A2" s="76" t="s">
        <v>1</v>
      </c>
      <c r="B2" s="76" t="s">
        <v>2</v>
      </c>
      <c r="C2" s="77" t="s">
        <v>3</v>
      </c>
      <c r="D2" s="76" t="s">
        <v>4</v>
      </c>
      <c r="E2" s="76" t="s">
        <v>5</v>
      </c>
      <c r="F2" s="76" t="s">
        <v>6</v>
      </c>
      <c r="G2" s="78" t="s">
        <v>7</v>
      </c>
      <c r="H2" s="79" t="s">
        <v>8</v>
      </c>
      <c r="I2" s="98" t="s">
        <v>9</v>
      </c>
      <c r="J2" s="98" t="s">
        <v>10</v>
      </c>
      <c r="K2" s="77" t="s">
        <v>11</v>
      </c>
      <c r="L2" s="77" t="s">
        <v>12</v>
      </c>
      <c r="M2" s="99" t="s">
        <v>13</v>
      </c>
      <c r="N2" s="100" t="s">
        <v>14</v>
      </c>
      <c r="O2" s="101" t="s">
        <v>15</v>
      </c>
      <c r="P2" s="98"/>
      <c r="Q2" s="108" t="s">
        <v>16</v>
      </c>
      <c r="R2" s="109" t="s">
        <v>17</v>
      </c>
      <c r="S2" s="109"/>
      <c r="T2" s="109" t="s">
        <v>18</v>
      </c>
      <c r="U2" s="109"/>
      <c r="V2" s="72"/>
      <c r="W2" s="72" t="s">
        <v>19</v>
      </c>
      <c r="X2" s="72"/>
      <c r="Y2" s="72"/>
      <c r="Z2" s="72"/>
      <c r="AA2" s="72"/>
      <c r="AB2" s="114"/>
      <c r="AC2" s="114"/>
      <c r="AD2" s="114"/>
    </row>
    <row r="3" s="73" customFormat="1" ht="48" customHeight="1" spans="1:30">
      <c r="A3" s="80">
        <v>3</v>
      </c>
      <c r="B3" s="81" t="s">
        <v>20</v>
      </c>
      <c r="C3" s="82" t="s">
        <v>21</v>
      </c>
      <c r="D3" s="83" t="s">
        <v>22</v>
      </c>
      <c r="E3" s="84" t="s">
        <v>23</v>
      </c>
      <c r="F3" s="83" t="s">
        <v>24</v>
      </c>
      <c r="G3" s="85">
        <v>80000</v>
      </c>
      <c r="H3" s="86">
        <v>0.06</v>
      </c>
      <c r="I3" s="102">
        <v>75471.6981132075</v>
      </c>
      <c r="J3" s="102"/>
      <c r="K3" s="83" t="s">
        <v>25</v>
      </c>
      <c r="L3" s="80" t="s">
        <v>26</v>
      </c>
      <c r="M3" s="103">
        <v>50000</v>
      </c>
      <c r="N3" s="103">
        <v>47169.8113207547</v>
      </c>
      <c r="O3" s="102">
        <v>30000</v>
      </c>
      <c r="P3" s="102"/>
      <c r="Q3" s="93" t="s">
        <v>27</v>
      </c>
      <c r="R3" s="93">
        <v>40</v>
      </c>
      <c r="S3" s="93"/>
      <c r="T3" s="93"/>
      <c r="U3" s="93" t="s">
        <v>28</v>
      </c>
      <c r="W3" s="73">
        <v>28301.8867924528</v>
      </c>
      <c r="AB3" s="115"/>
      <c r="AC3" s="115"/>
      <c r="AD3" s="115"/>
    </row>
    <row r="4" s="73" customFormat="1" ht="30" customHeight="1" spans="1:30">
      <c r="A4" s="80">
        <v>4</v>
      </c>
      <c r="B4" s="81" t="s">
        <v>29</v>
      </c>
      <c r="C4" s="82" t="s">
        <v>21</v>
      </c>
      <c r="D4" s="87" t="s">
        <v>30</v>
      </c>
      <c r="E4" s="88" t="s">
        <v>23</v>
      </c>
      <c r="F4" s="88" t="s">
        <v>31</v>
      </c>
      <c r="G4" s="85">
        <v>90000</v>
      </c>
      <c r="H4" s="86">
        <v>0.06</v>
      </c>
      <c r="I4" s="102">
        <v>84905.6603773585</v>
      </c>
      <c r="J4" s="102"/>
      <c r="K4" s="83" t="s">
        <v>25</v>
      </c>
      <c r="L4" s="80" t="s">
        <v>32</v>
      </c>
      <c r="M4" s="103">
        <v>40000</v>
      </c>
      <c r="N4" s="103">
        <v>37735.8490566038</v>
      </c>
      <c r="O4" s="102">
        <v>50000</v>
      </c>
      <c r="P4" s="102"/>
      <c r="Q4" s="93" t="s">
        <v>27</v>
      </c>
      <c r="R4" s="93">
        <v>45</v>
      </c>
      <c r="S4" s="93"/>
      <c r="T4" s="93"/>
      <c r="U4" s="93" t="s">
        <v>28</v>
      </c>
      <c r="W4" s="73">
        <v>47169.8113207547</v>
      </c>
      <c r="AB4" s="115"/>
      <c r="AC4" s="115"/>
      <c r="AD4" s="115"/>
    </row>
    <row r="5" s="73" customFormat="1" ht="30" customHeight="1" spans="1:30">
      <c r="A5" s="80">
        <v>6</v>
      </c>
      <c r="B5" s="89">
        <v>2022</v>
      </c>
      <c r="C5" s="82" t="s">
        <v>21</v>
      </c>
      <c r="D5" s="87" t="s">
        <v>33</v>
      </c>
      <c r="E5" s="84" t="s">
        <v>34</v>
      </c>
      <c r="F5" s="83"/>
      <c r="G5" s="85">
        <v>346500</v>
      </c>
      <c r="H5" s="90"/>
      <c r="I5" s="102">
        <v>326886.79245283</v>
      </c>
      <c r="J5" s="102"/>
      <c r="K5" s="83" t="s">
        <v>25</v>
      </c>
      <c r="L5" s="80" t="s">
        <v>26</v>
      </c>
      <c r="M5" s="103">
        <v>103950</v>
      </c>
      <c r="N5" s="103">
        <v>98066.0377358491</v>
      </c>
      <c r="O5" s="102">
        <v>242550</v>
      </c>
      <c r="P5" s="102"/>
      <c r="Q5" s="93" t="s">
        <v>27</v>
      </c>
      <c r="R5" s="93" t="s">
        <v>35</v>
      </c>
      <c r="S5" s="93"/>
      <c r="T5" s="93"/>
      <c r="U5" s="93" t="s">
        <v>28</v>
      </c>
      <c r="W5" s="73">
        <v>228820.754716981</v>
      </c>
      <c r="AB5" s="115"/>
      <c r="AC5" s="115"/>
      <c r="AD5" s="115"/>
    </row>
    <row r="6" s="73" customFormat="1" ht="89" customHeight="1" spans="1:30">
      <c r="A6" s="80">
        <v>25</v>
      </c>
      <c r="B6" s="81" t="s">
        <v>36</v>
      </c>
      <c r="C6" s="82" t="s">
        <v>21</v>
      </c>
      <c r="D6" s="88" t="s">
        <v>37</v>
      </c>
      <c r="E6" s="84" t="s">
        <v>38</v>
      </c>
      <c r="F6" s="83" t="s">
        <v>39</v>
      </c>
      <c r="G6" s="85">
        <v>1300000</v>
      </c>
      <c r="H6" s="86">
        <v>0.06</v>
      </c>
      <c r="I6" s="102">
        <v>1226415.09433962</v>
      </c>
      <c r="J6" s="102"/>
      <c r="K6" s="83" t="s">
        <v>25</v>
      </c>
      <c r="L6" s="80" t="s">
        <v>26</v>
      </c>
      <c r="M6" s="103">
        <v>632648.64</v>
      </c>
      <c r="N6" s="103">
        <v>596838.339622641</v>
      </c>
      <c r="O6" s="102">
        <v>667351.36</v>
      </c>
      <c r="P6" s="102"/>
      <c r="Q6" s="93">
        <v>520000</v>
      </c>
      <c r="R6" s="93">
        <v>277.73</v>
      </c>
      <c r="S6" s="93"/>
      <c r="T6" s="93"/>
      <c r="U6" s="93" t="s">
        <v>28</v>
      </c>
      <c r="W6" s="73">
        <v>629576.754716981</v>
      </c>
      <c r="AB6" s="115"/>
      <c r="AC6" s="115"/>
      <c r="AD6" s="115"/>
    </row>
    <row r="7" s="73" customFormat="1" ht="60" customHeight="1" spans="1:23">
      <c r="A7" s="80">
        <v>42</v>
      </c>
      <c r="B7" s="81" t="s">
        <v>40</v>
      </c>
      <c r="C7" s="91" t="s">
        <v>21</v>
      </c>
      <c r="D7" s="87" t="s">
        <v>41</v>
      </c>
      <c r="E7" s="88" t="s">
        <v>42</v>
      </c>
      <c r="F7" s="88" t="s">
        <v>43</v>
      </c>
      <c r="G7" s="85">
        <v>586320</v>
      </c>
      <c r="H7" s="92">
        <v>0.06</v>
      </c>
      <c r="I7" s="103">
        <v>553132.075471698</v>
      </c>
      <c r="J7" s="103"/>
      <c r="K7" s="83" t="s">
        <v>44</v>
      </c>
      <c r="L7" s="80" t="s">
        <v>45</v>
      </c>
      <c r="M7" s="103">
        <v>281434</v>
      </c>
      <c r="N7" s="103">
        <v>265503.773584906</v>
      </c>
      <c r="O7" s="102">
        <v>304886</v>
      </c>
      <c r="P7" s="102"/>
      <c r="Q7" s="93">
        <v>234528</v>
      </c>
      <c r="R7" s="93" t="s">
        <v>46</v>
      </c>
      <c r="S7" s="93"/>
      <c r="T7" s="93">
        <v>140955</v>
      </c>
      <c r="U7" s="93" t="s">
        <v>28</v>
      </c>
      <c r="W7" s="73">
        <v>287628.301886792</v>
      </c>
    </row>
    <row r="8" s="73" customFormat="1" ht="94" customHeight="1" spans="1:23">
      <c r="A8" s="80">
        <v>44</v>
      </c>
      <c r="B8" s="81"/>
      <c r="C8" s="91" t="s">
        <v>47</v>
      </c>
      <c r="D8" s="87" t="s">
        <v>48</v>
      </c>
      <c r="E8" s="88" t="s">
        <v>49</v>
      </c>
      <c r="F8" s="88" t="s">
        <v>50</v>
      </c>
      <c r="G8" s="85">
        <v>45569</v>
      </c>
      <c r="H8" s="92">
        <v>0.03</v>
      </c>
      <c r="I8" s="103">
        <v>44241.7475728155</v>
      </c>
      <c r="J8" s="103"/>
      <c r="K8" s="83" t="s">
        <v>44</v>
      </c>
      <c r="L8" s="80" t="s">
        <v>51</v>
      </c>
      <c r="M8" s="103">
        <v>36455.2</v>
      </c>
      <c r="N8" s="103">
        <v>35393.3980582524</v>
      </c>
      <c r="O8" s="102">
        <v>9113.8</v>
      </c>
      <c r="P8" s="102"/>
      <c r="Q8" s="93" t="s">
        <v>27</v>
      </c>
      <c r="R8" s="93" t="s">
        <v>35</v>
      </c>
      <c r="S8" s="93"/>
      <c r="T8" s="93"/>
      <c r="U8" s="93" t="s">
        <v>28</v>
      </c>
      <c r="W8" s="73">
        <v>8848.34951456311</v>
      </c>
    </row>
    <row r="9" s="73" customFormat="1" ht="30" customHeight="1" spans="1:23">
      <c r="A9" s="80">
        <v>47</v>
      </c>
      <c r="B9" s="81"/>
      <c r="C9" s="91" t="s">
        <v>21</v>
      </c>
      <c r="D9" s="87" t="s">
        <v>52</v>
      </c>
      <c r="E9" s="88" t="s">
        <v>53</v>
      </c>
      <c r="F9" s="88" t="s">
        <v>54</v>
      </c>
      <c r="G9" s="85">
        <v>90000</v>
      </c>
      <c r="H9" s="92">
        <v>0.03</v>
      </c>
      <c r="I9" s="103">
        <v>87378.640776699</v>
      </c>
      <c r="J9" s="103"/>
      <c r="K9" s="83" t="s">
        <v>25</v>
      </c>
      <c r="L9" s="80" t="s">
        <v>55</v>
      </c>
      <c r="M9" s="103">
        <v>67500</v>
      </c>
      <c r="N9" s="103">
        <v>65533.9805825243</v>
      </c>
      <c r="O9" s="102">
        <v>22500</v>
      </c>
      <c r="P9" s="102"/>
      <c r="Q9" s="93" t="s">
        <v>27</v>
      </c>
      <c r="R9" s="93" t="s">
        <v>35</v>
      </c>
      <c r="S9" s="93"/>
      <c r="T9" s="93"/>
      <c r="U9" s="93" t="s">
        <v>28</v>
      </c>
      <c r="W9" s="73">
        <v>21844.6601941748</v>
      </c>
    </row>
    <row r="10" s="73" customFormat="1" ht="30" customHeight="1" spans="1:23">
      <c r="A10" s="80">
        <v>54</v>
      </c>
      <c r="B10" s="93" t="s">
        <v>56</v>
      </c>
      <c r="C10" s="91" t="s">
        <v>47</v>
      </c>
      <c r="D10" s="80" t="s">
        <v>57</v>
      </c>
      <c r="E10" s="80" t="s">
        <v>58</v>
      </c>
      <c r="F10" s="93" t="s">
        <v>59</v>
      </c>
      <c r="G10" s="94">
        <v>35000</v>
      </c>
      <c r="H10" s="95">
        <v>0.03</v>
      </c>
      <c r="I10" s="103">
        <v>33980.5825242718</v>
      </c>
      <c r="J10" s="103"/>
      <c r="K10" s="83" t="s">
        <v>25</v>
      </c>
      <c r="L10" s="80" t="s">
        <v>26</v>
      </c>
      <c r="M10" s="103">
        <v>10500</v>
      </c>
      <c r="N10" s="103">
        <v>10194.1747572816</v>
      </c>
      <c r="O10" s="102">
        <v>24500</v>
      </c>
      <c r="P10" s="102"/>
      <c r="Q10" s="93" t="s">
        <v>27</v>
      </c>
      <c r="R10" s="93">
        <v>17.5</v>
      </c>
      <c r="S10" s="93"/>
      <c r="T10" s="93"/>
      <c r="U10" s="93" t="s">
        <v>28</v>
      </c>
      <c r="W10" s="73">
        <v>23786.4077669903</v>
      </c>
    </row>
    <row r="11" s="73" customFormat="1" ht="30" customHeight="1" spans="1:23">
      <c r="A11" s="80">
        <v>61</v>
      </c>
      <c r="B11" s="93" t="s">
        <v>60</v>
      </c>
      <c r="C11" s="91" t="s">
        <v>21</v>
      </c>
      <c r="D11" s="80" t="s">
        <v>61</v>
      </c>
      <c r="E11" s="80" t="s">
        <v>62</v>
      </c>
      <c r="F11" s="93"/>
      <c r="G11" s="94">
        <v>580000</v>
      </c>
      <c r="H11" s="92">
        <v>0.01</v>
      </c>
      <c r="I11" s="103">
        <v>574257.42</v>
      </c>
      <c r="J11" s="103"/>
      <c r="K11" s="83" t="s">
        <v>63</v>
      </c>
      <c r="L11" s="80"/>
      <c r="M11" s="103">
        <v>435500</v>
      </c>
      <c r="N11" s="103">
        <v>431188.118811881</v>
      </c>
      <c r="O11" s="102">
        <v>144500</v>
      </c>
      <c r="P11" s="102"/>
      <c r="Q11" s="93" t="s">
        <v>27</v>
      </c>
      <c r="R11" s="93">
        <v>174</v>
      </c>
      <c r="S11" s="93"/>
      <c r="T11" s="93"/>
      <c r="U11" s="93" t="s">
        <v>28</v>
      </c>
      <c r="W11" s="73">
        <v>143069.301188119</v>
      </c>
    </row>
    <row r="12" s="73" customFormat="1" ht="30" customHeight="1" spans="1:23">
      <c r="A12" s="80">
        <v>62</v>
      </c>
      <c r="B12" s="93" t="s">
        <v>64</v>
      </c>
      <c r="C12" s="91" t="s">
        <v>47</v>
      </c>
      <c r="D12" s="80" t="s">
        <v>65</v>
      </c>
      <c r="E12" s="80" t="s">
        <v>66</v>
      </c>
      <c r="F12" s="93"/>
      <c r="G12" s="94">
        <v>2200</v>
      </c>
      <c r="H12" s="95">
        <v>0.01</v>
      </c>
      <c r="I12" s="103">
        <v>2178.21782178218</v>
      </c>
      <c r="J12" s="103"/>
      <c r="K12" s="83" t="s">
        <v>44</v>
      </c>
      <c r="L12" s="80" t="s">
        <v>67</v>
      </c>
      <c r="M12" s="103">
        <v>1558</v>
      </c>
      <c r="N12" s="103">
        <v>1542.57425742574</v>
      </c>
      <c r="O12" s="102">
        <v>642</v>
      </c>
      <c r="P12" s="102"/>
      <c r="Q12" s="93" t="s">
        <v>27</v>
      </c>
      <c r="R12" s="93">
        <v>0.66</v>
      </c>
      <c r="S12" s="93"/>
      <c r="T12" s="93"/>
      <c r="U12" s="93" t="s">
        <v>28</v>
      </c>
      <c r="W12" s="73">
        <v>635.643564356436</v>
      </c>
    </row>
    <row r="13" s="73" customFormat="1" ht="28" customHeight="1" spans="1:23">
      <c r="A13" s="80"/>
      <c r="B13" s="93"/>
      <c r="C13" s="91" t="s">
        <v>21</v>
      </c>
      <c r="D13" s="80" t="s">
        <v>68</v>
      </c>
      <c r="E13" s="84" t="s">
        <v>69</v>
      </c>
      <c r="F13" s="93" t="s">
        <v>70</v>
      </c>
      <c r="G13" s="94">
        <v>75000</v>
      </c>
      <c r="H13" s="95">
        <v>0.03</v>
      </c>
      <c r="I13" s="103">
        <v>72815.5339805825</v>
      </c>
      <c r="J13" s="103"/>
      <c r="K13" s="83" t="s">
        <v>44</v>
      </c>
      <c r="L13" s="80" t="s">
        <v>67</v>
      </c>
      <c r="M13" s="103">
        <v>37500</v>
      </c>
      <c r="N13" s="103">
        <v>36407.7669902913</v>
      </c>
      <c r="O13" s="102">
        <v>37500</v>
      </c>
      <c r="P13" s="102"/>
      <c r="Q13" s="94">
        <v>22500</v>
      </c>
      <c r="R13" s="93"/>
      <c r="S13" s="93"/>
      <c r="T13" s="93"/>
      <c r="U13" s="93" t="s">
        <v>28</v>
      </c>
      <c r="W13" s="73">
        <v>36407.7669902913</v>
      </c>
    </row>
    <row r="14" s="73" customFormat="1" ht="49" customHeight="1" spans="1:23">
      <c r="A14" s="80"/>
      <c r="B14" s="93"/>
      <c r="C14" s="91" t="s">
        <v>47</v>
      </c>
      <c r="D14" s="80" t="s">
        <v>71</v>
      </c>
      <c r="E14" s="84" t="s">
        <v>69</v>
      </c>
      <c r="F14" s="80" t="s">
        <v>72</v>
      </c>
      <c r="G14" s="94">
        <v>151769</v>
      </c>
      <c r="H14" s="92">
        <v>0.03</v>
      </c>
      <c r="I14" s="103">
        <v>147348.54368932</v>
      </c>
      <c r="J14" s="103"/>
      <c r="K14" s="83" t="s">
        <v>73</v>
      </c>
      <c r="L14" s="80" t="s">
        <v>74</v>
      </c>
      <c r="M14" s="103">
        <v>81000</v>
      </c>
      <c r="N14" s="103">
        <v>78640.7766990291</v>
      </c>
      <c r="O14" s="102">
        <v>70769</v>
      </c>
      <c r="P14" s="102"/>
      <c r="Q14" s="110">
        <v>45530.7</v>
      </c>
      <c r="R14" s="93">
        <v>135</v>
      </c>
      <c r="S14" s="93"/>
      <c r="T14" s="111">
        <v>26076</v>
      </c>
      <c r="U14" s="112" t="s">
        <v>28</v>
      </c>
      <c r="V14" s="113" t="s">
        <v>75</v>
      </c>
      <c r="W14" s="73">
        <v>68707.7669902913</v>
      </c>
    </row>
    <row r="15" s="73" customFormat="1" ht="28" customHeight="1" spans="1:23">
      <c r="A15" s="80"/>
      <c r="B15" s="93"/>
      <c r="C15" s="93" t="s">
        <v>21</v>
      </c>
      <c r="D15" s="80" t="s">
        <v>76</v>
      </c>
      <c r="E15" s="84" t="s">
        <v>69</v>
      </c>
      <c r="F15" s="80" t="s">
        <v>77</v>
      </c>
      <c r="G15" s="94">
        <v>300000</v>
      </c>
      <c r="H15" s="92">
        <v>0.03</v>
      </c>
      <c r="I15" s="103">
        <v>291262.13592233</v>
      </c>
      <c r="J15" s="103"/>
      <c r="K15" s="83"/>
      <c r="L15" s="80"/>
      <c r="M15" s="103">
        <v>165000</v>
      </c>
      <c r="N15" s="103">
        <v>160194.174757282</v>
      </c>
      <c r="O15" s="102">
        <v>135000</v>
      </c>
      <c r="P15" s="102"/>
      <c r="Q15" s="94">
        <v>75000</v>
      </c>
      <c r="R15" s="93" t="s">
        <v>35</v>
      </c>
      <c r="S15" s="93"/>
      <c r="T15" s="93"/>
      <c r="U15" s="112" t="s">
        <v>28</v>
      </c>
      <c r="W15" s="73">
        <v>131067.961165049</v>
      </c>
    </row>
    <row r="16" s="73" customFormat="1" ht="28" customHeight="1" spans="1:23">
      <c r="A16" s="80"/>
      <c r="B16" s="93"/>
      <c r="C16" s="93" t="s">
        <v>21</v>
      </c>
      <c r="D16" s="80" t="s">
        <v>78</v>
      </c>
      <c r="E16" s="84" t="s">
        <v>66</v>
      </c>
      <c r="F16" s="80" t="s">
        <v>79</v>
      </c>
      <c r="G16" s="94">
        <v>333074.75</v>
      </c>
      <c r="H16" s="92">
        <v>0.01</v>
      </c>
      <c r="I16" s="103">
        <v>329776.98019802</v>
      </c>
      <c r="J16" s="103"/>
      <c r="K16" s="83"/>
      <c r="L16" s="80"/>
      <c r="M16" s="103">
        <v>233152.4</v>
      </c>
      <c r="N16" s="103">
        <v>213901.28440367</v>
      </c>
      <c r="O16" s="102">
        <v>99922.35</v>
      </c>
      <c r="P16" s="102"/>
      <c r="Q16" s="93">
        <v>66614.95</v>
      </c>
      <c r="R16" s="93" t="s">
        <v>35</v>
      </c>
      <c r="S16" s="93"/>
      <c r="T16" s="93"/>
      <c r="U16" s="93" t="s">
        <v>28</v>
      </c>
      <c r="W16" s="73">
        <v>115875.69579435</v>
      </c>
    </row>
    <row r="17" s="73" customFormat="1" ht="28" customHeight="1" spans="1:23">
      <c r="A17" s="80"/>
      <c r="B17" s="93"/>
      <c r="C17" s="93" t="s">
        <v>21</v>
      </c>
      <c r="D17" s="80" t="s">
        <v>80</v>
      </c>
      <c r="E17" s="84" t="s">
        <v>81</v>
      </c>
      <c r="F17" s="80" t="s">
        <v>79</v>
      </c>
      <c r="G17" s="94">
        <v>355008</v>
      </c>
      <c r="H17" s="92">
        <v>0.09</v>
      </c>
      <c r="I17" s="103">
        <v>325695.412844037</v>
      </c>
      <c r="J17" s="103"/>
      <c r="K17" s="83"/>
      <c r="L17" s="80"/>
      <c r="M17" s="103">
        <v>248505.6</v>
      </c>
      <c r="N17" s="103">
        <v>227986.788990826</v>
      </c>
      <c r="O17" s="102">
        <v>106502.4</v>
      </c>
      <c r="P17" s="102"/>
      <c r="Q17" s="93">
        <v>71001.6</v>
      </c>
      <c r="R17" s="93" t="s">
        <v>35</v>
      </c>
      <c r="S17" s="93"/>
      <c r="T17" s="93">
        <v>35500.8</v>
      </c>
      <c r="U17" s="93"/>
      <c r="W17" s="73">
        <v>97708.623853211</v>
      </c>
    </row>
    <row r="18" s="73" customFormat="1" ht="30" customHeight="1" spans="1:23">
      <c r="A18" s="93"/>
      <c r="B18" s="93"/>
      <c r="C18" s="93" t="s">
        <v>47</v>
      </c>
      <c r="D18" s="80" t="s">
        <v>82</v>
      </c>
      <c r="E18" s="80" t="s">
        <v>69</v>
      </c>
      <c r="F18" s="93" t="s">
        <v>83</v>
      </c>
      <c r="G18" s="94">
        <v>1300000</v>
      </c>
      <c r="H18" s="95">
        <v>0.03</v>
      </c>
      <c r="I18" s="103">
        <v>1262135.9223301</v>
      </c>
      <c r="J18" s="103"/>
      <c r="K18" s="83"/>
      <c r="L18" s="80"/>
      <c r="M18" s="104">
        <v>780000</v>
      </c>
      <c r="N18" s="105">
        <v>757281.553398058</v>
      </c>
      <c r="O18" s="102">
        <v>520000</v>
      </c>
      <c r="P18" s="103"/>
      <c r="Q18" s="94">
        <v>260000</v>
      </c>
      <c r="R18" s="93" t="s">
        <v>35</v>
      </c>
      <c r="S18" s="93"/>
      <c r="T18" s="93"/>
      <c r="U18" s="112" t="s">
        <v>28</v>
      </c>
      <c r="W18" s="73">
        <v>504854.368932039</v>
      </c>
    </row>
    <row r="19" s="73" customFormat="1" ht="30" customHeight="1" spans="1:23">
      <c r="A19" s="93"/>
      <c r="B19" s="93"/>
      <c r="C19" s="93" t="s">
        <v>47</v>
      </c>
      <c r="D19" s="80" t="s">
        <v>84</v>
      </c>
      <c r="E19" s="80" t="s">
        <v>66</v>
      </c>
      <c r="F19" s="80" t="s">
        <v>85</v>
      </c>
      <c r="G19" s="94">
        <v>34762.96</v>
      </c>
      <c r="H19" s="92">
        <v>0.01</v>
      </c>
      <c r="I19" s="103">
        <v>34418.7722772277</v>
      </c>
      <c r="J19" s="103"/>
      <c r="K19" s="93"/>
      <c r="L19" s="93"/>
      <c r="M19" s="94"/>
      <c r="N19" s="105">
        <v>0</v>
      </c>
      <c r="O19" s="102">
        <v>34762.96</v>
      </c>
      <c r="P19" s="103"/>
      <c r="Q19" s="93">
        <v>10428.888</v>
      </c>
      <c r="R19" s="93" t="s">
        <v>35</v>
      </c>
      <c r="S19" s="93"/>
      <c r="T19" s="93"/>
      <c r="U19" s="93"/>
      <c r="W19" s="73">
        <v>34418.7722772277</v>
      </c>
    </row>
    <row r="20" s="73" customFormat="1" ht="30" customHeight="1" spans="1:23">
      <c r="A20" s="93"/>
      <c r="B20" s="93"/>
      <c r="C20" s="93" t="s">
        <v>47</v>
      </c>
      <c r="D20" s="80" t="s">
        <v>86</v>
      </c>
      <c r="E20" s="80" t="s">
        <v>87</v>
      </c>
      <c r="F20" s="93" t="s">
        <v>88</v>
      </c>
      <c r="G20" s="94">
        <v>40000</v>
      </c>
      <c r="H20" s="92">
        <v>0.03</v>
      </c>
      <c r="I20" s="103">
        <v>38834.9514563107</v>
      </c>
      <c r="J20" s="103"/>
      <c r="K20" s="93"/>
      <c r="L20" s="93"/>
      <c r="M20" s="94"/>
      <c r="N20" s="105">
        <v>0</v>
      </c>
      <c r="O20" s="102">
        <v>40000</v>
      </c>
      <c r="P20" s="103"/>
      <c r="Q20" s="93" t="s">
        <v>27</v>
      </c>
      <c r="R20" s="93" t="s">
        <v>35</v>
      </c>
      <c r="S20" s="93"/>
      <c r="T20" s="93"/>
      <c r="U20" s="93"/>
      <c r="W20" s="73">
        <v>38834.9514563107</v>
      </c>
    </row>
    <row r="21" s="54" customFormat="1" customHeight="1" spans="23:23">
      <c r="W21" s="106">
        <f>SUM(W3:W20)</f>
        <v>2447557.77912094</v>
      </c>
    </row>
    <row r="22" s="54" customFormat="1" customHeight="1" spans="3:9">
      <c r="C22" s="91" t="s">
        <v>21</v>
      </c>
      <c r="D22" s="96" t="s">
        <v>89</v>
      </c>
      <c r="E22" s="88" t="s">
        <v>90</v>
      </c>
      <c r="F22" s="88"/>
      <c r="G22" s="97">
        <v>537334.11</v>
      </c>
      <c r="H22" s="92">
        <v>0.09</v>
      </c>
      <c r="I22" s="103">
        <v>492967.073394495</v>
      </c>
    </row>
    <row r="23" s="54" customFormat="1" customHeight="1" spans="3:9">
      <c r="C23" s="91" t="s">
        <v>47</v>
      </c>
      <c r="D23" s="87" t="s">
        <v>91</v>
      </c>
      <c r="E23" s="88" t="s">
        <v>90</v>
      </c>
      <c r="F23" s="88" t="s">
        <v>92</v>
      </c>
      <c r="G23" s="85">
        <v>13755.75</v>
      </c>
      <c r="H23" s="92">
        <v>0.09</v>
      </c>
      <c r="I23" s="103">
        <v>12619.9541284404</v>
      </c>
    </row>
    <row r="24" s="54" customFormat="1" customHeight="1" spans="3:9">
      <c r="C24" s="91" t="s">
        <v>21</v>
      </c>
      <c r="D24" s="96" t="s">
        <v>93</v>
      </c>
      <c r="E24" s="88" t="s">
        <v>90</v>
      </c>
      <c r="F24" s="88"/>
      <c r="G24" s="97">
        <v>1218568</v>
      </c>
      <c r="H24" s="92">
        <v>0.09</v>
      </c>
      <c r="I24" s="103">
        <v>1117952.29357798</v>
      </c>
    </row>
    <row r="25" s="54" customFormat="1" customHeight="1" spans="3:9">
      <c r="C25" s="91" t="s">
        <v>21</v>
      </c>
      <c r="D25" s="80" t="s">
        <v>94</v>
      </c>
      <c r="E25" s="84" t="s">
        <v>90</v>
      </c>
      <c r="F25" s="93"/>
      <c r="G25" s="94">
        <v>515773.02</v>
      </c>
      <c r="H25" s="95">
        <v>0.09</v>
      </c>
      <c r="I25" s="103">
        <v>473186.256880734</v>
      </c>
    </row>
    <row r="26" s="54" customFormat="1" customHeight="1" spans="3:9">
      <c r="C26" s="91" t="s">
        <v>47</v>
      </c>
      <c r="D26" s="80" t="s">
        <v>95</v>
      </c>
      <c r="E26" s="84" t="s">
        <v>90</v>
      </c>
      <c r="F26" s="93" t="s">
        <v>92</v>
      </c>
      <c r="G26" s="94">
        <v>18936.27</v>
      </c>
      <c r="H26" s="95">
        <v>0.09</v>
      </c>
      <c r="I26" s="103">
        <v>17372.7247706422</v>
      </c>
    </row>
    <row r="27" s="54" customFormat="1" customHeight="1" spans="3:9">
      <c r="C27" s="91" t="s">
        <v>21</v>
      </c>
      <c r="D27" s="80" t="s">
        <v>96</v>
      </c>
      <c r="E27" s="84" t="s">
        <v>97</v>
      </c>
      <c r="F27" s="93" t="s">
        <v>92</v>
      </c>
      <c r="G27" s="94">
        <v>29182.43</v>
      </c>
      <c r="H27" s="95">
        <v>0.09</v>
      </c>
      <c r="I27" s="103">
        <v>26772.871559633</v>
      </c>
    </row>
    <row r="28" s="54" customFormat="1" customHeight="1" spans="3:9">
      <c r="C28" s="91" t="s">
        <v>21</v>
      </c>
      <c r="D28" s="80" t="s">
        <v>98</v>
      </c>
      <c r="E28" s="84" t="s">
        <v>97</v>
      </c>
      <c r="F28" s="93" t="s">
        <v>92</v>
      </c>
      <c r="G28" s="94">
        <v>131870.79</v>
      </c>
      <c r="H28" s="95">
        <v>0.09</v>
      </c>
      <c r="I28" s="103">
        <v>120982.376146789</v>
      </c>
    </row>
    <row r="29" s="54" customFormat="1" customHeight="1" spans="9:10">
      <c r="I29" s="106">
        <f>SUM(I22:I28)</f>
        <v>2261853.55045872</v>
      </c>
      <c r="J29" s="106" t="s">
        <v>99</v>
      </c>
    </row>
  </sheetData>
  <mergeCells count="1">
    <mergeCell ref="A1:U1"/>
  </mergeCells>
  <dataValidations count="1">
    <dataValidation type="list" allowBlank="1" showInputMessage="1" showErrorMessage="1" sqref="L3:L18">
      <formula1>INDIRECT($K3)</formula1>
    </dataValidation>
  </dataValidations>
  <pageMargins left="0.7" right="0.7" top="0.75" bottom="0.75" header="0.3" footer="0.3"/>
  <pageSetup paperSize="9" orientation="portrait"/>
  <headerFooter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5"/>
  <sheetViews>
    <sheetView workbookViewId="0">
      <selection activeCell="G22" sqref="G22"/>
    </sheetView>
  </sheetViews>
  <sheetFormatPr defaultColWidth="9" defaultRowHeight="18" customHeight="1"/>
  <cols>
    <col min="1" max="1" width="9" style="54"/>
    <col min="2" max="2" width="45.875" style="54" customWidth="1"/>
    <col min="3" max="13" width="15.125" style="54" customWidth="1"/>
    <col min="14" max="16384" width="9" style="54"/>
  </cols>
  <sheetData>
    <row r="1" s="51" customFormat="1" ht="20" customHeight="1" spans="1:7">
      <c r="A1" s="55"/>
      <c r="C1" s="53"/>
      <c r="D1" s="53"/>
      <c r="E1" s="53"/>
      <c r="F1" s="53"/>
      <c r="G1" s="56"/>
    </row>
    <row r="2" s="52" customFormat="1" ht="20" customHeight="1" spans="1:13">
      <c r="A2" s="57" t="s">
        <v>1</v>
      </c>
      <c r="B2" s="58" t="s">
        <v>100</v>
      </c>
      <c r="C2" s="59" t="s">
        <v>101</v>
      </c>
      <c r="D2" s="60" t="s">
        <v>102</v>
      </c>
      <c r="E2" s="60" t="s">
        <v>103</v>
      </c>
      <c r="F2" s="60" t="s">
        <v>104</v>
      </c>
      <c r="G2" s="61" t="s">
        <v>105</v>
      </c>
      <c r="H2" s="62"/>
      <c r="I2" s="62"/>
      <c r="J2" s="62" t="s">
        <v>106</v>
      </c>
      <c r="K2" s="62" t="s">
        <v>107</v>
      </c>
      <c r="L2" s="62" t="s">
        <v>108</v>
      </c>
      <c r="M2" s="57" t="s">
        <v>105</v>
      </c>
    </row>
    <row r="3" s="51" customFormat="1" ht="20" customHeight="1" spans="1:13">
      <c r="A3" s="55">
        <v>1</v>
      </c>
      <c r="B3" s="63" t="s">
        <v>109</v>
      </c>
      <c r="C3" s="64">
        <v>52657167.5</v>
      </c>
      <c r="D3" s="65">
        <v>31325760.4</v>
      </c>
      <c r="E3" s="65">
        <v>5495079</v>
      </c>
      <c r="F3" s="65">
        <v>36820839.4</v>
      </c>
      <c r="G3" s="66">
        <f>C3-F3</f>
        <v>15836328.1</v>
      </c>
      <c r="H3" s="67"/>
      <c r="I3" s="67" t="s">
        <v>21</v>
      </c>
      <c r="J3" s="67">
        <v>33780586.6055046</v>
      </c>
      <c r="K3" s="67">
        <v>65217592.7752293</v>
      </c>
      <c r="L3" s="67">
        <f>K3-J3</f>
        <v>31437006.1697247</v>
      </c>
      <c r="M3" s="51">
        <f>G3/1.09</f>
        <v>14528741.3761468</v>
      </c>
    </row>
    <row r="4" s="51" customFormat="1" ht="20" customHeight="1" spans="1:13">
      <c r="A4" s="55">
        <v>2</v>
      </c>
      <c r="B4" s="63" t="s">
        <v>110</v>
      </c>
      <c r="C4" s="64">
        <v>2565000</v>
      </c>
      <c r="D4" s="65">
        <v>1436400</v>
      </c>
      <c r="E4" s="65">
        <v>71619</v>
      </c>
      <c r="F4" s="65">
        <v>1508019</v>
      </c>
      <c r="G4" s="66">
        <f t="shared" ref="G4:G20" si="0">C4-F4</f>
        <v>1056981</v>
      </c>
      <c r="H4" s="67"/>
      <c r="I4" s="67" t="s">
        <v>21</v>
      </c>
      <c r="J4" s="67">
        <v>1383503.66972477</v>
      </c>
      <c r="K4" s="67">
        <v>2823853.21100917</v>
      </c>
      <c r="L4" s="67">
        <f t="shared" ref="L4:L20" si="1">K4-J4</f>
        <v>1440349.5412844</v>
      </c>
      <c r="M4" s="51">
        <f t="shared" ref="M4:M20" si="2">G4/1.09</f>
        <v>969707.339449541</v>
      </c>
    </row>
    <row r="5" s="51" customFormat="1" ht="20" customHeight="1" spans="1:13">
      <c r="A5" s="55">
        <v>4</v>
      </c>
      <c r="B5" s="63" t="s">
        <v>111</v>
      </c>
      <c r="C5" s="64">
        <v>39491959.25</v>
      </c>
      <c r="D5" s="65">
        <v>22560845.22</v>
      </c>
      <c r="E5" s="65">
        <v>11385655.74</v>
      </c>
      <c r="F5" s="65">
        <v>33946500.96</v>
      </c>
      <c r="G5" s="66">
        <f t="shared" si="0"/>
        <v>5545458.29</v>
      </c>
      <c r="H5" s="67"/>
      <c r="I5" s="67" t="s">
        <v>21</v>
      </c>
      <c r="J5" s="67">
        <v>31143578.8623853</v>
      </c>
      <c r="K5" s="67">
        <v>48912059.6215596</v>
      </c>
      <c r="L5" s="67">
        <f t="shared" si="1"/>
        <v>17768480.7591743</v>
      </c>
      <c r="M5" s="51">
        <f t="shared" si="2"/>
        <v>5087576.41284404</v>
      </c>
    </row>
    <row r="6" s="53" customFormat="1" ht="20" customHeight="1" spans="1:13">
      <c r="A6" s="55">
        <v>8</v>
      </c>
      <c r="B6" s="68" t="s">
        <v>112</v>
      </c>
      <c r="C6" s="64">
        <v>4381614.6</v>
      </c>
      <c r="D6" s="65">
        <v>2546586</v>
      </c>
      <c r="E6" s="65">
        <v>0</v>
      </c>
      <c r="F6" s="65">
        <v>2546586</v>
      </c>
      <c r="G6" s="66">
        <f t="shared" si="0"/>
        <v>1835028.6</v>
      </c>
      <c r="H6" s="65"/>
      <c r="I6" s="67" t="s">
        <v>21</v>
      </c>
      <c r="J6" s="67">
        <v>2336317.43119266</v>
      </c>
      <c r="K6" s="67">
        <v>4421812.89908257</v>
      </c>
      <c r="L6" s="67">
        <f t="shared" si="1"/>
        <v>2085495.46788991</v>
      </c>
      <c r="M6" s="51">
        <f t="shared" si="2"/>
        <v>1683512.47706422</v>
      </c>
    </row>
    <row r="7" s="51" customFormat="1" ht="20" customHeight="1" spans="1:13">
      <c r="A7" s="55">
        <v>11</v>
      </c>
      <c r="B7" s="63" t="s">
        <v>113</v>
      </c>
      <c r="C7" s="64">
        <v>4200000</v>
      </c>
      <c r="D7" s="65">
        <v>1348717</v>
      </c>
      <c r="E7" s="65">
        <v>0</v>
      </c>
      <c r="F7" s="65">
        <v>1348717</v>
      </c>
      <c r="G7" s="66">
        <f t="shared" si="0"/>
        <v>2851283</v>
      </c>
      <c r="H7" s="67"/>
      <c r="I7" s="67" t="s">
        <v>21</v>
      </c>
      <c r="J7" s="67">
        <v>1237355.04587156</v>
      </c>
      <c r="K7" s="67">
        <v>5009174.31192661</v>
      </c>
      <c r="L7" s="67">
        <f t="shared" si="1"/>
        <v>3771819.26605505</v>
      </c>
      <c r="M7" s="51">
        <f t="shared" si="2"/>
        <v>2615855.96330275</v>
      </c>
    </row>
    <row r="8" s="51" customFormat="1" ht="20" customHeight="1" spans="1:13">
      <c r="A8" s="55">
        <v>12</v>
      </c>
      <c r="B8" s="63" t="s">
        <v>114</v>
      </c>
      <c r="C8" s="64">
        <v>3070000</v>
      </c>
      <c r="D8" s="65">
        <v>1289400</v>
      </c>
      <c r="E8" s="65">
        <v>923958</v>
      </c>
      <c r="F8" s="65">
        <v>2213358</v>
      </c>
      <c r="G8" s="66">
        <f t="shared" si="0"/>
        <v>856642</v>
      </c>
      <c r="H8" s="67"/>
      <c r="I8" s="67" t="s">
        <v>21</v>
      </c>
      <c r="J8" s="67">
        <v>2030603.66972477</v>
      </c>
      <c r="K8" s="67">
        <v>3379816.51376147</v>
      </c>
      <c r="L8" s="67">
        <f t="shared" si="1"/>
        <v>1349212.8440367</v>
      </c>
      <c r="M8" s="51">
        <f t="shared" si="2"/>
        <v>785910.091743119</v>
      </c>
    </row>
    <row r="9" s="51" customFormat="1" ht="20" customHeight="1" spans="1:13">
      <c r="A9" s="55">
        <v>13</v>
      </c>
      <c r="B9" s="63" t="s">
        <v>115</v>
      </c>
      <c r="C9" s="64">
        <v>2721306</v>
      </c>
      <c r="D9" s="65">
        <v>1551144.8</v>
      </c>
      <c r="E9" s="65">
        <v>0</v>
      </c>
      <c r="F9" s="65">
        <v>1551144.8</v>
      </c>
      <c r="G9" s="66">
        <f t="shared" si="0"/>
        <v>1170161.2</v>
      </c>
      <c r="H9" s="67"/>
      <c r="I9" s="67" t="s">
        <v>21</v>
      </c>
      <c r="J9" s="67">
        <v>1423068.62385321</v>
      </c>
      <c r="K9" s="67">
        <v>2995933.21100917</v>
      </c>
      <c r="L9" s="67">
        <f t="shared" si="1"/>
        <v>1572864.58715596</v>
      </c>
      <c r="M9" s="51">
        <f t="shared" si="2"/>
        <v>1073542.3853211</v>
      </c>
    </row>
    <row r="10" s="51" customFormat="1" ht="20" customHeight="1" spans="1:13">
      <c r="A10" s="55">
        <v>14</v>
      </c>
      <c r="B10" s="63" t="s">
        <v>116</v>
      </c>
      <c r="C10" s="64">
        <v>2913200</v>
      </c>
      <c r="D10" s="65">
        <v>1736740</v>
      </c>
      <c r="E10" s="65">
        <v>0</v>
      </c>
      <c r="F10" s="65">
        <v>1736740</v>
      </c>
      <c r="G10" s="66">
        <f t="shared" si="0"/>
        <v>1176460</v>
      </c>
      <c r="H10" s="67"/>
      <c r="I10" s="67" t="s">
        <v>21</v>
      </c>
      <c r="J10" s="67">
        <v>1593339.44954128</v>
      </c>
      <c r="K10" s="67">
        <v>3207192.66055046</v>
      </c>
      <c r="L10" s="67">
        <f t="shared" si="1"/>
        <v>1613853.21100918</v>
      </c>
      <c r="M10" s="51">
        <f t="shared" si="2"/>
        <v>1079321.10091743</v>
      </c>
    </row>
    <row r="11" s="51" customFormat="1" ht="20" customHeight="1" spans="1:13">
      <c r="A11" s="55">
        <v>18</v>
      </c>
      <c r="B11" s="63" t="s">
        <v>117</v>
      </c>
      <c r="C11" s="64">
        <v>1039172.5</v>
      </c>
      <c r="D11" s="65">
        <v>675461.25</v>
      </c>
      <c r="E11" s="65">
        <v>0</v>
      </c>
      <c r="F11" s="65">
        <v>675461.25</v>
      </c>
      <c r="G11" s="66">
        <f t="shared" si="0"/>
        <v>363711.25</v>
      </c>
      <c r="H11" s="67"/>
      <c r="I11" s="67" t="s">
        <v>21</v>
      </c>
      <c r="J11" s="67">
        <v>619689.220183486</v>
      </c>
      <c r="K11" s="67">
        <v>1144043.11926606</v>
      </c>
      <c r="L11" s="67">
        <f t="shared" si="1"/>
        <v>524353.899082574</v>
      </c>
      <c r="M11" s="51">
        <f t="shared" si="2"/>
        <v>333680.04587156</v>
      </c>
    </row>
    <row r="12" s="51" customFormat="1" ht="20" customHeight="1" spans="1:13">
      <c r="A12" s="55">
        <v>22</v>
      </c>
      <c r="B12" s="69" t="s">
        <v>118</v>
      </c>
      <c r="C12" s="64">
        <v>350000</v>
      </c>
      <c r="D12" s="65">
        <v>175000</v>
      </c>
      <c r="E12" s="65"/>
      <c r="F12" s="65">
        <v>175000</v>
      </c>
      <c r="G12" s="66">
        <f t="shared" si="0"/>
        <v>175000</v>
      </c>
      <c r="H12" s="67"/>
      <c r="I12" s="67" t="s">
        <v>21</v>
      </c>
      <c r="J12" s="67">
        <v>160550.458715596</v>
      </c>
      <c r="K12" s="67">
        <v>353211.009174312</v>
      </c>
      <c r="L12" s="67">
        <f t="shared" si="1"/>
        <v>192660.550458716</v>
      </c>
      <c r="M12" s="51">
        <f t="shared" si="2"/>
        <v>160550.458715596</v>
      </c>
    </row>
    <row r="13" s="51" customFormat="1" ht="20" customHeight="1" spans="1:13">
      <c r="A13" s="55">
        <v>23</v>
      </c>
      <c r="B13" s="116" t="s">
        <v>119</v>
      </c>
      <c r="C13" s="64">
        <v>6660000</v>
      </c>
      <c r="D13" s="65">
        <v>3307780</v>
      </c>
      <c r="E13" s="65">
        <v>0</v>
      </c>
      <c r="F13" s="65">
        <v>3307780</v>
      </c>
      <c r="G13" s="66">
        <f t="shared" si="0"/>
        <v>3352220</v>
      </c>
      <c r="H13" s="67"/>
      <c r="I13" s="67" t="s">
        <v>21</v>
      </c>
      <c r="J13" s="67">
        <v>3034660.55045872</v>
      </c>
      <c r="K13" s="67">
        <v>7332110.09174312</v>
      </c>
      <c r="L13" s="67">
        <f t="shared" si="1"/>
        <v>4297449.5412844</v>
      </c>
      <c r="M13" s="51">
        <f t="shared" si="2"/>
        <v>3075431.19266055</v>
      </c>
    </row>
    <row r="14" s="51" customFormat="1" ht="20" customHeight="1" spans="1:13">
      <c r="A14" s="55">
        <v>28</v>
      </c>
      <c r="B14" s="69" t="s">
        <v>120</v>
      </c>
      <c r="C14" s="64">
        <v>1400000</v>
      </c>
      <c r="D14" s="65">
        <v>699999.79</v>
      </c>
      <c r="E14" s="65">
        <v>0</v>
      </c>
      <c r="F14" s="65">
        <v>699999.79</v>
      </c>
      <c r="G14" s="66">
        <f t="shared" si="0"/>
        <v>700000.21</v>
      </c>
      <c r="H14" s="67"/>
      <c r="I14" s="67" t="s">
        <v>21</v>
      </c>
      <c r="J14" s="67">
        <v>642201.642201835</v>
      </c>
      <c r="K14" s="67">
        <v>1541284.40366972</v>
      </c>
      <c r="L14" s="67">
        <f t="shared" si="1"/>
        <v>899082.761467885</v>
      </c>
      <c r="M14" s="51">
        <f t="shared" si="2"/>
        <v>642202.027522936</v>
      </c>
    </row>
    <row r="15" s="51" customFormat="1" ht="20" customHeight="1" spans="1:13">
      <c r="A15" s="55">
        <v>29</v>
      </c>
      <c r="B15" s="69" t="s">
        <v>121</v>
      </c>
      <c r="C15" s="64">
        <v>5500000</v>
      </c>
      <c r="D15" s="65">
        <v>2991935</v>
      </c>
      <c r="E15" s="65">
        <v>495946</v>
      </c>
      <c r="F15" s="65">
        <v>3487881</v>
      </c>
      <c r="G15" s="66">
        <f t="shared" si="0"/>
        <v>2012119</v>
      </c>
      <c r="H15" s="67"/>
      <c r="I15" s="67" t="s">
        <v>21</v>
      </c>
      <c r="J15" s="67">
        <v>3199890.82568807</v>
      </c>
      <c r="K15" s="67">
        <v>6055045.87155963</v>
      </c>
      <c r="L15" s="67">
        <f t="shared" si="1"/>
        <v>2855155.04587156</v>
      </c>
      <c r="M15" s="51">
        <f t="shared" si="2"/>
        <v>1845980.73394495</v>
      </c>
    </row>
    <row r="16" s="51" customFormat="1" ht="20" customHeight="1" spans="1:13">
      <c r="A16" s="55">
        <v>31</v>
      </c>
      <c r="B16" s="69" t="s">
        <v>122</v>
      </c>
      <c r="C16" s="64">
        <v>2150000</v>
      </c>
      <c r="D16" s="65">
        <v>1179722</v>
      </c>
      <c r="E16" s="65">
        <v>449110</v>
      </c>
      <c r="F16" s="65">
        <v>1628832</v>
      </c>
      <c r="G16" s="66">
        <f t="shared" si="0"/>
        <v>521168</v>
      </c>
      <c r="H16" s="67"/>
      <c r="I16" s="67" t="s">
        <v>21</v>
      </c>
      <c r="J16" s="67">
        <v>1494341.28440367</v>
      </c>
      <c r="K16" s="67">
        <v>2366972.47706422</v>
      </c>
      <c r="L16" s="67">
        <f t="shared" si="1"/>
        <v>872631.19266055</v>
      </c>
      <c r="M16" s="51">
        <f t="shared" si="2"/>
        <v>478135.779816514</v>
      </c>
    </row>
    <row r="17" s="51" customFormat="1" ht="20" customHeight="1" spans="1:13">
      <c r="A17" s="55">
        <v>33</v>
      </c>
      <c r="B17" s="69" t="s">
        <v>123</v>
      </c>
      <c r="C17" s="64">
        <v>1667613</v>
      </c>
      <c r="D17" s="65">
        <v>1149200</v>
      </c>
      <c r="E17" s="65">
        <v>0</v>
      </c>
      <c r="F17" s="65">
        <v>1149200</v>
      </c>
      <c r="G17" s="66">
        <f t="shared" si="0"/>
        <v>518413</v>
      </c>
      <c r="H17" s="67"/>
      <c r="I17" s="67" t="s">
        <v>21</v>
      </c>
      <c r="J17" s="67">
        <v>1054311.9266055</v>
      </c>
      <c r="K17" s="67">
        <v>1835904.22018349</v>
      </c>
      <c r="L17" s="67">
        <f t="shared" si="1"/>
        <v>781592.29357799</v>
      </c>
      <c r="M17" s="51">
        <f t="shared" si="2"/>
        <v>475608.256880734</v>
      </c>
    </row>
    <row r="18" s="51" customFormat="1" ht="20" customHeight="1" spans="1:13">
      <c r="A18" s="55">
        <v>35</v>
      </c>
      <c r="B18" s="69" t="s">
        <v>124</v>
      </c>
      <c r="C18" s="64">
        <v>2335877</v>
      </c>
      <c r="D18" s="65">
        <v>1245992</v>
      </c>
      <c r="E18" s="65">
        <v>0</v>
      </c>
      <c r="F18" s="65">
        <v>1245992</v>
      </c>
      <c r="G18" s="66">
        <f t="shared" si="0"/>
        <v>1089885</v>
      </c>
      <c r="H18" s="67"/>
      <c r="I18" s="67" t="s">
        <v>21</v>
      </c>
      <c r="J18" s="67">
        <v>1143111.9266055</v>
      </c>
      <c r="K18" s="67">
        <v>2571607.70642202</v>
      </c>
      <c r="L18" s="67">
        <f t="shared" si="1"/>
        <v>1428495.77981652</v>
      </c>
      <c r="M18" s="51">
        <f t="shared" si="2"/>
        <v>999894.495412844</v>
      </c>
    </row>
    <row r="19" s="51" customFormat="1" ht="20" customHeight="1" spans="1:13">
      <c r="A19" s="55">
        <v>36</v>
      </c>
      <c r="B19" s="69" t="s">
        <v>125</v>
      </c>
      <c r="C19" s="64">
        <v>2364289</v>
      </c>
      <c r="D19" s="65">
        <v>1342442</v>
      </c>
      <c r="E19" s="65">
        <v>709287</v>
      </c>
      <c r="F19" s="65">
        <v>2051729</v>
      </c>
      <c r="G19" s="66">
        <f t="shared" si="0"/>
        <v>312560</v>
      </c>
      <c r="H19" s="67"/>
      <c r="I19" s="67" t="s">
        <v>21</v>
      </c>
      <c r="J19" s="67">
        <v>1882320.18348624</v>
      </c>
      <c r="K19" s="67">
        <v>2602886.97247706</v>
      </c>
      <c r="L19" s="67">
        <f t="shared" si="1"/>
        <v>720566.78899082</v>
      </c>
      <c r="M19" s="51">
        <f t="shared" si="2"/>
        <v>286752.293577982</v>
      </c>
    </row>
    <row r="20" s="51" customFormat="1" ht="20" customHeight="1" spans="1:13">
      <c r="A20" s="55">
        <v>37</v>
      </c>
      <c r="B20" s="116" t="s">
        <v>126</v>
      </c>
      <c r="C20" s="64">
        <v>3738000</v>
      </c>
      <c r="D20" s="65">
        <v>3551100</v>
      </c>
      <c r="E20" s="65">
        <v>0</v>
      </c>
      <c r="F20" s="65">
        <v>3551100</v>
      </c>
      <c r="G20" s="66">
        <f t="shared" si="0"/>
        <v>186900</v>
      </c>
      <c r="H20" s="67"/>
      <c r="I20" s="67" t="s">
        <v>21</v>
      </c>
      <c r="J20" s="67">
        <v>3257889.90825688</v>
      </c>
      <c r="K20" s="67">
        <v>4115229.35779816</v>
      </c>
      <c r="L20" s="67">
        <f t="shared" si="1"/>
        <v>857339.44954128</v>
      </c>
      <c r="M20" s="51">
        <f t="shared" si="2"/>
        <v>171467.889908257</v>
      </c>
    </row>
    <row r="21" s="51" customFormat="1" ht="20" customHeight="1" spans="1:13">
      <c r="A21" s="55"/>
      <c r="B21" s="67"/>
      <c r="C21" s="65"/>
      <c r="D21" s="65"/>
      <c r="E21" s="65"/>
      <c r="F21" s="65"/>
      <c r="G21" s="66"/>
      <c r="H21" s="67"/>
      <c r="I21" s="67"/>
      <c r="J21" s="67"/>
      <c r="K21" s="67"/>
      <c r="L21" s="62">
        <f>SUM(L3:L20)</f>
        <v>74468409.1490825</v>
      </c>
      <c r="M21" s="51" t="s">
        <v>127</v>
      </c>
    </row>
    <row r="22" customHeight="1" spans="3:7">
      <c r="C22" s="54">
        <f>139205198.85*1.05</f>
        <v>146165458.7925</v>
      </c>
      <c r="F22" s="54">
        <v>99644880.2</v>
      </c>
      <c r="G22" s="54">
        <f>(C22-F22)/1.09</f>
        <v>42679429.9013761</v>
      </c>
    </row>
    <row r="24" customHeight="1" spans="2:12">
      <c r="B24" s="70" t="s">
        <v>128</v>
      </c>
      <c r="C24" s="70"/>
      <c r="D24" s="70"/>
      <c r="E24" s="70"/>
      <c r="F24" s="70"/>
      <c r="G24" s="70"/>
      <c r="H24" s="70"/>
      <c r="I24" s="70"/>
      <c r="J24" s="70"/>
      <c r="K24" s="70"/>
      <c r="L24" s="70"/>
    </row>
    <row r="25" ht="69" customHeight="1" spans="2:12"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</row>
  </sheetData>
  <mergeCells count="1">
    <mergeCell ref="B24:L25"/>
  </mergeCells>
  <hyperlinks>
    <hyperlink ref="B4" location="杜奇志项目!A1" display="画堂春锦苑17、18#楼商业展示区园林景观工程（杜奇志）"/>
    <hyperlink ref="B5" location="高建立项目!A1" display="画堂春锦苑9、11、13#楼及地下车库工程建设工程"/>
    <hyperlink ref="B6" location="'画堂春锦苑17#、18#楼外墙装饰工程（刘品全）'!A1" display="画堂春锦苑17#、18#楼外墙装饰工程（刘品全）"/>
    <hyperlink ref="B3" location="杜奇志项目!A1" display="画堂春锦苑10、12、14、15、17、18#建设工程"/>
    <hyperlink ref="B7" location="画堂春锦苑项目一期、二期消防!A1" display="画堂春锦苑一期消防工程（建邦消防 巩红卫）"/>
    <hyperlink ref="B8" location="'郑长银 坚乐美'!A1" display="画堂春锦苑13、14、15、17、18#楼铝合金门窗制作安装工程"/>
    <hyperlink ref="B9" location="'郑长银 坚乐美'!A1" display="画堂春锦苑9#10#11#12#楼铝合金门窗制作安装工程"/>
    <hyperlink ref="B10" location="'新疆华汇 电梯'!A1" display="画堂春锦9-12#楼、13、14、17#商业楼电梯供货及安装工程"/>
    <hyperlink ref="B11" location="'画堂一期防火门、防盗门 永绍防火门'!A1" display="画堂春锦苑一期9#-12#、13#-15#17#18#、非人防车库 防火门、防盗门供货及安装（施 ）"/>
    <hyperlink ref="B12" location="画堂春锦苑展示区水景改造工程!A1" display="画堂春锦苑展示区水景改造工程!A1"/>
    <hyperlink ref="B13" location="'画堂春锦苑一期变配电（正式用电）工程'!A1" display="画堂春锦苑一期变配电（正式用电）工程'!A1"/>
    <hyperlink ref="B14" location="杜奇志项目!A1" display="画堂春锦一期（9#-12#住宅楼13#-15#17#18#商业楼）室外管网（杜奇志）"/>
    <hyperlink ref="B15" location="杜奇志项目!A1" display="画堂春锦一期园林景观（杜奇志）"/>
    <hyperlink ref="B16" location="画堂春锦苑小区一期公共部位及门斗内装修工程!A1" display="画堂春锦苑小区一期公共部位及门斗内装修工程!A1"/>
    <hyperlink ref="B17" location="'画堂春锦苑一期直梯、门斗、雨棚、连廊 外饰面装修 铝板'!A1" display="画堂春锦苑一期直梯、门斗、雨棚、连廊 外饰面装修 铝板（江通海）"/>
    <hyperlink ref="B20" location="'画堂春锦苑项目一期机械车位设备采购与安装（大洋泊车）'!A1" display="画堂春锦苑项目一期机械车位设备采购与安装（大洋泊车）'!A1"/>
    <hyperlink ref="B19" location="倪大伟项目!A1" display="画堂春锦苑项目一期14#楼外墙装修工程（倪大伟）"/>
    <hyperlink ref="B18" location="画堂春锦苑小区一期公共部位及门斗内装修工程!A1" display="画堂春锦苑项目一期13#15#楼外墙装修工程（金克）"/>
  </hyperlink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7"/>
  <sheetViews>
    <sheetView tabSelected="1" topLeftCell="A21" workbookViewId="0">
      <selection activeCell="J32" sqref="J32"/>
    </sheetView>
  </sheetViews>
  <sheetFormatPr defaultColWidth="9" defaultRowHeight="18" customHeight="1"/>
  <cols>
    <col min="1" max="1" width="9.25" style="27" customWidth="1"/>
    <col min="2" max="2" width="25.375" style="27" customWidth="1"/>
    <col min="3" max="3" width="20.5" style="28" customWidth="1"/>
    <col min="4" max="4" width="10.375" style="28" customWidth="1"/>
    <col min="5" max="5" width="9" style="27"/>
    <col min="6" max="6" width="17.5" style="27" customWidth="1"/>
    <col min="7" max="7" width="9" style="27"/>
    <col min="8" max="8" width="19.125" style="28"/>
    <col min="9" max="9" width="23.125" style="27" customWidth="1"/>
    <col min="10" max="10" width="26.875" style="27" customWidth="1"/>
    <col min="11" max="16384" width="9" style="27"/>
  </cols>
  <sheetData>
    <row r="1" customHeight="1" spans="1:8">
      <c r="A1" s="29" t="s">
        <v>129</v>
      </c>
      <c r="B1" s="29"/>
      <c r="C1" s="30"/>
      <c r="D1" s="29"/>
      <c r="E1" s="29"/>
      <c r="F1" s="29"/>
      <c r="G1" s="29"/>
      <c r="H1" s="30"/>
    </row>
    <row r="2" s="26" customFormat="1" customHeight="1" spans="1:8">
      <c r="A2" s="31" t="s">
        <v>130</v>
      </c>
      <c r="B2" s="29"/>
      <c r="C2" s="30" t="s">
        <v>131</v>
      </c>
      <c r="D2" s="32"/>
      <c r="E2" s="29"/>
      <c r="F2" s="29"/>
      <c r="G2" s="29"/>
      <c r="H2" s="30" t="s">
        <v>131</v>
      </c>
    </row>
    <row r="3" customHeight="1" spans="1:8">
      <c r="A3" s="33"/>
      <c r="B3" s="34" t="s">
        <v>132</v>
      </c>
      <c r="C3" s="35">
        <v>298052377.98</v>
      </c>
      <c r="D3" s="36"/>
      <c r="E3" s="31" t="s">
        <v>133</v>
      </c>
      <c r="F3" s="34" t="s">
        <v>134</v>
      </c>
      <c r="G3" s="34"/>
      <c r="H3" s="35">
        <f>239299308.98-101177820.46</f>
        <v>138121488.52</v>
      </c>
    </row>
    <row r="4" customHeight="1" spans="1:8">
      <c r="A4" s="33"/>
      <c r="B4" s="34" t="s">
        <v>135</v>
      </c>
      <c r="C4" s="35">
        <v>1660622.02</v>
      </c>
      <c r="D4" s="36"/>
      <c r="E4" s="33"/>
      <c r="F4" s="34" t="s">
        <v>136</v>
      </c>
      <c r="G4" s="34"/>
      <c r="H4" s="35">
        <v>5706802.87</v>
      </c>
    </row>
    <row r="5" customHeight="1" spans="1:8">
      <c r="A5" s="33"/>
      <c r="B5" s="34" t="s">
        <v>137</v>
      </c>
      <c r="C5" s="35">
        <v>1490348.63</v>
      </c>
      <c r="D5" s="36"/>
      <c r="E5" s="33"/>
      <c r="F5" s="34" t="s">
        <v>138</v>
      </c>
      <c r="G5" s="34"/>
      <c r="H5" s="35">
        <v>6286897.96</v>
      </c>
    </row>
    <row r="6" customHeight="1" spans="1:8">
      <c r="A6" s="33"/>
      <c r="B6" s="34" t="s">
        <v>139</v>
      </c>
      <c r="C6" s="35">
        <v>44567.51</v>
      </c>
      <c r="D6" s="36"/>
      <c r="E6" s="33"/>
      <c r="F6" s="34" t="s">
        <v>140</v>
      </c>
      <c r="G6" s="34"/>
      <c r="H6" s="35">
        <v>2363673.32</v>
      </c>
    </row>
    <row r="7" customHeight="1" spans="1:8">
      <c r="A7" s="33"/>
      <c r="B7" s="34" t="s">
        <v>141</v>
      </c>
      <c r="C7" s="35">
        <v>-22530902.5688073</v>
      </c>
      <c r="D7" s="36"/>
      <c r="E7" s="33"/>
      <c r="F7" s="34" t="s">
        <v>142</v>
      </c>
      <c r="G7" s="34"/>
      <c r="H7" s="35">
        <v>216159.18</v>
      </c>
    </row>
    <row r="8" customHeight="1" spans="1:8">
      <c r="A8" s="33"/>
      <c r="B8" s="34" t="s">
        <v>143</v>
      </c>
      <c r="C8" s="35">
        <v>16630650.8256881</v>
      </c>
      <c r="D8" s="36"/>
      <c r="E8" s="33"/>
      <c r="F8" s="34" t="s">
        <v>144</v>
      </c>
      <c r="G8" s="34"/>
      <c r="H8" s="35">
        <v>270000</v>
      </c>
    </row>
    <row r="9" customHeight="1" spans="1:8">
      <c r="A9" s="33"/>
      <c r="B9" s="34"/>
      <c r="C9" s="35"/>
      <c r="D9" s="36"/>
      <c r="E9" s="33"/>
      <c r="F9" s="34"/>
      <c r="G9" s="34"/>
      <c r="H9" s="35"/>
    </row>
    <row r="10" customHeight="1" spans="1:8">
      <c r="A10" s="33"/>
      <c r="B10" s="34"/>
      <c r="C10" s="35"/>
      <c r="D10" s="36"/>
      <c r="E10" s="33"/>
      <c r="F10" s="34" t="s">
        <v>145</v>
      </c>
      <c r="G10" s="34"/>
      <c r="H10" s="35">
        <v>101177820.46</v>
      </c>
    </row>
    <row r="11" customHeight="1" spans="1:8">
      <c r="A11" s="37"/>
      <c r="B11" s="34" t="s">
        <v>104</v>
      </c>
      <c r="C11" s="35">
        <f>SUM(C3:C10)</f>
        <v>295347664.396881</v>
      </c>
      <c r="D11" s="36"/>
      <c r="E11" s="37"/>
      <c r="F11" s="34" t="s">
        <v>104</v>
      </c>
      <c r="G11" s="34"/>
      <c r="H11" s="35">
        <f>SUM(H3:H10)</f>
        <v>254142842.31</v>
      </c>
    </row>
    <row r="12" customHeight="1" spans="1:8">
      <c r="A12" s="34"/>
      <c r="B12" s="34"/>
      <c r="C12" s="35"/>
      <c r="D12" s="36"/>
      <c r="E12" s="34"/>
      <c r="F12" s="34" t="s">
        <v>146</v>
      </c>
      <c r="G12" s="34"/>
      <c r="H12" s="35">
        <f>C11-H11</f>
        <v>41204822.0868808</v>
      </c>
    </row>
    <row r="13" customHeight="1" spans="1:8">
      <c r="A13" s="34"/>
      <c r="B13" s="34"/>
      <c r="C13" s="35"/>
      <c r="D13" s="36"/>
      <c r="E13" s="34"/>
      <c r="F13" s="38" t="s">
        <v>147</v>
      </c>
      <c r="G13" s="38"/>
      <c r="H13" s="39">
        <f>H12*0.25</f>
        <v>10301205.5217202</v>
      </c>
    </row>
    <row r="14" customHeight="1" spans="1:8">
      <c r="A14" s="34"/>
      <c r="B14" s="34"/>
      <c r="C14" s="35"/>
      <c r="D14" s="36"/>
      <c r="E14" s="34"/>
      <c r="F14" s="34"/>
      <c r="G14" s="34"/>
      <c r="H14" s="35"/>
    </row>
    <row r="15" customHeight="1" spans="1:8">
      <c r="A15" s="34"/>
      <c r="B15" s="34"/>
      <c r="C15" s="35"/>
      <c r="D15" s="40"/>
      <c r="E15" s="34"/>
      <c r="F15" s="38" t="s">
        <v>148</v>
      </c>
      <c r="G15" s="38"/>
      <c r="H15" s="39">
        <f>10352412.23-51206.7</f>
        <v>10301205.53</v>
      </c>
    </row>
    <row r="17" customHeight="1" spans="1:8">
      <c r="A17" s="29" t="s">
        <v>149</v>
      </c>
      <c r="B17" s="29"/>
      <c r="C17" s="30"/>
      <c r="D17" s="29"/>
      <c r="E17" s="29"/>
      <c r="F17" s="29"/>
      <c r="G17" s="29"/>
      <c r="H17" s="30"/>
    </row>
    <row r="18" s="26" customFormat="1" customHeight="1" spans="1:8">
      <c r="A18" s="31" t="s">
        <v>130</v>
      </c>
      <c r="B18" s="29"/>
      <c r="C18" s="30" t="s">
        <v>131</v>
      </c>
      <c r="D18" s="41"/>
      <c r="E18" s="29"/>
      <c r="F18" s="29"/>
      <c r="G18" s="29"/>
      <c r="H18" s="30" t="s">
        <v>131</v>
      </c>
    </row>
    <row r="19" customHeight="1" spans="1:8">
      <c r="A19" s="33"/>
      <c r="B19" s="34" t="s">
        <v>132</v>
      </c>
      <c r="C19" s="35">
        <v>298052377.98</v>
      </c>
      <c r="D19" s="42"/>
      <c r="E19" s="31" t="s">
        <v>133</v>
      </c>
      <c r="F19" s="34" t="s">
        <v>134</v>
      </c>
      <c r="G19" s="34"/>
      <c r="H19" s="35">
        <f>239299308.98-101177820.46</f>
        <v>138121488.52</v>
      </c>
    </row>
    <row r="20" customHeight="1" spans="1:8">
      <c r="A20" s="33"/>
      <c r="B20" s="34" t="s">
        <v>135</v>
      </c>
      <c r="C20" s="35">
        <v>1660622.02</v>
      </c>
      <c r="D20" s="42"/>
      <c r="E20" s="33"/>
      <c r="F20" s="34" t="s">
        <v>136</v>
      </c>
      <c r="G20" s="34"/>
      <c r="H20" s="35">
        <v>5706802.87</v>
      </c>
    </row>
    <row r="21" customHeight="1" spans="1:8">
      <c r="A21" s="33"/>
      <c r="B21" s="34" t="s">
        <v>137</v>
      </c>
      <c r="C21" s="35">
        <v>1490348.63</v>
      </c>
      <c r="D21" s="42"/>
      <c r="E21" s="33"/>
      <c r="F21" s="34" t="s">
        <v>138</v>
      </c>
      <c r="G21" s="34"/>
      <c r="H21" s="35">
        <v>6286897.96</v>
      </c>
    </row>
    <row r="22" customHeight="1" spans="1:8">
      <c r="A22" s="33"/>
      <c r="B22" s="34" t="s">
        <v>139</v>
      </c>
      <c r="C22" s="35">
        <v>44567.51</v>
      </c>
      <c r="D22" s="42"/>
      <c r="E22" s="33"/>
      <c r="F22" s="34" t="s">
        <v>140</v>
      </c>
      <c r="G22" s="34"/>
      <c r="H22" s="35">
        <v>2363673.32</v>
      </c>
    </row>
    <row r="23" customHeight="1" spans="1:8">
      <c r="A23" s="33"/>
      <c r="B23" s="34" t="s">
        <v>141</v>
      </c>
      <c r="C23" s="35">
        <v>-22530902.5688073</v>
      </c>
      <c r="D23" s="42"/>
      <c r="E23" s="33"/>
      <c r="F23" s="34" t="s">
        <v>142</v>
      </c>
      <c r="G23" s="34"/>
      <c r="H23" s="35">
        <v>216159.18</v>
      </c>
    </row>
    <row r="24" customHeight="1" spans="1:8">
      <c r="A24" s="33"/>
      <c r="B24" s="34" t="s">
        <v>143</v>
      </c>
      <c r="C24" s="35">
        <v>16630650.8256881</v>
      </c>
      <c r="D24" s="42"/>
      <c r="E24" s="33"/>
      <c r="F24" s="34" t="s">
        <v>144</v>
      </c>
      <c r="G24" s="34"/>
      <c r="H24" s="35">
        <v>270000</v>
      </c>
    </row>
    <row r="25" customHeight="1" spans="1:8">
      <c r="A25" s="33"/>
      <c r="B25" s="34"/>
      <c r="C25" s="35"/>
      <c r="D25" s="42"/>
      <c r="E25" s="33"/>
      <c r="F25" s="34"/>
      <c r="G25" s="34"/>
      <c r="H25" s="35"/>
    </row>
    <row r="26" customHeight="1" spans="1:8">
      <c r="A26" s="37"/>
      <c r="B26" s="34" t="s">
        <v>104</v>
      </c>
      <c r="C26" s="35">
        <f>SUM(C19:C25)</f>
        <v>295347664.396881</v>
      </c>
      <c r="D26" s="42"/>
      <c r="E26" s="37"/>
      <c r="F26" s="34" t="s">
        <v>104</v>
      </c>
      <c r="G26" s="34"/>
      <c r="H26" s="35">
        <f>SUM(H19:H25)</f>
        <v>152965021.85</v>
      </c>
    </row>
    <row r="27" customHeight="1" spans="1:8">
      <c r="A27" s="34"/>
      <c r="B27" s="34"/>
      <c r="C27" s="35"/>
      <c r="D27" s="42"/>
      <c r="E27" s="34"/>
      <c r="F27" s="34" t="s">
        <v>146</v>
      </c>
      <c r="G27" s="34"/>
      <c r="H27" s="35">
        <f>C26-H26</f>
        <v>142382642.546881</v>
      </c>
    </row>
    <row r="28" customHeight="1" spans="1:8">
      <c r="A28" s="34"/>
      <c r="B28" s="34"/>
      <c r="C28" s="35"/>
      <c r="D28" s="42"/>
      <c r="E28" s="34"/>
      <c r="F28" s="38" t="s">
        <v>147</v>
      </c>
      <c r="G28" s="38"/>
      <c r="H28" s="39">
        <f>H27*0.25</f>
        <v>35595660.6367202</v>
      </c>
    </row>
    <row r="29" customHeight="1" spans="1:8">
      <c r="A29" s="34"/>
      <c r="B29" s="34"/>
      <c r="C29" s="35"/>
      <c r="D29" s="42"/>
      <c r="E29" s="34"/>
      <c r="F29" s="34"/>
      <c r="G29" s="34"/>
      <c r="H29" s="35"/>
    </row>
    <row r="30" customHeight="1" spans="1:8">
      <c r="A30" s="34"/>
      <c r="B30" s="34"/>
      <c r="C30" s="35"/>
      <c r="D30" s="43"/>
      <c r="E30" s="34"/>
      <c r="F30" s="38" t="s">
        <v>148</v>
      </c>
      <c r="G30" s="38"/>
      <c r="H30" s="39">
        <f>10352412.23-51206.7</f>
        <v>10301205.53</v>
      </c>
    </row>
    <row r="31" ht="28" customHeight="1" spans="1:8">
      <c r="A31" s="44" t="s">
        <v>150</v>
      </c>
      <c r="B31" s="45"/>
      <c r="C31" s="45"/>
      <c r="D31" s="45"/>
      <c r="E31" s="45"/>
      <c r="F31" s="46"/>
      <c r="G31" s="47"/>
      <c r="H31" s="48">
        <f>H28-H30</f>
        <v>25294455.1067202</v>
      </c>
    </row>
    <row r="32" customHeight="1" spans="1:8">
      <c r="A32" s="49"/>
      <c r="B32" s="49"/>
      <c r="C32" s="49"/>
      <c r="D32" s="49"/>
      <c r="E32" s="49"/>
      <c r="F32" s="49"/>
      <c r="G32" s="49"/>
      <c r="H32" s="49"/>
    </row>
    <row r="33" customHeight="1" spans="1:8">
      <c r="A33" s="29" t="s">
        <v>151</v>
      </c>
      <c r="B33" s="29"/>
      <c r="C33" s="30"/>
      <c r="D33" s="29"/>
      <c r="E33" s="29"/>
      <c r="F33" s="29"/>
      <c r="G33" s="29"/>
      <c r="H33" s="30"/>
    </row>
    <row r="34" customHeight="1" spans="1:8">
      <c r="A34" s="31" t="s">
        <v>130</v>
      </c>
      <c r="B34" s="29"/>
      <c r="C34" s="30" t="s">
        <v>131</v>
      </c>
      <c r="D34" s="41"/>
      <c r="E34" s="29"/>
      <c r="F34" s="29"/>
      <c r="G34" s="29"/>
      <c r="H34" s="30" t="s">
        <v>131</v>
      </c>
    </row>
    <row r="35" customHeight="1" spans="1:8">
      <c r="A35" s="33"/>
      <c r="B35" s="34" t="s">
        <v>132</v>
      </c>
      <c r="C35" s="35">
        <v>298052377.98</v>
      </c>
      <c r="D35" s="42"/>
      <c r="E35" s="31" t="s">
        <v>133</v>
      </c>
      <c r="F35" s="34" t="s">
        <v>134</v>
      </c>
      <c r="G35" s="34"/>
      <c r="H35" s="35">
        <f>239299308.98-101177820.46</f>
        <v>138121488.52</v>
      </c>
    </row>
    <row r="36" customHeight="1" spans="1:8">
      <c r="A36" s="33"/>
      <c r="B36" s="34" t="s">
        <v>135</v>
      </c>
      <c r="C36" s="35">
        <v>1660622.02</v>
      </c>
      <c r="D36" s="42"/>
      <c r="E36" s="33"/>
      <c r="F36" s="34" t="s">
        <v>136</v>
      </c>
      <c r="G36" s="34"/>
      <c r="H36" s="35">
        <v>5706802.87</v>
      </c>
    </row>
    <row r="37" customHeight="1" spans="1:8">
      <c r="A37" s="33"/>
      <c r="B37" s="34" t="s">
        <v>137</v>
      </c>
      <c r="C37" s="35">
        <v>1490348.63</v>
      </c>
      <c r="D37" s="42"/>
      <c r="E37" s="33"/>
      <c r="F37" s="34" t="s">
        <v>138</v>
      </c>
      <c r="G37" s="34"/>
      <c r="H37" s="35">
        <v>6286897.96</v>
      </c>
    </row>
    <row r="38" customHeight="1" spans="1:8">
      <c r="A38" s="33"/>
      <c r="B38" s="34" t="s">
        <v>139</v>
      </c>
      <c r="C38" s="35">
        <v>44567.51</v>
      </c>
      <c r="D38" s="42"/>
      <c r="E38" s="33"/>
      <c r="F38" s="34" t="s">
        <v>140</v>
      </c>
      <c r="G38" s="34"/>
      <c r="H38" s="35">
        <v>2363673.32</v>
      </c>
    </row>
    <row r="39" customHeight="1" spans="1:8">
      <c r="A39" s="33"/>
      <c r="B39" s="34" t="s">
        <v>141</v>
      </c>
      <c r="C39" s="35">
        <v>-22530902.5688073</v>
      </c>
      <c r="D39" s="42"/>
      <c r="E39" s="33"/>
      <c r="F39" s="34" t="s">
        <v>142</v>
      </c>
      <c r="G39" s="34"/>
      <c r="H39" s="35">
        <v>216159.18</v>
      </c>
    </row>
    <row r="40" customHeight="1" spans="1:8">
      <c r="A40" s="33"/>
      <c r="B40" s="34" t="s">
        <v>143</v>
      </c>
      <c r="C40" s="35">
        <v>16630650.8256881</v>
      </c>
      <c r="D40" s="42"/>
      <c r="E40" s="33"/>
      <c r="F40" s="34" t="s">
        <v>144</v>
      </c>
      <c r="G40" s="34"/>
      <c r="H40" s="35">
        <v>270000</v>
      </c>
    </row>
    <row r="41" ht="33" customHeight="1" spans="1:10">
      <c r="A41" s="33"/>
      <c r="B41" s="34"/>
      <c r="C41" s="35"/>
      <c r="D41" s="42"/>
      <c r="E41" s="33"/>
      <c r="F41" s="34" t="s">
        <v>152</v>
      </c>
      <c r="G41" s="34"/>
      <c r="H41" s="35">
        <f>167749486.41-H35</f>
        <v>29627997.89</v>
      </c>
      <c r="I41" s="50" t="s">
        <v>153</v>
      </c>
      <c r="J41" s="50"/>
    </row>
    <row r="42" customHeight="1" spans="1:8">
      <c r="A42" s="37"/>
      <c r="B42" s="34" t="s">
        <v>104</v>
      </c>
      <c r="C42" s="35">
        <f>SUM(C35:C41)</f>
        <v>295347664.396881</v>
      </c>
      <c r="D42" s="42"/>
      <c r="E42" s="37"/>
      <c r="F42" s="34" t="s">
        <v>104</v>
      </c>
      <c r="G42" s="34"/>
      <c r="H42" s="35">
        <f>SUM(H35:H41)</f>
        <v>182593019.74</v>
      </c>
    </row>
    <row r="43" customHeight="1" spans="1:8">
      <c r="A43" s="34"/>
      <c r="B43" s="34"/>
      <c r="C43" s="35"/>
      <c r="D43" s="42"/>
      <c r="E43" s="34"/>
      <c r="F43" s="34" t="s">
        <v>146</v>
      </c>
      <c r="G43" s="34"/>
      <c r="H43" s="35">
        <f>C42-H42</f>
        <v>112754644.656881</v>
      </c>
    </row>
    <row r="44" customHeight="1" spans="1:8">
      <c r="A44" s="34"/>
      <c r="B44" s="34"/>
      <c r="C44" s="35"/>
      <c r="D44" s="42"/>
      <c r="E44" s="34"/>
      <c r="F44" s="38" t="s">
        <v>147</v>
      </c>
      <c r="G44" s="38"/>
      <c r="H44" s="39">
        <f>H43*0.25</f>
        <v>28188661.1642202</v>
      </c>
    </row>
    <row r="45" customHeight="1" spans="1:8">
      <c r="A45" s="34"/>
      <c r="B45" s="34"/>
      <c r="C45" s="35"/>
      <c r="D45" s="42"/>
      <c r="E45" s="34"/>
      <c r="F45" s="34"/>
      <c r="G45" s="34"/>
      <c r="H45" s="35"/>
    </row>
    <row r="46" customHeight="1" spans="1:8">
      <c r="A46" s="34"/>
      <c r="B46" s="34"/>
      <c r="C46" s="35"/>
      <c r="D46" s="43"/>
      <c r="E46" s="34"/>
      <c r="F46" s="38" t="s">
        <v>148</v>
      </c>
      <c r="G46" s="38"/>
      <c r="H46" s="39">
        <f>10352412.23-51206.7</f>
        <v>10301205.53</v>
      </c>
    </row>
    <row r="47" customHeight="1" spans="1:8">
      <c r="A47" s="44" t="s">
        <v>154</v>
      </c>
      <c r="B47" s="45"/>
      <c r="C47" s="45"/>
      <c r="D47" s="45"/>
      <c r="E47" s="45"/>
      <c r="F47" s="46"/>
      <c r="G47" s="47"/>
      <c r="H47" s="48">
        <f>H44-H46</f>
        <v>17887455.6342202</v>
      </c>
    </row>
  </sheetData>
  <mergeCells count="16">
    <mergeCell ref="A1:H1"/>
    <mergeCell ref="A17:H17"/>
    <mergeCell ref="A31:F31"/>
    <mergeCell ref="A32:H32"/>
    <mergeCell ref="A33:H33"/>
    <mergeCell ref="I41:J41"/>
    <mergeCell ref="A47:F47"/>
    <mergeCell ref="A2:A11"/>
    <mergeCell ref="A18:A26"/>
    <mergeCell ref="A34:A42"/>
    <mergeCell ref="D2:D15"/>
    <mergeCell ref="D18:D30"/>
    <mergeCell ref="D34:D46"/>
    <mergeCell ref="E3:E11"/>
    <mergeCell ref="E19:E26"/>
    <mergeCell ref="E35:E42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T49"/>
  <sheetViews>
    <sheetView zoomScale="90" zoomScaleNormal="90" topLeftCell="C1" workbookViewId="0">
      <selection activeCell="J10" sqref="J10"/>
    </sheetView>
  </sheetViews>
  <sheetFormatPr defaultColWidth="9" defaultRowHeight="29" customHeight="1"/>
  <cols>
    <col min="1" max="1" width="3.5" style="1" customWidth="1"/>
    <col min="2" max="2" width="23.1083333333333" style="1" customWidth="1"/>
    <col min="3" max="3" width="18.3916666666667" style="1" customWidth="1"/>
    <col min="4" max="4" width="25.5583333333333" style="1" customWidth="1"/>
    <col min="5" max="5" width="20.25" style="1" customWidth="1"/>
    <col min="6" max="6" width="20.375" style="1" customWidth="1"/>
    <col min="7" max="7" width="20" style="1" customWidth="1"/>
    <col min="8" max="8" width="19.375" style="3" customWidth="1"/>
    <col min="9" max="9" width="19.4416666666667" style="3" customWidth="1"/>
    <col min="10" max="10" width="20.375" style="3" customWidth="1"/>
    <col min="11" max="11" width="22.625" style="1" customWidth="1"/>
    <col min="12" max="12" width="17.2916666666667" style="1" customWidth="1"/>
    <col min="13" max="15" width="25.0666666666667" style="1" customWidth="1"/>
    <col min="16" max="16" width="22.9583333333333" style="1" customWidth="1"/>
    <col min="17" max="17" width="26" style="1" customWidth="1"/>
    <col min="18" max="18" width="20.25" style="1" customWidth="1"/>
    <col min="19" max="21" width="17.125" style="1" customWidth="1"/>
    <col min="22" max="22" width="14.5" style="1" customWidth="1"/>
    <col min="23" max="24" width="16" style="1"/>
    <col min="25" max="16384" width="9" style="1"/>
  </cols>
  <sheetData>
    <row r="1" s="1" customFormat="1" customHeight="1" spans="2:17">
      <c r="B1" s="4" t="s">
        <v>155</v>
      </c>
      <c r="C1" s="4" t="s">
        <v>156</v>
      </c>
      <c r="D1" s="4" t="s">
        <v>157</v>
      </c>
      <c r="E1" s="4" t="s">
        <v>158</v>
      </c>
      <c r="F1" s="4" t="s">
        <v>145</v>
      </c>
      <c r="G1" s="4" t="s">
        <v>159</v>
      </c>
      <c r="H1" s="4" t="s">
        <v>160</v>
      </c>
      <c r="I1" s="4" t="s">
        <v>161</v>
      </c>
      <c r="J1" s="6" t="s">
        <v>162</v>
      </c>
      <c r="K1" s="6" t="s">
        <v>163</v>
      </c>
      <c r="L1" s="4" t="s">
        <v>164</v>
      </c>
      <c r="M1" s="4" t="s">
        <v>165</v>
      </c>
      <c r="N1" s="4" t="s">
        <v>166</v>
      </c>
      <c r="O1" s="22" t="s">
        <v>167</v>
      </c>
      <c r="P1" s="4" t="s">
        <v>168</v>
      </c>
      <c r="Q1" s="4"/>
    </row>
    <row r="2" s="1" customFormat="1" customHeight="1" spans="2:20">
      <c r="B2" s="4" t="s">
        <v>47</v>
      </c>
      <c r="C2" s="4" t="s">
        <v>169</v>
      </c>
      <c r="D2" s="4" t="s">
        <v>169</v>
      </c>
      <c r="E2" s="5">
        <f>886142.74+16912250.89+41744439.05+24817348.09+8621513.76+8121885.93+503495.45</f>
        <v>101607075.91</v>
      </c>
      <c r="F2" s="6"/>
      <c r="G2" s="5">
        <f>E27*E13</f>
        <v>3042984.30629943</v>
      </c>
      <c r="H2" s="5">
        <f>(C27+D27)*E13</f>
        <v>33471428.3028501</v>
      </c>
      <c r="I2" s="6">
        <f>E2+F2+F3+G2+H2</f>
        <v>185510329.74915</v>
      </c>
      <c r="J2" s="5">
        <v>43347.82</v>
      </c>
      <c r="K2" s="5">
        <f>I2/J2</f>
        <v>4279.57691411355</v>
      </c>
      <c r="L2" s="5">
        <v>39197.68</v>
      </c>
      <c r="M2" s="5">
        <f>K2*L2</f>
        <v>167749486.41481</v>
      </c>
      <c r="N2" s="5"/>
      <c r="O2" s="5"/>
      <c r="P2" s="5"/>
      <c r="Q2" s="5"/>
      <c r="R2" s="3"/>
      <c r="S2" s="3"/>
      <c r="T2" s="3"/>
    </row>
    <row r="3" s="1" customFormat="1" customHeight="1" spans="2:20">
      <c r="B3" s="4" t="s">
        <v>170</v>
      </c>
      <c r="C3" s="4" t="s">
        <v>171</v>
      </c>
      <c r="D3" s="4" t="s">
        <v>171</v>
      </c>
      <c r="E3" s="7"/>
      <c r="F3" s="6">
        <f>2261853.55+2447557.78+42679429.9</f>
        <v>47388841.23</v>
      </c>
      <c r="G3" s="7"/>
      <c r="H3" s="7"/>
      <c r="I3" s="6"/>
      <c r="J3" s="7"/>
      <c r="K3" s="7"/>
      <c r="L3" s="7"/>
      <c r="M3" s="7"/>
      <c r="N3" s="7"/>
      <c r="O3" s="7"/>
      <c r="P3" s="7"/>
      <c r="Q3" s="7"/>
      <c r="R3" s="3"/>
      <c r="S3" s="3"/>
      <c r="T3" s="3"/>
    </row>
    <row r="4" s="2" customFormat="1" customHeight="1" spans="2:20">
      <c r="B4" s="8" t="s">
        <v>172</v>
      </c>
      <c r="C4" s="8" t="s">
        <v>173</v>
      </c>
      <c r="D4" s="8" t="s">
        <v>174</v>
      </c>
      <c r="E4" s="9"/>
      <c r="F4" s="9"/>
      <c r="G4" s="9"/>
      <c r="H4" s="9"/>
      <c r="I4" s="9">
        <f>E4-F4+G4</f>
        <v>0</v>
      </c>
      <c r="J4" s="9"/>
      <c r="K4" s="9" t="e">
        <f>I4/J4+0.05</f>
        <v>#DIV/0!</v>
      </c>
      <c r="L4" s="9"/>
      <c r="M4" s="9" t="e">
        <f>K4*L4+76.39</f>
        <v>#DIV/0!</v>
      </c>
      <c r="N4" s="9"/>
      <c r="O4" s="9"/>
      <c r="P4" s="9" t="e">
        <f>K4*330.856+1.48</f>
        <v>#DIV/0!</v>
      </c>
      <c r="Q4" s="9" t="e">
        <f>K4*284.62+15.57</f>
        <v>#DIV/0!</v>
      </c>
      <c r="R4" s="25"/>
      <c r="S4" s="25"/>
      <c r="T4" s="25"/>
    </row>
    <row r="5" s="2" customFormat="1" customHeight="1" spans="2:20">
      <c r="B5" s="8" t="s">
        <v>175</v>
      </c>
      <c r="C5" s="8" t="s">
        <v>176</v>
      </c>
      <c r="D5" s="8" t="s">
        <v>176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25"/>
      <c r="S5" s="25"/>
      <c r="T5" s="25"/>
    </row>
    <row r="6" s="1" customFormat="1" customHeight="1" spans="2:20">
      <c r="B6" s="4" t="s">
        <v>177</v>
      </c>
      <c r="C6" s="4" t="s">
        <v>178</v>
      </c>
      <c r="D6" s="4"/>
      <c r="E6" s="6"/>
      <c r="F6" s="6"/>
      <c r="G6" s="6"/>
      <c r="H6" s="6"/>
      <c r="I6" s="6">
        <f>E6-F6+G6</f>
        <v>0</v>
      </c>
      <c r="J6" s="6"/>
      <c r="K6" s="6" t="e">
        <f>I6/J6</f>
        <v>#DIV/0!</v>
      </c>
      <c r="L6" s="6"/>
      <c r="M6" s="6"/>
      <c r="N6" s="6"/>
      <c r="O6" s="6"/>
      <c r="P6" s="6" t="e">
        <f>L6*K6</f>
        <v>#DIV/0!</v>
      </c>
      <c r="Q6" s="6" t="e">
        <f>K6*865.38</f>
        <v>#DIV/0!</v>
      </c>
      <c r="R6" s="3"/>
      <c r="S6" s="3"/>
      <c r="T6" s="3"/>
    </row>
    <row r="7" s="1" customFormat="1" customHeight="1" spans="2:20">
      <c r="B7" s="4" t="s">
        <v>104</v>
      </c>
      <c r="C7" s="4"/>
      <c r="D7" s="4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3"/>
      <c r="S7" s="3"/>
      <c r="T7" s="3"/>
    </row>
    <row r="8" s="1" customFormat="1" customHeight="1" spans="6:20">
      <c r="F8" s="10"/>
      <c r="G8" s="3"/>
      <c r="H8" s="3"/>
      <c r="N8" s="1" t="s">
        <v>179</v>
      </c>
      <c r="R8" s="3"/>
      <c r="S8" s="3"/>
      <c r="T8" s="3"/>
    </row>
    <row r="9" s="1" customFormat="1" customHeight="1" spans="7:20">
      <c r="G9" s="3"/>
      <c r="H9" s="3"/>
      <c r="R9" s="3"/>
      <c r="S9" s="3"/>
      <c r="T9" s="3"/>
    </row>
    <row r="10" s="1" customFormat="1" customHeight="1" spans="8:16">
      <c r="H10" s="3"/>
      <c r="I10" s="3"/>
      <c r="J10" s="3"/>
      <c r="P10" s="10"/>
    </row>
    <row r="11" s="1" customFormat="1" customHeight="1" spans="2:18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="1" customFormat="1" customHeight="1" spans="2:19">
      <c r="B12" s="4" t="s">
        <v>155</v>
      </c>
      <c r="C12" s="4" t="s">
        <v>157</v>
      </c>
      <c r="D12" s="4" t="s">
        <v>180</v>
      </c>
      <c r="E12" s="4" t="s">
        <v>181</v>
      </c>
      <c r="F12" s="4" t="s">
        <v>182</v>
      </c>
      <c r="G12" s="4" t="s">
        <v>181</v>
      </c>
      <c r="H12" s="6" t="s">
        <v>183</v>
      </c>
      <c r="I12" s="4" t="s">
        <v>181</v>
      </c>
      <c r="J12" s="6"/>
      <c r="K12" s="6"/>
      <c r="L12" s="3"/>
      <c r="M12" s="3"/>
      <c r="N12" s="3"/>
      <c r="O12" s="23"/>
      <c r="P12" s="23"/>
      <c r="Q12" s="1"/>
      <c r="R12" s="3"/>
      <c r="S12" s="3"/>
    </row>
    <row r="13" s="1" customFormat="1" customHeight="1" spans="2:17">
      <c r="B13" s="4" t="s">
        <v>47</v>
      </c>
      <c r="C13" s="4" t="s">
        <v>169</v>
      </c>
      <c r="D13" s="11">
        <f>[1]规划面积统计表!J15</f>
        <v>43042.22</v>
      </c>
      <c r="E13" s="12">
        <f>D13/$D$19</f>
        <v>0.330754823649687</v>
      </c>
      <c r="F13" s="4"/>
      <c r="G13" s="4"/>
      <c r="H13" s="4"/>
      <c r="I13" s="4"/>
      <c r="J13" s="6"/>
      <c r="K13" s="6"/>
      <c r="L13" s="6"/>
      <c r="O13" s="23"/>
      <c r="P13" s="23"/>
      <c r="Q13" s="23"/>
    </row>
    <row r="14" s="1" customFormat="1" customHeight="1" spans="2:16">
      <c r="B14" s="4" t="s">
        <v>170</v>
      </c>
      <c r="C14" s="4" t="s">
        <v>171</v>
      </c>
      <c r="D14" s="13"/>
      <c r="E14" s="14"/>
      <c r="F14" s="4"/>
      <c r="G14" s="4"/>
      <c r="H14" s="4"/>
      <c r="I14" s="4"/>
      <c r="J14" s="6"/>
      <c r="K14" s="6"/>
      <c r="L14" s="6"/>
      <c r="P14" s="3"/>
    </row>
    <row r="15" s="1" customFormat="1" customHeight="1" spans="2:16">
      <c r="B15" s="8" t="s">
        <v>172</v>
      </c>
      <c r="C15" s="15" t="s">
        <v>174</v>
      </c>
      <c r="D15" s="11">
        <f>[1]规划面积统计表!J29</f>
        <v>87091.09</v>
      </c>
      <c r="E15" s="12">
        <f>D15/$D$19</f>
        <v>0.669245176350313</v>
      </c>
      <c r="F15" s="4"/>
      <c r="G15" s="4"/>
      <c r="H15" s="4"/>
      <c r="I15" s="4"/>
      <c r="J15" s="6"/>
      <c r="K15" s="6"/>
      <c r="L15" s="6"/>
      <c r="P15" s="3"/>
    </row>
    <row r="16" s="1" customFormat="1" customHeight="1" spans="2:16">
      <c r="B16" s="8" t="s">
        <v>175</v>
      </c>
      <c r="C16" s="8" t="s">
        <v>176</v>
      </c>
      <c r="D16" s="13"/>
      <c r="E16" s="14"/>
      <c r="F16" s="4"/>
      <c r="G16" s="4"/>
      <c r="H16" s="4"/>
      <c r="I16" s="4"/>
      <c r="J16" s="6"/>
      <c r="K16" s="6"/>
      <c r="L16" s="6"/>
      <c r="P16" s="3"/>
    </row>
    <row r="17" s="1" customFormat="1" customHeight="1" spans="2:16">
      <c r="B17" s="4" t="s">
        <v>177</v>
      </c>
      <c r="C17" s="4"/>
      <c r="D17" s="4"/>
      <c r="E17" s="4"/>
      <c r="F17" s="4"/>
      <c r="G17" s="4"/>
      <c r="H17" s="4"/>
      <c r="I17" s="4"/>
      <c r="J17" s="6"/>
      <c r="K17" s="6"/>
      <c r="L17" s="6"/>
      <c r="P17" s="3"/>
    </row>
    <row r="18" s="1" customFormat="1" customHeight="1" spans="2:16">
      <c r="B18" s="4"/>
      <c r="C18" s="4"/>
      <c r="D18" s="4"/>
      <c r="E18" s="4"/>
      <c r="F18" s="4"/>
      <c r="G18" s="4"/>
      <c r="H18" s="4"/>
      <c r="I18" s="4"/>
      <c r="J18" s="6"/>
      <c r="K18" s="6"/>
      <c r="L18" s="6"/>
      <c r="P18" s="3"/>
    </row>
    <row r="19" s="1" customFormat="1" customHeight="1" spans="2:16">
      <c r="B19" s="4" t="s">
        <v>104</v>
      </c>
      <c r="C19" s="4"/>
      <c r="D19" s="4">
        <f>SUM(D13:D18)</f>
        <v>130133.31</v>
      </c>
      <c r="E19" s="4"/>
      <c r="F19" s="4"/>
      <c r="G19" s="4"/>
      <c r="H19" s="4"/>
      <c r="I19" s="4"/>
      <c r="J19" s="6"/>
      <c r="K19" s="6"/>
      <c r="L19" s="6"/>
      <c r="P19" s="3"/>
    </row>
    <row r="20" s="1" customFormat="1" customHeight="1" spans="2:16">
      <c r="B20" s="4"/>
      <c r="C20" s="4"/>
      <c r="D20" s="4"/>
      <c r="E20" s="4"/>
      <c r="F20" s="4"/>
      <c r="G20" s="4"/>
      <c r="H20" s="4"/>
      <c r="I20" s="4"/>
      <c r="J20" s="6"/>
      <c r="K20" s="6"/>
      <c r="L20" s="6"/>
      <c r="P20" s="3"/>
    </row>
    <row r="21" s="1" customFormat="1" customHeight="1" spans="8:16">
      <c r="H21" s="3"/>
      <c r="I21" s="3"/>
      <c r="J21" s="3"/>
      <c r="P21" s="3"/>
    </row>
    <row r="22" s="1" customFormat="1" customHeight="1" spans="8:16">
      <c r="H22" s="3"/>
      <c r="I22" s="3"/>
      <c r="J22" s="3"/>
      <c r="P22" s="3"/>
    </row>
    <row r="23" s="1" customFormat="1" customHeight="1" spans="8:16">
      <c r="H23" s="3"/>
      <c r="I23" s="3"/>
      <c r="J23" s="3"/>
      <c r="P23" s="3"/>
    </row>
    <row r="24" s="1" customFormat="1" customHeight="1" spans="8:16">
      <c r="H24" s="3"/>
      <c r="I24" s="3"/>
      <c r="J24" s="3"/>
      <c r="P24" s="3"/>
    </row>
    <row r="25" s="1" customFormat="1" customHeight="1" spans="8:16">
      <c r="H25" s="3"/>
      <c r="I25" s="3"/>
      <c r="J25" s="3"/>
      <c r="P25" s="3"/>
    </row>
    <row r="26" s="1" customFormat="1" customHeight="1" spans="2:16">
      <c r="B26" s="4" t="s">
        <v>155</v>
      </c>
      <c r="C26" s="4" t="s">
        <v>184</v>
      </c>
      <c r="D26" s="4" t="s">
        <v>185</v>
      </c>
      <c r="E26" s="4" t="s">
        <v>186</v>
      </c>
      <c r="F26" s="4" t="s">
        <v>187</v>
      </c>
      <c r="G26" s="4" t="s">
        <v>188</v>
      </c>
      <c r="H26" s="4" t="s">
        <v>181</v>
      </c>
      <c r="I26" s="4" t="s">
        <v>182</v>
      </c>
      <c r="J26" s="4" t="s">
        <v>181</v>
      </c>
      <c r="K26" s="6" t="s">
        <v>183</v>
      </c>
      <c r="L26" s="4" t="s">
        <v>181</v>
      </c>
      <c r="P26" s="3"/>
    </row>
    <row r="27" s="1" customFormat="1" customHeight="1" spans="2:16">
      <c r="B27" s="4" t="s">
        <v>47</v>
      </c>
      <c r="C27" s="16">
        <v>52612110.78</v>
      </c>
      <c r="D27" s="16">
        <f>101197098-C27</f>
        <v>48584987.22</v>
      </c>
      <c r="E27" s="11">
        <f>4904999.79+(56907231.71-52612110.78)</f>
        <v>9200120.72</v>
      </c>
      <c r="F27" s="4"/>
      <c r="G27" s="4"/>
      <c r="H27" s="4"/>
      <c r="I27" s="4"/>
      <c r="J27" s="4"/>
      <c r="K27" s="4"/>
      <c r="L27" s="6"/>
      <c r="P27" s="3"/>
    </row>
    <row r="28" s="1" customFormat="1" customHeight="1" spans="2:16">
      <c r="B28" s="4" t="s">
        <v>170</v>
      </c>
      <c r="C28" s="17"/>
      <c r="D28" s="17"/>
      <c r="E28" s="18"/>
      <c r="F28" s="4"/>
      <c r="G28" s="4"/>
      <c r="H28" s="4"/>
      <c r="I28" s="4"/>
      <c r="J28" s="4"/>
      <c r="K28" s="4"/>
      <c r="L28" s="6"/>
      <c r="P28" s="3"/>
    </row>
    <row r="29" s="1" customFormat="1" customHeight="1" spans="2:16">
      <c r="B29" s="4" t="s">
        <v>172</v>
      </c>
      <c r="C29" s="17"/>
      <c r="D29" s="17"/>
      <c r="E29" s="18"/>
      <c r="F29" s="4"/>
      <c r="G29" s="4"/>
      <c r="H29" s="4"/>
      <c r="I29" s="4"/>
      <c r="J29" s="4"/>
      <c r="K29" s="4"/>
      <c r="L29" s="6"/>
      <c r="O29" s="23"/>
      <c r="P29" s="24"/>
    </row>
    <row r="30" s="1" customFormat="1" customHeight="1" spans="2:12">
      <c r="B30" s="4" t="s">
        <v>175</v>
      </c>
      <c r="C30" s="17"/>
      <c r="D30" s="17"/>
      <c r="E30" s="18"/>
      <c r="F30" s="4"/>
      <c r="G30" s="4"/>
      <c r="H30" s="4"/>
      <c r="I30" s="4"/>
      <c r="J30" s="4"/>
      <c r="K30" s="4"/>
      <c r="L30" s="6"/>
    </row>
    <row r="31" s="1" customFormat="1" customHeight="1" spans="2:16">
      <c r="B31" s="4" t="s">
        <v>177</v>
      </c>
      <c r="C31" s="17"/>
      <c r="D31" s="17"/>
      <c r="E31" s="18"/>
      <c r="F31" s="4"/>
      <c r="G31" s="4"/>
      <c r="H31" s="4"/>
      <c r="I31" s="4"/>
      <c r="J31" s="4"/>
      <c r="K31" s="4"/>
      <c r="L31" s="6"/>
      <c r="O31" s="23"/>
      <c r="P31" s="23"/>
    </row>
    <row r="32" s="1" customFormat="1" customHeight="1" spans="2:17">
      <c r="B32" s="4" t="s">
        <v>189</v>
      </c>
      <c r="C32" s="19"/>
      <c r="D32" s="19"/>
      <c r="E32" s="13"/>
      <c r="F32" s="4"/>
      <c r="G32" s="4"/>
      <c r="H32" s="4"/>
      <c r="I32" s="4"/>
      <c r="J32" s="4"/>
      <c r="K32" s="4"/>
      <c r="L32" s="6"/>
      <c r="O32" s="23"/>
      <c r="P32" s="23"/>
      <c r="Q32" s="23"/>
    </row>
    <row r="33" s="1" customFormat="1" customHeight="1" spans="2:16">
      <c r="B33" s="4" t="s">
        <v>104</v>
      </c>
      <c r="C33" s="4"/>
      <c r="D33" s="4"/>
      <c r="E33" s="4"/>
      <c r="F33" s="4"/>
      <c r="G33" s="4"/>
      <c r="H33" s="4"/>
      <c r="I33" s="4"/>
      <c r="J33" s="4"/>
      <c r="K33" s="4"/>
      <c r="L33" s="6"/>
      <c r="P33" s="3"/>
    </row>
    <row r="34" s="1" customFormat="1" customHeight="1" spans="2:16">
      <c r="B34" s="4"/>
      <c r="C34" s="4"/>
      <c r="D34" s="4"/>
      <c r="E34" s="4"/>
      <c r="F34" s="4"/>
      <c r="G34" s="4"/>
      <c r="H34" s="4"/>
      <c r="I34" s="4"/>
      <c r="J34" s="4"/>
      <c r="K34" s="4"/>
      <c r="L34" s="6"/>
      <c r="P34" s="3"/>
    </row>
    <row r="35" s="1" customFormat="1" customHeight="1" spans="5:16">
      <c r="E35" s="1" t="s">
        <v>190</v>
      </c>
      <c r="H35" s="3"/>
      <c r="I35" s="3"/>
      <c r="J35" s="3"/>
      <c r="P35" s="3"/>
    </row>
    <row r="36" s="1" customFormat="1" customHeight="1" spans="5:16">
      <c r="E36" s="1" t="s">
        <v>191</v>
      </c>
      <c r="H36" s="3"/>
      <c r="I36" s="3"/>
      <c r="J36" s="3"/>
      <c r="P36" s="3"/>
    </row>
    <row r="37" s="1" customFormat="1" customHeight="1" spans="8:16">
      <c r="H37" s="3"/>
      <c r="I37" s="3"/>
      <c r="J37" s="3"/>
      <c r="P37" s="3"/>
    </row>
    <row r="38" s="1" customFormat="1" customHeight="1" spans="5:16">
      <c r="E38" s="4">
        <f>56907231.71-52612110.78</f>
        <v>4295120.93</v>
      </c>
      <c r="F38" s="4">
        <f>E38*E13</f>
        <v>1420631.96575623</v>
      </c>
      <c r="G38" s="4" t="s">
        <v>192</v>
      </c>
      <c r="H38" s="3"/>
      <c r="I38" s="3"/>
      <c r="J38" s="3"/>
      <c r="P38" s="3"/>
    </row>
    <row r="39" s="1" customFormat="1" customHeight="1" spans="5:16">
      <c r="E39" s="4">
        <v>4904999.79</v>
      </c>
      <c r="F39" s="4">
        <f>E39*E13</f>
        <v>1622352.3405432</v>
      </c>
      <c r="G39" s="4" t="s">
        <v>192</v>
      </c>
      <c r="H39" s="3"/>
      <c r="I39" s="3"/>
      <c r="J39" s="3"/>
      <c r="P39" s="3"/>
    </row>
    <row r="40" s="1" customFormat="1" customHeight="1" spans="8:16">
      <c r="H40" s="3"/>
      <c r="I40" s="3"/>
      <c r="J40" s="3"/>
      <c r="P40" s="3"/>
    </row>
    <row r="41" s="1" customFormat="1" customHeight="1" spans="4:16">
      <c r="D41" s="20" t="s">
        <v>193</v>
      </c>
      <c r="E41" s="21">
        <v>384562.39</v>
      </c>
      <c r="F41" s="21">
        <f>E41*E13</f>
        <v>127195.865486752</v>
      </c>
      <c r="H41" s="3"/>
      <c r="I41" s="3"/>
      <c r="J41" s="3"/>
      <c r="P41" s="3"/>
    </row>
    <row r="42" s="1" customFormat="1" customHeight="1" spans="4:16">
      <c r="D42" s="20"/>
      <c r="E42" s="21">
        <v>178899.08</v>
      </c>
      <c r="F42" s="21">
        <f>E42*E13</f>
        <v>59171.7336564912</v>
      </c>
      <c r="H42" s="3"/>
      <c r="I42" s="3"/>
      <c r="J42" s="3"/>
      <c r="P42" s="3"/>
    </row>
    <row r="43" s="1" customFormat="1" customHeight="1" spans="4:16">
      <c r="D43" s="20"/>
      <c r="E43" s="21">
        <v>204550.46</v>
      </c>
      <c r="F43" s="21">
        <f>E43*E13</f>
        <v>67656.0513247623</v>
      </c>
      <c r="H43" s="3"/>
      <c r="I43" s="3"/>
      <c r="J43" s="3"/>
      <c r="P43" s="3"/>
    </row>
    <row r="44" s="1" customFormat="1" customHeight="1" spans="4:16">
      <c r="D44" s="20"/>
      <c r="E44" s="21">
        <v>706919.26</v>
      </c>
      <c r="F44" s="21">
        <f>E44*E13</f>
        <v>233816.955175867</v>
      </c>
      <c r="H44" s="3"/>
      <c r="I44" s="3"/>
      <c r="J44" s="3"/>
      <c r="P44" s="3"/>
    </row>
    <row r="45" s="1" customFormat="1" customHeight="1" spans="4:16">
      <c r="D45" s="20"/>
      <c r="E45" s="21">
        <v>140000</v>
      </c>
      <c r="F45" s="21">
        <f>E45*E13</f>
        <v>46305.6753109561</v>
      </c>
      <c r="H45" s="3"/>
      <c r="I45" s="3"/>
      <c r="J45" s="3"/>
      <c r="P45" s="3"/>
    </row>
    <row r="46" s="1" customFormat="1" customHeight="1" spans="4:16">
      <c r="D46" s="20"/>
      <c r="E46" s="21">
        <v>2969247.71</v>
      </c>
      <c r="F46" s="21">
        <f>E46*E13</f>
        <v>982093.002693286</v>
      </c>
      <c r="H46" s="3"/>
      <c r="I46" s="3"/>
      <c r="J46" s="3"/>
      <c r="P46" s="3"/>
    </row>
    <row r="47" s="1" customFormat="1" customHeight="1" spans="4:16">
      <c r="D47" s="20"/>
      <c r="E47" s="21">
        <v>315865.14</v>
      </c>
      <c r="F47" s="21">
        <f>E47*E13</f>
        <v>104473.918677784</v>
      </c>
      <c r="H47" s="3"/>
      <c r="I47" s="3"/>
      <c r="J47" s="3"/>
      <c r="P47" s="3"/>
    </row>
    <row r="48" s="1" customFormat="1" customHeight="1" spans="4:16">
      <c r="D48" s="20"/>
      <c r="E48" s="21">
        <v>4955.75</v>
      </c>
      <c r="F48" s="21">
        <f>E48*E13</f>
        <v>1639.13821730193</v>
      </c>
      <c r="H48" s="3"/>
      <c r="I48" s="3"/>
      <c r="J48" s="3"/>
      <c r="O48" s="23"/>
      <c r="P48" s="24"/>
    </row>
    <row r="49" s="1" customFormat="1" customHeight="1" spans="4:10">
      <c r="D49" s="4"/>
      <c r="E49" s="4"/>
      <c r="F49" s="4">
        <f>SUM(F41:F48)</f>
        <v>1622352.3405432</v>
      </c>
      <c r="H49" s="3"/>
      <c r="I49" s="3"/>
      <c r="J49" s="3"/>
    </row>
  </sheetData>
  <mergeCells count="23">
    <mergeCell ref="O12:P12"/>
    <mergeCell ref="O13:P13"/>
    <mergeCell ref="O31:P31"/>
    <mergeCell ref="O32:P32"/>
    <mergeCell ref="C27:C32"/>
    <mergeCell ref="D13:D14"/>
    <mergeCell ref="D15:D16"/>
    <mergeCell ref="D27:D32"/>
    <mergeCell ref="D41:D48"/>
    <mergeCell ref="E2:E3"/>
    <mergeCell ref="E13:E14"/>
    <mergeCell ref="E15:E16"/>
    <mergeCell ref="E27:E32"/>
    <mergeCell ref="G2:G3"/>
    <mergeCell ref="H2:H3"/>
    <mergeCell ref="J2:J3"/>
    <mergeCell ref="K2:K3"/>
    <mergeCell ref="L2:L3"/>
    <mergeCell ref="M2:M3"/>
    <mergeCell ref="N2:N3"/>
    <mergeCell ref="O2:O3"/>
    <mergeCell ref="P2:P3"/>
    <mergeCell ref="Q2:Q3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2024.12.31预提开发成本明细（与二分公司合同）</vt:lpstr>
      <vt:lpstr>2024.12.31预提开发成本明细（通力股份合同）</vt:lpstr>
      <vt:lpstr>2024年通力二分公司企业所得税预测表</vt:lpstr>
      <vt:lpstr>单方成本计算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sunny</cp:lastModifiedBy>
  <dcterms:created xsi:type="dcterms:W3CDTF">2023-05-12T11:15:00Z</dcterms:created>
  <dcterms:modified xsi:type="dcterms:W3CDTF">2025-03-27T05:06:39Z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2D958A9456A944E8A39C3F3D42DC27E4_12</vt:lpwstr>
  </property>
</Properties>
</file>