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15" windowHeight="9391" tabRatio="823" activeTab="1"/>
  </bookViews>
  <sheets>
    <sheet name="清算项目基本情况表" sheetId="29" r:id="rId1"/>
    <sheet name="土地增值税税源明细表" sheetId="5" r:id="rId2"/>
    <sheet name="附表1-面积统计表" sheetId="32" r:id="rId3"/>
    <sheet name="附表2-收入统计表" sheetId="8" r:id="rId4"/>
    <sheet name="附表3-扣除项目分摊表" sheetId="6" r:id="rId5"/>
    <sheet name="附表4-项目间分摊信息采集表" sheetId="38" r:id="rId6"/>
    <sheet name="附表5-扣除项目统计表" sheetId="30" r:id="rId7"/>
    <sheet name="附表6-收入明细采集底稿" sheetId="9" r:id="rId8"/>
    <sheet name="附表7-扣除项目明细采集底稿" sheetId="31" r:id="rId9"/>
    <sheet name="附表8-合同明细采集底稿" sheetId="37" r:id="rId10"/>
    <sheet name="成本分摊比例" sheetId="43" r:id="rId11"/>
    <sheet name="工程造价采集表" sheetId="42" r:id="rId12"/>
    <sheet name="数据对照表" sheetId="39" r:id="rId13"/>
  </sheets>
  <externalReferences>
    <externalReference r:id="rId15"/>
    <externalReference r:id="rId16"/>
    <externalReference r:id="rId17"/>
  </externalReferences>
  <definedNames>
    <definedName name="_xlnm._FilterDatabase" localSheetId="2" hidden="1">'附表1-面积统计表'!$A$1:$K$35</definedName>
    <definedName name="_xlnm._FilterDatabase" localSheetId="7" hidden="1">'附表6-收入明细采集底稿'!$A$6:$AA$569</definedName>
    <definedName name="_xlnm._FilterDatabase" localSheetId="8" hidden="1">'附表7-扣除项目明细采集底稿'!$A$5:$AE$768</definedName>
    <definedName name="_xlnm._FilterDatabase" localSheetId="9" hidden="1">'附表8-合同明细采集底稿'!$A$5:$AB$275</definedName>
    <definedName name="_xlnm.Print_Area" localSheetId="2">'附表1-面积统计表'!$A$1:$K$35</definedName>
    <definedName name="_xlnm.Print_Area" localSheetId="3">'附表2-收入统计表'!$A$1:$F$13</definedName>
    <definedName name="_xlnm.Print_Area" localSheetId="4">'附表3-扣除项目分摊表'!$A$1:$N$27</definedName>
    <definedName name="_xlnm.Print_Area" localSheetId="6">'附表5-扣除项目统计表'!$1:$87</definedName>
    <definedName name="_xlnm.Print_Area" localSheetId="7">'附表6-收入明细采集底稿'!$A$1:$Z$41</definedName>
    <definedName name="_xlnm.Print_Area" localSheetId="8">'附表7-扣除项目明细采集底稿'!$A:$AB</definedName>
    <definedName name="_xlnm.Print_Area" localSheetId="0">清算项目基本情况表!$A$1:$AI$72</definedName>
    <definedName name="_xlnm.Print_Area" localSheetId="1">土地增值税税源明细表!$A$1:$L$48</definedName>
    <definedName name="_xlnm.Print_Titles" localSheetId="4">'附表3-扣除项目分摊表'!$3:$5</definedName>
    <definedName name="_xlnm.Print_Titles" localSheetId="6">'附表5-扣除项目统计表'!$3:$5</definedName>
    <definedName name="_xlnm.Print_Titles" localSheetId="7">'附表6-收入明细采集底稿'!$3:$4</definedName>
    <definedName name="_xlnm.Print_Titles" localSheetId="8">'附表7-扣除项目明细采集底稿'!$3:$4</definedName>
    <definedName name="_xlnm.Print_Titles" localSheetId="1">土地增值税税源明细表!$10:$10</definedName>
    <definedName name="前期费用">[2]不合规发票!$L$2:$L$11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Di-wen</author>
  </authors>
  <commentList>
    <comment ref="Q506" authorId="0">
      <text>
        <r>
          <rPr>
            <b/>
            <sz val="9"/>
            <rFont val="宋体"/>
            <charset val="134"/>
          </rPr>
          <t>Di-wen:</t>
        </r>
        <r>
          <rPr>
            <sz val="9"/>
            <rFont val="宋体"/>
            <charset val="134"/>
          </rPr>
          <t xml:space="preserve">
合同总价52万，目前已开票346058元</t>
        </r>
      </text>
    </comment>
    <comment ref="Q584" authorId="0">
      <text>
        <r>
          <rPr>
            <b/>
            <sz val="9"/>
            <rFont val="宋体"/>
            <charset val="134"/>
          </rPr>
          <t>Di-wen:</t>
        </r>
        <r>
          <rPr>
            <sz val="9"/>
            <rFont val="宋体"/>
            <charset val="134"/>
          </rPr>
          <t xml:space="preserve">
合同总价1686800，已开票1180760</t>
        </r>
      </text>
    </comment>
  </commentList>
</comments>
</file>

<file path=xl/comments2.xml><?xml version="1.0" encoding="utf-8"?>
<comments xmlns="http://schemas.openxmlformats.org/spreadsheetml/2006/main">
  <authors>
    <author>Di-wen</author>
    <author>Administrator</author>
  </authors>
  <commentList>
    <comment ref="X3" authorId="0">
      <text>
        <r>
          <rPr>
            <b/>
            <sz val="9"/>
            <rFont val="宋体"/>
            <charset val="134"/>
          </rPr>
          <t>Di-wen:</t>
        </r>
        <r>
          <rPr>
            <sz val="9"/>
            <rFont val="宋体"/>
            <charset val="134"/>
          </rPr>
          <t xml:space="preserve">
</t>
        </r>
      </text>
    </comment>
    <comment ref="O44" authorId="1">
      <text>
        <r>
          <rPr>
            <b/>
            <sz val="9"/>
            <rFont val="宋体"/>
            <charset val="134"/>
          </rPr>
          <t>Administrator:</t>
        </r>
        <r>
          <rPr>
            <sz val="9"/>
            <rFont val="宋体"/>
            <charset val="134"/>
          </rPr>
          <t xml:space="preserve">
顶层水箱</t>
        </r>
      </text>
    </comment>
  </commentList>
</comments>
</file>

<file path=xl/sharedStrings.xml><?xml version="1.0" encoding="utf-8"?>
<sst xmlns="http://schemas.openxmlformats.org/spreadsheetml/2006/main" count="16866" uniqueCount="5179">
  <si>
    <r>
      <rPr>
        <sz val="26"/>
        <color theme="1"/>
        <rFont val="方正小标宋简体"/>
        <charset val="134"/>
      </rPr>
      <t>T10000</t>
    </r>
    <r>
      <rPr>
        <sz val="26"/>
        <color theme="1"/>
        <rFont val="微软雅黑"/>
        <charset val="134"/>
      </rPr>
      <t>清算项目基本情况表</t>
    </r>
  </si>
  <si>
    <t>（从事房地产开发的纳税人适用）</t>
  </si>
  <si>
    <t>纳税人识别号：</t>
  </si>
  <si>
    <t>91652801576209018D</t>
  </si>
  <si>
    <t>纳税人名称：</t>
  </si>
  <si>
    <t>新疆通力房地产开发有限公司库尔勒分公司</t>
  </si>
  <si>
    <t>*填表日期：</t>
  </si>
  <si>
    <t>金额单位:人民币元(列至角分)</t>
  </si>
  <si>
    <t>面积单位:平方米</t>
  </si>
  <si>
    <t>项目基本情况</t>
  </si>
  <si>
    <t>*项目名称</t>
  </si>
  <si>
    <t>沁春锦苑19#、20#、23#、24#楼</t>
  </si>
  <si>
    <t>*项目编码</t>
  </si>
  <si>
    <t>Z65280120190027</t>
  </si>
  <si>
    <t>*是否属于分期开发项目</t>
  </si>
  <si>
    <t>是</t>
  </si>
  <si>
    <t>*项目地址</t>
  </si>
  <si>
    <t>库尔勒市新城辖区杜鹃路79号</t>
  </si>
  <si>
    <t>*总预算成本</t>
  </si>
  <si>
    <t>*项目所在地主管税务机关</t>
  </si>
  <si>
    <t>国家税务总局库尔勒市税务局</t>
  </si>
  <si>
    <t>*项目所在地主管税务所（科/分局）</t>
  </si>
  <si>
    <t>库尔勒市税务局税源管理一股</t>
  </si>
  <si>
    <t>*土地使用权出（转）让合同签订日期</t>
  </si>
  <si>
    <t>*开发土地总面积</t>
  </si>
  <si>
    <t>*开发建筑总面积</t>
  </si>
  <si>
    <t>*项目总地价款</t>
  </si>
  <si>
    <t>*容积率</t>
  </si>
  <si>
    <t>*绿地率</t>
  </si>
  <si>
    <t>项目开工日期</t>
  </si>
  <si>
    <t>整体竣工日期</t>
  </si>
  <si>
    <t>最后一个销（预）售证取得时间</t>
  </si>
  <si>
    <t>发改部门立项信息</t>
  </si>
  <si>
    <t>序号</t>
  </si>
  <si>
    <t>投资项目代码</t>
  </si>
  <si>
    <t>项目名称</t>
  </si>
  <si>
    <t>项目总投资</t>
  </si>
  <si>
    <t>建筑面积</t>
  </si>
  <si>
    <t>1</t>
  </si>
  <si>
    <t>2018061</t>
  </si>
  <si>
    <t>沁园春锦苑一期建设项目</t>
  </si>
  <si>
    <t>2</t>
  </si>
  <si>
    <t>2020019</t>
  </si>
  <si>
    <t>沁春锦苑31号楼建设项目</t>
  </si>
  <si>
    <t>3</t>
  </si>
  <si>
    <t>201927</t>
  </si>
  <si>
    <t>沁春锦苑二期</t>
  </si>
  <si>
    <t>4</t>
  </si>
  <si>
    <t>2018053</t>
  </si>
  <si>
    <t>沁园春锦35号楼</t>
  </si>
  <si>
    <t>土地使用权信息</t>
  </si>
  <si>
    <t>不动产权证号</t>
  </si>
  <si>
    <t>不动产单元号</t>
  </si>
  <si>
    <t>权利类型</t>
  </si>
  <si>
    <t>权利性质</t>
  </si>
  <si>
    <t>用途</t>
  </si>
  <si>
    <t>面积</t>
  </si>
  <si>
    <t>使用期限</t>
  </si>
  <si>
    <t>土地使用权证发证日期</t>
  </si>
  <si>
    <t>新（2019）库尔勒市不动产权证第00014239号</t>
  </si>
  <si>
    <t>652801005064GB00047</t>
  </si>
  <si>
    <t>国有建设用地使用权</t>
  </si>
  <si>
    <t>出让</t>
  </si>
  <si>
    <t>房地产开发企业的开发用地</t>
  </si>
  <si>
    <t>2010-07-22</t>
  </si>
  <si>
    <t>建设用地规划许可信息</t>
  </si>
  <si>
    <t>建设用地规划许可证编号</t>
  </si>
  <si>
    <t>用地项目名称</t>
  </si>
  <si>
    <t>用地位置</t>
  </si>
  <si>
    <t>用地面积</t>
  </si>
  <si>
    <t>建设规模</t>
  </si>
  <si>
    <t>发证日期</t>
  </si>
  <si>
    <t>地字第652800201100127</t>
  </si>
  <si>
    <t>住宅楼</t>
  </si>
  <si>
    <t>64号小区</t>
  </si>
  <si>
    <t>2011-08-01</t>
  </si>
  <si>
    <t>建设工程规划许可信息</t>
  </si>
  <si>
    <t>建设工程规划许可证编号</t>
  </si>
  <si>
    <t>建设项目名称</t>
  </si>
  <si>
    <t>建设位置</t>
  </si>
  <si>
    <t>*发证日期</t>
  </si>
  <si>
    <t>建字第652801201900150号</t>
  </si>
  <si>
    <t>沁春锦苑26#住宅楼</t>
  </si>
  <si>
    <t>库尔勒市64号小区、杜鹃河东侧</t>
  </si>
  <si>
    <t>2019-05-27</t>
  </si>
  <si>
    <t>建字第652800201800482号</t>
  </si>
  <si>
    <t>35#商业楼</t>
  </si>
  <si>
    <t>2018-10-18</t>
  </si>
  <si>
    <t>建字第652801201900149号</t>
  </si>
  <si>
    <t>沁春锦苑25#住宅楼</t>
  </si>
  <si>
    <t>建字第652801201900157号</t>
  </si>
  <si>
    <t>沁春锦苑34#住宅楼</t>
  </si>
  <si>
    <t>5</t>
  </si>
  <si>
    <t>建字第652800201800531号</t>
  </si>
  <si>
    <t>19#住宅楼</t>
  </si>
  <si>
    <t>64号小区、幸福路北侧</t>
  </si>
  <si>
    <t>2018-11-15</t>
  </si>
  <si>
    <t>6</t>
  </si>
  <si>
    <t>建字第652801201900151号</t>
  </si>
  <si>
    <t>沁春锦苑27#住宅楼</t>
  </si>
  <si>
    <t>7</t>
  </si>
  <si>
    <t>建字第652801202000081号</t>
  </si>
  <si>
    <t>幼儿园</t>
  </si>
  <si>
    <t>64号小区、石化大道南侧</t>
  </si>
  <si>
    <t>2020-04-13</t>
  </si>
  <si>
    <t>8</t>
  </si>
  <si>
    <t>建字第652800201800532号</t>
  </si>
  <si>
    <t>20#楼住宅楼</t>
  </si>
  <si>
    <t>64号小区、新福路北侧</t>
  </si>
  <si>
    <t>9</t>
  </si>
  <si>
    <t>建字第652800201800534号</t>
  </si>
  <si>
    <t>24#住宅楼</t>
  </si>
  <si>
    <t>10</t>
  </si>
  <si>
    <t>建字第652801201900152号</t>
  </si>
  <si>
    <t>沁春锦苑29#住宅楼</t>
  </si>
  <si>
    <t>11</t>
  </si>
  <si>
    <t>建字第652801201900153号</t>
  </si>
  <si>
    <t>沁春锦苑30#住宅楼</t>
  </si>
  <si>
    <t>12</t>
  </si>
  <si>
    <t>建字第652801201900155号</t>
  </si>
  <si>
    <t>沁春锦苑32#住宅楼</t>
  </si>
  <si>
    <t>13</t>
  </si>
  <si>
    <t>建字第652800201800533号</t>
  </si>
  <si>
    <t>23#住宅楼</t>
  </si>
  <si>
    <t>14</t>
  </si>
  <si>
    <t>建字第652801201900156号</t>
  </si>
  <si>
    <t>沁春锦苑33#住宅楼</t>
  </si>
  <si>
    <t>15</t>
  </si>
  <si>
    <t>建字第652800201800529号</t>
  </si>
  <si>
    <t>沁春锦苑1#商业楼</t>
  </si>
  <si>
    <t>库尔勒市64号小区、新福路北侧</t>
  </si>
  <si>
    <t>16</t>
  </si>
  <si>
    <t>建字第652801201900154号</t>
  </si>
  <si>
    <t>沁春锦苑28#住宅楼</t>
  </si>
  <si>
    <t>建筑工程施工许可信息</t>
  </si>
  <si>
    <t>建筑工程施工许可证编号</t>
  </si>
  <si>
    <t>工程名称</t>
  </si>
  <si>
    <t>建设地址</t>
  </si>
  <si>
    <t>合同价格</t>
  </si>
  <si>
    <t>施工单位名称</t>
  </si>
  <si>
    <t>合同开工日期</t>
  </si>
  <si>
    <t>合同竣工日期</t>
  </si>
  <si>
    <t>652801201908090101</t>
  </si>
  <si>
    <t>沁春锦苑二期25#26#27#28#29#30#住宅楼  32#33#34#商业楼</t>
  </si>
  <si>
    <t>新疆正杰建筑集团有限公司</t>
  </si>
  <si>
    <t>2019-07-20</t>
  </si>
  <si>
    <t>2020-06-15</t>
  </si>
  <si>
    <t>2019-08-09</t>
  </si>
  <si>
    <t>652801202012210101</t>
  </si>
  <si>
    <t>沁春锦苑社区用房</t>
  </si>
  <si>
    <t>库尔勒市新城辖区石化大道南侧、杜鹃河东侧</t>
  </si>
  <si>
    <t>新疆通力建设集团股份有限公司</t>
  </si>
  <si>
    <t>2022-07-28</t>
  </si>
  <si>
    <t>2023-12-16</t>
  </si>
  <si>
    <t>2020-12-21</t>
  </si>
  <si>
    <t>652801201904120101</t>
  </si>
  <si>
    <t>沁春锦苑35号楼</t>
  </si>
  <si>
    <t>2019-03-15</t>
  </si>
  <si>
    <t>2019-04-25</t>
  </si>
  <si>
    <t>2019-04-12</t>
  </si>
  <si>
    <t>652801201905020101</t>
  </si>
  <si>
    <t>沁春锦苑（19#、20#、23#、24#楼）</t>
  </si>
  <si>
    <t>2019-11-20</t>
  </si>
  <si>
    <t>2019-05-02</t>
  </si>
  <si>
    <t>652801201904260101</t>
  </si>
  <si>
    <t>沁春锦苑1#楼</t>
  </si>
  <si>
    <t>2019-04-26</t>
  </si>
  <si>
    <t>2023-11-06</t>
  </si>
  <si>
    <t>652801202006290101</t>
  </si>
  <si>
    <t>沁春锦苑（12#13#14#15#38#31#幼儿园）</t>
  </si>
  <si>
    <t>库尔勒市石化大道南侧、杜鹃河东侧</t>
  </si>
  <si>
    <t>2020-06-30</t>
  </si>
  <si>
    <t>2021-10-01</t>
  </si>
  <si>
    <t>2020-06-29</t>
  </si>
  <si>
    <t>预售许可信息</t>
  </si>
  <si>
    <t>预售许可证编号</t>
  </si>
  <si>
    <r>
      <rPr>
        <sz val="14"/>
        <color theme="1"/>
        <rFont val="宋体"/>
        <charset val="134"/>
      </rPr>
      <t>预售款专用帐户网点、帐号</t>
    </r>
    <r>
      <rPr>
        <sz val="14"/>
        <color theme="1"/>
        <rFont val="Times New Roman"/>
        <charset val="134"/>
      </rPr>
      <t> </t>
    </r>
  </si>
  <si>
    <t>预售房屋建筑面积</t>
  </si>
  <si>
    <t>预售套数</t>
  </si>
  <si>
    <t>住宅</t>
  </si>
  <si>
    <t>商业用房</t>
  </si>
  <si>
    <t>办公用房</t>
  </si>
  <si>
    <t>车位车库</t>
  </si>
  <si>
    <t>其他</t>
  </si>
  <si>
    <t>合计</t>
  </si>
  <si>
    <r>
      <rPr>
        <sz val="14"/>
        <color theme="1"/>
        <rFont val="宋体"/>
        <charset val="134"/>
      </rPr>
      <t>车位车库</t>
    </r>
    <r>
      <rPr>
        <sz val="14"/>
        <color theme="1"/>
        <rFont val="Times New Roman"/>
        <charset val="134"/>
      </rPr>
      <t> </t>
    </r>
  </si>
  <si>
    <t>新建房许字（2019）060号-库尔勒市</t>
  </si>
  <si>
    <t>沁春锦苑23#楼</t>
  </si>
  <si>
    <t/>
  </si>
  <si>
    <t>2019-07-31</t>
  </si>
  <si>
    <t>新建房许字（2019）062号-库尔勒市</t>
  </si>
  <si>
    <t>沁春锦苑19#楼</t>
  </si>
  <si>
    <t>新建房许字（2019）097号-库尔勒市</t>
  </si>
  <si>
    <t>沁春锦苑28#楼</t>
  </si>
  <si>
    <t>2019-10-29</t>
  </si>
  <si>
    <t>新建房许字（2020）130号-库尔勒市</t>
  </si>
  <si>
    <t>2020-11-13</t>
  </si>
  <si>
    <t>新建房许字（2019）096号-库尔勒市</t>
  </si>
  <si>
    <t>沁春锦苑29#楼</t>
  </si>
  <si>
    <t>新建房许字（2019）100号-库尔勒市</t>
  </si>
  <si>
    <t>沁春锦苑25#楼</t>
  </si>
  <si>
    <t>新建房许字（2019）061号-库尔勒市</t>
  </si>
  <si>
    <t>沁春锦苑20#楼</t>
  </si>
  <si>
    <t>新建房许字（2019）098号-库尔勒市</t>
  </si>
  <si>
    <t>沁春锦苑27#楼</t>
  </si>
  <si>
    <t>新建房许字（2019）095号-库尔勒市</t>
  </si>
  <si>
    <t>沁春锦苑30#楼</t>
  </si>
  <si>
    <t>新建房许字（2019）099号-库尔勒市</t>
  </si>
  <si>
    <t>沁春锦苑26#楼</t>
  </si>
  <si>
    <t>新建房许字（2019）127号-库尔勒市</t>
  </si>
  <si>
    <t>沁春锦苑35#楼</t>
  </si>
  <si>
    <t>新建房许字（2019）147号-库尔勒市</t>
  </si>
  <si>
    <t>沁春锦苑33#楼</t>
  </si>
  <si>
    <t>2019-12-05</t>
  </si>
  <si>
    <t>新建房许字（2019）146号-库尔勒市</t>
  </si>
  <si>
    <t>沁春锦苑34#楼</t>
  </si>
  <si>
    <t>新建房许字（2019）148号-库尔勒市</t>
  </si>
  <si>
    <t>沁春锦苑32#楼</t>
  </si>
  <si>
    <t>新建房许字（2019）059号-库尔勒市</t>
  </si>
  <si>
    <t>沁春锦苑24#楼</t>
  </si>
  <si>
    <t xml:space="preserve">现售备案信息 </t>
  </si>
  <si>
    <t>现售备案证书编号</t>
  </si>
  <si>
    <t>现售房屋建筑面积</t>
  </si>
  <si>
    <t>建设工程竣工验收信息</t>
  </si>
  <si>
    <t>竣工的建筑工程施工许可证编号</t>
  </si>
  <si>
    <t>验收日期</t>
  </si>
  <si>
    <t>*备案日期</t>
  </si>
  <si>
    <t>竣工工程造价</t>
  </si>
  <si>
    <t>竣工面积</t>
  </si>
  <si>
    <t>2021-09-25</t>
  </si>
  <si>
    <t>2022-07-08</t>
  </si>
  <si>
    <t>2021-10-09</t>
  </si>
  <si>
    <t>2023-09-15</t>
  </si>
  <si>
    <t>2023-10-30</t>
  </si>
  <si>
    <t>2024-01-17</t>
  </si>
  <si>
    <r>
      <rPr>
        <sz val="20"/>
        <rFont val="方正小标宋简体"/>
        <charset val="134"/>
      </rPr>
      <t>T20000</t>
    </r>
    <r>
      <rPr>
        <sz val="20"/>
        <rFont val="微软雅黑"/>
        <charset val="134"/>
      </rPr>
      <t>土地增值税税源明细表</t>
    </r>
  </si>
  <si>
    <t>税款所属期间：</t>
  </si>
  <si>
    <t xml:space="preserve">      2019年7 月31日 至 2024年8月31日</t>
  </si>
  <si>
    <t>纳税人识别号(统一社会信用代码):</t>
  </si>
  <si>
    <t xml:space="preserve">纳税人名称: </t>
  </si>
  <si>
    <t>项目编码</t>
  </si>
  <si>
    <t>项目地址</t>
  </si>
  <si>
    <t>分配方法</t>
  </si>
  <si>
    <t>三分法</t>
  </si>
  <si>
    <t>项目总可售面积</t>
  </si>
  <si>
    <t>自用和出租面积</t>
  </si>
  <si>
    <t>已售面积</t>
  </si>
  <si>
    <t>其中:普通住宅已售面积</t>
  </si>
  <si>
    <t>其中:非普通住宅已售面积</t>
  </si>
  <si>
    <t>其中:其他类型房地产已售面积</t>
  </si>
  <si>
    <t>清算后剩余可售面积</t>
  </si>
  <si>
    <t>其中:普通住宅剩余可售面积</t>
  </si>
  <si>
    <t>其中:非普通住宅剩余可售面积</t>
  </si>
  <si>
    <t>其中:其他类型房地产剩余可售面积</t>
  </si>
  <si>
    <t>项目</t>
  </si>
  <si>
    <t>行次</t>
  </si>
  <si>
    <t>普通住宅</t>
  </si>
  <si>
    <t>非普通住宅</t>
  </si>
  <si>
    <t>其他类型房产</t>
  </si>
  <si>
    <t>总额</t>
  </si>
  <si>
    <t>一、转让房地产收入总额</t>
  </si>
  <si>
    <t>1=2+3+4</t>
  </si>
  <si>
    <t>1.货币收入</t>
  </si>
  <si>
    <t>2.实物收入及其他收入</t>
  </si>
  <si>
    <t>3.视同销售收入</t>
  </si>
  <si>
    <t>二、扣除项目金额合计</t>
  </si>
  <si>
    <t>5=6+7+14+17+21+22</t>
  </si>
  <si>
    <t>1.取得土地使用权所支付的金额</t>
  </si>
  <si>
    <t>其中：不可加计扣除金额</t>
  </si>
  <si>
    <t>6-1</t>
  </si>
  <si>
    <t>2.房地产开发成本</t>
  </si>
  <si>
    <t>7=8+9+10+11+12+13</t>
  </si>
  <si>
    <t>其中：土地征用及拆迁补偿费</t>
  </si>
  <si>
    <t xml:space="preserve">      前期工程费</t>
  </si>
  <si>
    <t xml:space="preserve">      建筑安装工程费</t>
  </si>
  <si>
    <t xml:space="preserve">      基础设施费</t>
  </si>
  <si>
    <t xml:space="preserve">      公共配套设施费</t>
  </si>
  <si>
    <t xml:space="preserve">      开发间接费用</t>
  </si>
  <si>
    <t>7-1</t>
  </si>
  <si>
    <t>3.房地产开发费用</t>
  </si>
  <si>
    <t>14=15+16</t>
  </si>
  <si>
    <t>其中：利息支出</t>
  </si>
  <si>
    <t xml:space="preserve">      其他房地产开发费用</t>
  </si>
  <si>
    <t>4.与转让房地产有关的税金等</t>
  </si>
  <si>
    <t>17=18+19+20</t>
  </si>
  <si>
    <t>其中：营业税</t>
  </si>
  <si>
    <t xml:space="preserve">      城市维护建设税</t>
  </si>
  <si>
    <t xml:space="preserve">      教育费附加</t>
  </si>
  <si>
    <t>5.财政部规定的其他扣除项目</t>
  </si>
  <si>
    <t>6.代收费用</t>
  </si>
  <si>
    <t>三、增值额</t>
  </si>
  <si>
    <t>23=1-5</t>
  </si>
  <si>
    <t>四、增值额与扣除项目金额之比（%）</t>
  </si>
  <si>
    <t>24=23÷5</t>
  </si>
  <si>
    <t>五、适用税率（%）</t>
  </si>
  <si>
    <t>六、速算扣除系数（%）</t>
  </si>
  <si>
    <t>七、应缴土地增值税税额</t>
  </si>
  <si>
    <t>27=23*25-5*26</t>
  </si>
  <si>
    <t>八、减免税额</t>
  </si>
  <si>
    <t>28=30+32+34</t>
  </si>
  <si>
    <t>其中：减免税（1）</t>
  </si>
  <si>
    <t>减免性质代码和项目名称(1)</t>
  </si>
  <si>
    <t>减免税额(1)</t>
  </si>
  <si>
    <t xml:space="preserve">      减免税（2）</t>
  </si>
  <si>
    <t>减免性质代码和项目名称(2)</t>
  </si>
  <si>
    <t>减免税额(2)</t>
  </si>
  <si>
    <t xml:space="preserve">      减免税（3）</t>
  </si>
  <si>
    <t>减免性质代码和项目名称(3)</t>
  </si>
  <si>
    <t>减免税额(3)</t>
  </si>
  <si>
    <t>九、已缴土地增值税税额</t>
  </si>
  <si>
    <t>十、应补（退）土地增值税税额</t>
  </si>
  <si>
    <t>36=27-28-35</t>
  </si>
  <si>
    <r>
      <rPr>
        <sz val="16"/>
        <rFont val="方正小标宋简体"/>
        <charset val="134"/>
      </rPr>
      <t>T21000</t>
    </r>
    <r>
      <rPr>
        <sz val="16"/>
        <rFont val="微软雅黑"/>
        <charset val="134"/>
      </rPr>
      <t>附表</t>
    </r>
    <r>
      <rPr>
        <sz val="16"/>
        <rFont val="方正小标宋简体"/>
        <charset val="134"/>
      </rPr>
      <t>1-</t>
    </r>
    <r>
      <rPr>
        <sz val="16"/>
        <rFont val="微软雅黑"/>
        <charset val="134"/>
      </rPr>
      <t>面积统计表</t>
    </r>
  </si>
  <si>
    <t xml:space="preserve">面积基本信息  </t>
  </si>
  <si>
    <t>房屋类型</t>
  </si>
  <si>
    <t>测绘总建筑面积</t>
  </si>
  <si>
    <t>不可销售建筑面积</t>
  </si>
  <si>
    <t>总可售建筑面积</t>
  </si>
  <si>
    <t>已售建筑面积</t>
  </si>
  <si>
    <t>剩余可售建筑面积</t>
  </si>
  <si>
    <t>自用建筑面积</t>
  </si>
  <si>
    <t>出租建筑面积</t>
  </si>
  <si>
    <t>说明</t>
  </si>
  <si>
    <t>1=2+3</t>
  </si>
  <si>
    <t>5=3-4
5≥6+7</t>
  </si>
  <si>
    <t>面积比例信息</t>
  </si>
  <si>
    <t>可售面积</t>
  </si>
  <si>
    <t>销售比例</t>
  </si>
  <si>
    <t>自用比例</t>
  </si>
  <si>
    <t>出租比例</t>
  </si>
  <si>
    <t>销售、出租、自用比例</t>
  </si>
  <si>
    <t>11=10÷9</t>
  </si>
  <si>
    <r>
      <rPr>
        <sz val="16"/>
        <color indexed="8"/>
        <rFont val="方正小标宋简体"/>
        <charset val="134"/>
      </rPr>
      <t>T22000</t>
    </r>
    <r>
      <rPr>
        <sz val="16"/>
        <color rgb="FF000000"/>
        <rFont val="微软雅黑"/>
        <charset val="134"/>
      </rPr>
      <t>附表</t>
    </r>
    <r>
      <rPr>
        <sz val="16"/>
        <color indexed="8"/>
        <rFont val="方正小标宋简体"/>
        <charset val="134"/>
      </rPr>
      <t>2-</t>
    </r>
    <r>
      <rPr>
        <sz val="16"/>
        <color rgb="FF000000"/>
        <rFont val="微软雅黑"/>
        <charset val="134"/>
      </rPr>
      <t>收入统计表</t>
    </r>
  </si>
  <si>
    <t>清算类别</t>
  </si>
  <si>
    <t>货币收入</t>
  </si>
  <si>
    <t>实物收入及其他收入</t>
  </si>
  <si>
    <t>视同销售收入</t>
  </si>
  <si>
    <t>小计</t>
  </si>
  <si>
    <t>4=1+2+3</t>
  </si>
  <si>
    <r>
      <rPr>
        <sz val="16"/>
        <color rgb="FF000000"/>
        <rFont val="方正小标宋简体"/>
        <charset val="134"/>
      </rPr>
      <t>T23000</t>
    </r>
    <r>
      <rPr>
        <sz val="16"/>
        <color rgb="FF000000"/>
        <rFont val="微软雅黑"/>
        <charset val="134"/>
      </rPr>
      <t>附表</t>
    </r>
    <r>
      <rPr>
        <sz val="16"/>
        <color rgb="FF000000"/>
        <rFont val="方正小标宋简体"/>
        <charset val="134"/>
      </rPr>
      <t>3-</t>
    </r>
    <r>
      <rPr>
        <sz val="16"/>
        <color rgb="FF000000"/>
        <rFont val="微软雅黑"/>
        <charset val="134"/>
      </rPr>
      <t>扣除项目分摊表</t>
    </r>
  </si>
  <si>
    <t>科目名称</t>
  </si>
  <si>
    <t>总扣除金额</t>
  </si>
  <si>
    <t>本次扣除比例</t>
  </si>
  <si>
    <t>本次扣除金额</t>
  </si>
  <si>
    <t>分摊方法</t>
  </si>
  <si>
    <t>9=1*6</t>
  </si>
  <si>
    <t>10=2*7</t>
  </si>
  <si>
    <t>11=3*8</t>
  </si>
  <si>
    <t>12=9+10+11</t>
  </si>
  <si>
    <t>扣除项目金额合计</t>
  </si>
  <si>
    <t>1=2+4+12+15+21+22</t>
  </si>
  <si>
    <t>可售建筑面积法</t>
  </si>
  <si>
    <t>4=5+6+7+8+9+10</t>
  </si>
  <si>
    <t>12=13+14</t>
  </si>
  <si>
    <t>与加计扣除一致</t>
  </si>
  <si>
    <t>15=16+17+18+19+20</t>
  </si>
  <si>
    <t>17</t>
  </si>
  <si>
    <t>18</t>
  </si>
  <si>
    <t xml:space="preserve">      地方教育附加</t>
  </si>
  <si>
    <t>19</t>
  </si>
  <si>
    <t xml:space="preserve">      其他税（费）</t>
  </si>
  <si>
    <t>20</t>
  </si>
  <si>
    <t>21=[(2-3)+(4-11)]*20%</t>
  </si>
  <si>
    <t>22</t>
  </si>
  <si>
    <t>附表4-项目间分摊信息采集表</t>
  </si>
  <si>
    <t>*是否已办理项目报告</t>
  </si>
  <si>
    <t>开发土地总面积</t>
  </si>
  <si>
    <t>其他分摊方法数额</t>
  </si>
  <si>
    <t>备注</t>
  </si>
  <si>
    <t>本次清算项目</t>
  </si>
  <si>
    <t>Z65280120200027</t>
  </si>
  <si>
    <t>沁春锦苑三期</t>
  </si>
  <si>
    <t>Z65280120210001</t>
  </si>
  <si>
    <r>
      <rPr>
        <sz val="14"/>
        <rFont val="方正小标宋简体"/>
        <charset val="134"/>
      </rPr>
      <t>T23200</t>
    </r>
    <r>
      <rPr>
        <sz val="14"/>
        <rFont val="微软雅黑"/>
        <charset val="134"/>
      </rPr>
      <t>附表</t>
    </r>
    <r>
      <rPr>
        <sz val="14"/>
        <rFont val="方正小标宋简体"/>
        <charset val="134"/>
      </rPr>
      <t>5-</t>
    </r>
    <r>
      <rPr>
        <sz val="14"/>
        <rFont val="微软雅黑"/>
        <charset val="134"/>
      </rPr>
      <t>扣除项目统计表</t>
    </r>
  </si>
  <si>
    <t>直接归集成本费用</t>
  </si>
  <si>
    <t>共同成本费用</t>
  </si>
  <si>
    <t>8=5+6+7</t>
  </si>
  <si>
    <t>9=4+8</t>
  </si>
  <si>
    <t>其中</t>
  </si>
  <si>
    <t>房地产开发成本</t>
  </si>
  <si>
    <t>计算扣除</t>
  </si>
  <si>
    <t>其它房地产开发费用</t>
  </si>
  <si>
    <t>与转让房地产有关的税金</t>
  </si>
  <si>
    <t>营业税</t>
  </si>
  <si>
    <t>城市维护建设税</t>
  </si>
  <si>
    <t>教育费附加</t>
  </si>
  <si>
    <t>地方教育费附加</t>
  </si>
  <si>
    <t>其他税（费）</t>
  </si>
  <si>
    <t>财政部规定的其他扣除项目</t>
  </si>
  <si>
    <t>代收费用</t>
  </si>
  <si>
    <r>
      <rPr>
        <sz val="16"/>
        <color rgb="FF000000"/>
        <rFont val="方正小标宋简体"/>
        <charset val="134"/>
      </rPr>
      <t>T22100</t>
    </r>
    <r>
      <rPr>
        <sz val="16"/>
        <color rgb="FF000000"/>
        <rFont val="微软雅黑"/>
        <charset val="134"/>
      </rPr>
      <t>附表</t>
    </r>
    <r>
      <rPr>
        <sz val="16"/>
        <color rgb="FF000000"/>
        <rFont val="方正小标宋简体"/>
        <charset val="134"/>
      </rPr>
      <t>6-</t>
    </r>
    <r>
      <rPr>
        <sz val="16"/>
        <color rgb="FF000000"/>
        <rFont val="微软雅黑"/>
        <charset val="134"/>
      </rPr>
      <t>收入明细采集底稿</t>
    </r>
  </si>
  <si>
    <t>幢号</t>
  </si>
  <si>
    <t>单元号</t>
  </si>
  <si>
    <t>*楼层</t>
  </si>
  <si>
    <t>*房号</t>
  </si>
  <si>
    <t>*房屋类型</t>
  </si>
  <si>
    <t>*房屋状态</t>
  </si>
  <si>
    <t>*收入类型</t>
  </si>
  <si>
    <t>（网签）合同编号</t>
  </si>
  <si>
    <t>*合同签订时间</t>
  </si>
  <si>
    <t>合同金额</t>
  </si>
  <si>
    <t>购房人姓名</t>
  </si>
  <si>
    <t>合同建筑面积（㎡）</t>
  </si>
  <si>
    <t>合同套内面积（㎡）</t>
  </si>
  <si>
    <t>*实测建筑面积（㎡）</t>
  </si>
  <si>
    <t>实测套内面积（㎡）</t>
  </si>
  <si>
    <t>朝向</t>
  </si>
  <si>
    <t>发票代码</t>
  </si>
  <si>
    <t>发票号码</t>
  </si>
  <si>
    <t>发票金额</t>
  </si>
  <si>
    <t>发票税额</t>
  </si>
  <si>
    <t>发票价税合计</t>
  </si>
  <si>
    <t>*土地增值税应税收入</t>
  </si>
  <si>
    <t>土地增值税应税单价</t>
  </si>
  <si>
    <t>情况说明</t>
  </si>
  <si>
    <t>总计</t>
  </si>
  <si>
    <t>*</t>
  </si>
  <si>
    <t>筛选小计</t>
  </si>
  <si>
    <t>列次</t>
  </si>
  <si>
    <t>13≥14</t>
  </si>
  <si>
    <t>15≥16</t>
  </si>
  <si>
    <t>21</t>
  </si>
  <si>
    <t>22=20+21</t>
  </si>
  <si>
    <t>23</t>
  </si>
  <si>
    <t>24=23÷15</t>
  </si>
  <si>
    <t>25</t>
  </si>
  <si>
    <t>19-1-101</t>
  </si>
  <si>
    <t>已售</t>
  </si>
  <si>
    <t>20200002716</t>
  </si>
  <si>
    <t>宋冠枫、李玉玲</t>
  </si>
  <si>
    <t>065001800105</t>
  </si>
  <si>
    <t>03750107</t>
  </si>
  <si>
    <t>19-1-102</t>
  </si>
  <si>
    <t>张家彬</t>
  </si>
  <si>
    <t>03750067</t>
  </si>
  <si>
    <t>19-1-201</t>
  </si>
  <si>
    <t>钱亦晨</t>
  </si>
  <si>
    <t>03750108</t>
  </si>
  <si>
    <t>19-1-202</t>
  </si>
  <si>
    <t>吴燕、王强</t>
  </si>
  <si>
    <t>03750083</t>
  </si>
  <si>
    <t>19-1-301</t>
  </si>
  <si>
    <t>马强</t>
  </si>
  <si>
    <t>03750102</t>
  </si>
  <si>
    <t>19-1-302</t>
  </si>
  <si>
    <t>龚鑫</t>
  </si>
  <si>
    <t>03750080</t>
  </si>
  <si>
    <t>19-1-401</t>
  </si>
  <si>
    <t>郑泽敏</t>
  </si>
  <si>
    <t>03750089</t>
  </si>
  <si>
    <t>19-1-402</t>
  </si>
  <si>
    <t>李冰</t>
  </si>
  <si>
    <t>03750109</t>
  </si>
  <si>
    <t>19-1-501</t>
  </si>
  <si>
    <t>王盼盼</t>
  </si>
  <si>
    <t>03750110</t>
  </si>
  <si>
    <t>19-1-502</t>
  </si>
  <si>
    <t>时乐然</t>
  </si>
  <si>
    <t>03750111</t>
  </si>
  <si>
    <t>19-1-601</t>
  </si>
  <si>
    <t>牛克松</t>
  </si>
  <si>
    <t>04520545</t>
  </si>
  <si>
    <t>19-1-602</t>
  </si>
  <si>
    <t>张晓鹏</t>
  </si>
  <si>
    <t>04520535</t>
  </si>
  <si>
    <t>19-1-701</t>
  </si>
  <si>
    <t>巴英星</t>
  </si>
  <si>
    <t>03750112</t>
  </si>
  <si>
    <t>19-1-702</t>
  </si>
  <si>
    <t>赵士铭</t>
  </si>
  <si>
    <t>03750061</t>
  </si>
  <si>
    <t>19-1-801</t>
  </si>
  <si>
    <t>魏永强</t>
  </si>
  <si>
    <t>03750070</t>
  </si>
  <si>
    <t>19-1-802</t>
  </si>
  <si>
    <t>雒瑞洋</t>
  </si>
  <si>
    <t>03750063</t>
  </si>
  <si>
    <t>19-2-101</t>
  </si>
  <si>
    <t>20200008574</t>
  </si>
  <si>
    <t>李江艳</t>
  </si>
  <si>
    <t>03750091</t>
  </si>
  <si>
    <t>19-2-102</t>
  </si>
  <si>
    <t>朱平、许瑞娟</t>
  </si>
  <si>
    <t>03750087</t>
  </si>
  <si>
    <t>19-2-201</t>
  </si>
  <si>
    <t>熊惠</t>
  </si>
  <si>
    <t>03750113</t>
  </si>
  <si>
    <t>19-2-202</t>
  </si>
  <si>
    <t>盛小艳</t>
  </si>
  <si>
    <t>01913590</t>
  </si>
  <si>
    <t>19-2-301</t>
  </si>
  <si>
    <t>董进宝</t>
  </si>
  <si>
    <t>03750114</t>
  </si>
  <si>
    <t>19-2-302</t>
  </si>
  <si>
    <t>胡钰</t>
  </si>
  <si>
    <t>03750115</t>
  </si>
  <si>
    <t>19-2-401</t>
  </si>
  <si>
    <t>候磊</t>
  </si>
  <si>
    <t>03750076</t>
  </si>
  <si>
    <t>24</t>
  </si>
  <si>
    <t>19-2-402</t>
  </si>
  <si>
    <t>闫一铭</t>
  </si>
  <si>
    <t>03750116</t>
  </si>
  <si>
    <t>19-2-501</t>
  </si>
  <si>
    <t>杨东方</t>
  </si>
  <si>
    <t>03750117</t>
  </si>
  <si>
    <t>26</t>
  </si>
  <si>
    <t>19-2-502</t>
  </si>
  <si>
    <t>陆志成</t>
  </si>
  <si>
    <t>34520536</t>
  </si>
  <si>
    <t>27</t>
  </si>
  <si>
    <t>19-2-601</t>
  </si>
  <si>
    <t>贺俊歌</t>
  </si>
  <si>
    <t>03750119</t>
  </si>
  <si>
    <t>28</t>
  </si>
  <si>
    <t>19-2-602</t>
  </si>
  <si>
    <t>陈静</t>
  </si>
  <si>
    <t>04520537</t>
  </si>
  <si>
    <t>29</t>
  </si>
  <si>
    <t>19-2-701</t>
  </si>
  <si>
    <t>高军</t>
  </si>
  <si>
    <t>03750120</t>
  </si>
  <si>
    <t>30</t>
  </si>
  <si>
    <t>19-2-702</t>
  </si>
  <si>
    <t>王洪</t>
  </si>
  <si>
    <t>03720019</t>
  </si>
  <si>
    <t>31</t>
  </si>
  <si>
    <t>19-2-801</t>
  </si>
  <si>
    <t>张鹏、詹芳娜</t>
  </si>
  <si>
    <t>03750122</t>
  </si>
  <si>
    <t>32</t>
  </si>
  <si>
    <t>19-2-802</t>
  </si>
  <si>
    <t>余赛</t>
  </si>
  <si>
    <t>03750123</t>
  </si>
  <si>
    <t>33</t>
  </si>
  <si>
    <t>19-负1-01</t>
  </si>
  <si>
    <t>其他营业性房产</t>
  </si>
  <si>
    <t>未售</t>
  </si>
  <si>
    <t>34</t>
  </si>
  <si>
    <t>19-负1-02</t>
  </si>
  <si>
    <t>35</t>
  </si>
  <si>
    <t>19-2-负1-01</t>
  </si>
  <si>
    <t>36</t>
  </si>
  <si>
    <t>19-2-负1-02</t>
  </si>
  <si>
    <t>37</t>
  </si>
  <si>
    <t>20-1-101</t>
  </si>
  <si>
    <t>202100007777</t>
  </si>
  <si>
    <t>支静、达通航</t>
  </si>
  <si>
    <t>09178451</t>
  </si>
  <si>
    <t>38</t>
  </si>
  <si>
    <t>20-1-102</t>
  </si>
  <si>
    <t>20220004160</t>
  </si>
  <si>
    <t>毛楠</t>
  </si>
  <si>
    <t>01496800</t>
  </si>
  <si>
    <t>39</t>
  </si>
  <si>
    <t>20-1-201</t>
  </si>
  <si>
    <t>20200003476</t>
  </si>
  <si>
    <t>刘雅鑫</t>
  </si>
  <si>
    <t>04520558</t>
  </si>
  <si>
    <t>40</t>
  </si>
  <si>
    <t>20-1-202</t>
  </si>
  <si>
    <t>韩智远</t>
  </si>
  <si>
    <t>04520559</t>
  </si>
  <si>
    <t>41</t>
  </si>
  <si>
    <t>20-1-301</t>
  </si>
  <si>
    <t>鞠杰</t>
  </si>
  <si>
    <t>04520560</t>
  </si>
  <si>
    <t>42</t>
  </si>
  <si>
    <t>20-1-302</t>
  </si>
  <si>
    <t>陈兆</t>
  </si>
  <si>
    <t>04520561</t>
  </si>
  <si>
    <t>43</t>
  </si>
  <si>
    <t>20-1-401</t>
  </si>
  <si>
    <t>20200002327</t>
  </si>
  <si>
    <t>郭红波、李令娥</t>
  </si>
  <si>
    <t>03750078</t>
  </si>
  <si>
    <t>44</t>
  </si>
  <si>
    <t>20-1-402</t>
  </si>
  <si>
    <t>钱娅文</t>
  </si>
  <si>
    <t>04520562</t>
  </si>
  <si>
    <t>45</t>
  </si>
  <si>
    <t>20-1-501</t>
  </si>
  <si>
    <t>王晓彤</t>
  </si>
  <si>
    <t>04520544</t>
  </si>
  <si>
    <t>46</t>
  </si>
  <si>
    <t>20-1-502</t>
  </si>
  <si>
    <t>2020000256</t>
  </si>
  <si>
    <t>李彩侠</t>
  </si>
  <si>
    <t>04520563</t>
  </si>
  <si>
    <t>47</t>
  </si>
  <si>
    <t>20-1-601</t>
  </si>
  <si>
    <t>2020004926</t>
  </si>
  <si>
    <t>霍天岩、江萍</t>
  </si>
  <si>
    <t>04520543</t>
  </si>
  <si>
    <t>48</t>
  </si>
  <si>
    <t>20-1-602</t>
  </si>
  <si>
    <t>20200002460</t>
  </si>
  <si>
    <t>李海峰</t>
  </si>
  <si>
    <t>03750084</t>
  </si>
  <si>
    <t>49</t>
  </si>
  <si>
    <t>20-1-701</t>
  </si>
  <si>
    <t>20200010195</t>
  </si>
  <si>
    <t>刘小超</t>
  </si>
  <si>
    <t>03750071;01913672</t>
  </si>
  <si>
    <t>50</t>
  </si>
  <si>
    <t>20-1-702</t>
  </si>
  <si>
    <t>张丁丁</t>
  </si>
  <si>
    <t>51</t>
  </si>
  <si>
    <t>20-2-101</t>
  </si>
  <si>
    <t>魏光辉</t>
  </si>
  <si>
    <t>01913666;01913667</t>
  </si>
  <si>
    <t>52</t>
  </si>
  <si>
    <t>20-2-102</t>
  </si>
  <si>
    <t>孟俊彤</t>
  </si>
  <si>
    <t>04520564;04520565</t>
  </si>
  <si>
    <t>53</t>
  </si>
  <si>
    <t>20-2-201</t>
  </si>
  <si>
    <t>杨巧玲、杨兵义</t>
  </si>
  <si>
    <t>03750090</t>
  </si>
  <si>
    <t>54</t>
  </si>
  <si>
    <t>20-2-202</t>
  </si>
  <si>
    <t>20200003570</t>
  </si>
  <si>
    <t>王瑶</t>
  </si>
  <si>
    <t>04520541</t>
  </si>
  <si>
    <t>55</t>
  </si>
  <si>
    <t>20-2-301</t>
  </si>
  <si>
    <t>夏潇男</t>
  </si>
  <si>
    <t>04520566</t>
  </si>
  <si>
    <t>56</t>
  </si>
  <si>
    <t>20-2-302</t>
  </si>
  <si>
    <t>20200001976</t>
  </si>
  <si>
    <t>蔡言逊</t>
  </si>
  <si>
    <t>03750073</t>
  </si>
  <si>
    <t>57</t>
  </si>
  <si>
    <t>20-2-401</t>
  </si>
  <si>
    <t>班鲁</t>
  </si>
  <si>
    <t>04520567</t>
  </si>
  <si>
    <t>58</t>
  </si>
  <si>
    <t>20-2-402</t>
  </si>
  <si>
    <t>王丽</t>
  </si>
  <si>
    <t>03720020</t>
  </si>
  <si>
    <t>59</t>
  </si>
  <si>
    <t>20-2-501</t>
  </si>
  <si>
    <t>熊红群</t>
  </si>
  <si>
    <t>04520568</t>
  </si>
  <si>
    <t>60</t>
  </si>
  <si>
    <t>20-2-502</t>
  </si>
  <si>
    <t>陈泽琦</t>
  </si>
  <si>
    <t>04520542</t>
  </si>
  <si>
    <t>61</t>
  </si>
  <si>
    <t>20-2-601</t>
  </si>
  <si>
    <t>万晓彬/杨晓红</t>
  </si>
  <si>
    <t>03750079</t>
  </si>
  <si>
    <t>62</t>
  </si>
  <si>
    <t>20-2-602</t>
  </si>
  <si>
    <t>成立元</t>
  </si>
  <si>
    <t>04520569</t>
  </si>
  <si>
    <t>63</t>
  </si>
  <si>
    <t>20-2-701</t>
  </si>
  <si>
    <t>64</t>
  </si>
  <si>
    <t>20-2-702</t>
  </si>
  <si>
    <t>杨平</t>
  </si>
  <si>
    <t>24652000000042634568</t>
  </si>
  <si>
    <t>65</t>
  </si>
  <si>
    <t>20-负1-01</t>
  </si>
  <si>
    <t>66</t>
  </si>
  <si>
    <t>20-负1-02</t>
  </si>
  <si>
    <t>67</t>
  </si>
  <si>
    <t>20-2-负1-01</t>
  </si>
  <si>
    <t>68</t>
  </si>
  <si>
    <t>20-2-负2-102</t>
  </si>
  <si>
    <t>69</t>
  </si>
  <si>
    <t>23-1-101</t>
  </si>
  <si>
    <t>余东立</t>
  </si>
  <si>
    <t>03750092</t>
  </si>
  <si>
    <t>70</t>
  </si>
  <si>
    <t>23-1-102</t>
  </si>
  <si>
    <t>孟周强</t>
  </si>
  <si>
    <t>03750124</t>
  </si>
  <si>
    <t>71</t>
  </si>
  <si>
    <t>23-1-201</t>
  </si>
  <si>
    <t>方锐</t>
  </si>
  <si>
    <t>03720025</t>
  </si>
  <si>
    <t>72</t>
  </si>
  <si>
    <t>23-1-202</t>
  </si>
  <si>
    <t>王建红、李绪军</t>
  </si>
  <si>
    <t>03750062</t>
  </si>
  <si>
    <t>73</t>
  </si>
  <si>
    <t>23-1-301</t>
  </si>
  <si>
    <t>刘强、杨雪勤</t>
  </si>
  <si>
    <t>03720026</t>
  </si>
  <si>
    <t>74</t>
  </si>
  <si>
    <t>23-1-302</t>
  </si>
  <si>
    <t>李士伟</t>
  </si>
  <si>
    <t>03720027</t>
  </si>
  <si>
    <t>75</t>
  </si>
  <si>
    <t>23-1-401</t>
  </si>
  <si>
    <t>张得芳</t>
  </si>
  <si>
    <t>03720028</t>
  </si>
  <si>
    <t>76</t>
  </si>
  <si>
    <t>23-1-402</t>
  </si>
  <si>
    <t>赵文辉</t>
  </si>
  <si>
    <t>24652000000036037051</t>
  </si>
  <si>
    <t>77</t>
  </si>
  <si>
    <t>23-1-501</t>
  </si>
  <si>
    <t>武军德</t>
  </si>
  <si>
    <t>03750074</t>
  </si>
  <si>
    <t>78</t>
  </si>
  <si>
    <t>23-1-502</t>
  </si>
  <si>
    <t>洪洋</t>
  </si>
  <si>
    <t>03750064</t>
  </si>
  <si>
    <t>79</t>
  </si>
  <si>
    <t>23-1-601</t>
  </si>
  <si>
    <t>王强强</t>
  </si>
  <si>
    <t>04520519</t>
  </si>
  <si>
    <t>80</t>
  </si>
  <si>
    <t>23-1-602</t>
  </si>
  <si>
    <t>王苍成</t>
  </si>
  <si>
    <t>03750068</t>
  </si>
  <si>
    <t>81</t>
  </si>
  <si>
    <t>23-1-701</t>
  </si>
  <si>
    <t>陈斌</t>
  </si>
  <si>
    <t>04520546</t>
  </si>
  <si>
    <t>82</t>
  </si>
  <si>
    <t>23-1-702</t>
  </si>
  <si>
    <t>呼博源</t>
  </si>
  <si>
    <t>03720029</t>
  </si>
  <si>
    <t>83</t>
  </si>
  <si>
    <t>23-1-801</t>
  </si>
  <si>
    <t>谢娟、侯洋中</t>
  </si>
  <si>
    <t>03720030</t>
  </si>
  <si>
    <t>84</t>
  </si>
  <si>
    <t>23-1-802</t>
  </si>
  <si>
    <t>槐新岩、孙莉</t>
  </si>
  <si>
    <t>03720031</t>
  </si>
  <si>
    <t>85</t>
  </si>
  <si>
    <t>23-2-101</t>
  </si>
  <si>
    <t>李川平、何丽红</t>
  </si>
  <si>
    <t>03720032</t>
  </si>
  <si>
    <t>86</t>
  </si>
  <si>
    <t>23-2-102</t>
  </si>
  <si>
    <t>张辉、郭兴辉</t>
  </si>
  <si>
    <t>03720033</t>
  </si>
  <si>
    <t>87</t>
  </si>
  <si>
    <t>23-2-201</t>
  </si>
  <si>
    <t>张书云、韩凯凯</t>
  </si>
  <si>
    <t>03720034</t>
  </si>
  <si>
    <t>88</t>
  </si>
  <si>
    <t>23-2-202</t>
  </si>
  <si>
    <t>张卫平、张爱平</t>
  </si>
  <si>
    <t>03720035</t>
  </si>
  <si>
    <t>89</t>
  </si>
  <si>
    <t>23-2-301</t>
  </si>
  <si>
    <t>李桂芳、张绍增</t>
  </si>
  <si>
    <t>04520557</t>
  </si>
  <si>
    <t>90</t>
  </si>
  <si>
    <t>23-2-302</t>
  </si>
  <si>
    <t>江南杰、刘桂民</t>
  </si>
  <si>
    <t>04520520</t>
  </si>
  <si>
    <t>91</t>
  </si>
  <si>
    <t>23-2-401</t>
  </si>
  <si>
    <t>2019-09-09</t>
  </si>
  <si>
    <t>陈麒宇</t>
  </si>
  <si>
    <t>03750081</t>
  </si>
  <si>
    <t>92</t>
  </si>
  <si>
    <t>23-2-402</t>
  </si>
  <si>
    <t>巴都木道尔吉</t>
  </si>
  <si>
    <t>04520521</t>
  </si>
  <si>
    <t>93</t>
  </si>
  <si>
    <t>23-2-501</t>
  </si>
  <si>
    <t>马秋芳、杨学勤</t>
  </si>
  <si>
    <t>03750118</t>
  </si>
  <si>
    <t>94</t>
  </si>
  <si>
    <t>23-2-502</t>
  </si>
  <si>
    <t>王凯文</t>
  </si>
  <si>
    <t>04520548</t>
  </si>
  <si>
    <t>95</t>
  </si>
  <si>
    <t>23-2-601</t>
  </si>
  <si>
    <t>燕珂旬</t>
  </si>
  <si>
    <t>03750097</t>
  </si>
  <si>
    <t>96</t>
  </si>
  <si>
    <t>23-2-602</t>
  </si>
  <si>
    <t>王盈盈、金永杰</t>
  </si>
  <si>
    <t>04520522</t>
  </si>
  <si>
    <t>97</t>
  </si>
  <si>
    <t>23-2-701</t>
  </si>
  <si>
    <t>王尚昆</t>
  </si>
  <si>
    <t>04520549</t>
  </si>
  <si>
    <t>98</t>
  </si>
  <si>
    <t>23-2-702</t>
  </si>
  <si>
    <t>李文勋</t>
  </si>
  <si>
    <t>04520523</t>
  </si>
  <si>
    <t>99</t>
  </si>
  <si>
    <t>23-2-801</t>
  </si>
  <si>
    <t>胡敏金</t>
  </si>
  <si>
    <t>04520550</t>
  </si>
  <si>
    <t>100</t>
  </si>
  <si>
    <t>23-2-802</t>
  </si>
  <si>
    <t>严郑华、蒋秀君</t>
  </si>
  <si>
    <t>04520524</t>
  </si>
  <si>
    <t>101</t>
  </si>
  <si>
    <r>
      <rPr>
        <sz val="11"/>
        <rFont val="Times New Roman"/>
        <charset val="134"/>
      </rPr>
      <t>23-</t>
    </r>
    <r>
      <rPr>
        <sz val="11"/>
        <rFont val="宋体"/>
        <charset val="134"/>
      </rPr>
      <t>负</t>
    </r>
    <r>
      <rPr>
        <sz val="11"/>
        <rFont val="Times New Roman"/>
        <charset val="134"/>
      </rPr>
      <t>1-101</t>
    </r>
  </si>
  <si>
    <t>102</t>
  </si>
  <si>
    <r>
      <rPr>
        <sz val="11"/>
        <rFont val="Times New Roman"/>
        <charset val="134"/>
      </rPr>
      <t>23-</t>
    </r>
    <r>
      <rPr>
        <sz val="11"/>
        <rFont val="宋体"/>
        <charset val="134"/>
      </rPr>
      <t>负</t>
    </r>
    <r>
      <rPr>
        <sz val="11"/>
        <rFont val="Times New Roman"/>
        <charset val="134"/>
      </rPr>
      <t>1-102</t>
    </r>
  </si>
  <si>
    <t>103</t>
  </si>
  <si>
    <r>
      <rPr>
        <sz val="11"/>
        <rFont val="Times New Roman"/>
        <charset val="134"/>
      </rPr>
      <t>23-</t>
    </r>
    <r>
      <rPr>
        <sz val="11"/>
        <rFont val="宋体"/>
        <charset val="134"/>
      </rPr>
      <t>负</t>
    </r>
    <r>
      <rPr>
        <sz val="11"/>
        <rFont val="Times New Roman"/>
        <charset val="134"/>
      </rPr>
      <t>1-103</t>
    </r>
  </si>
  <si>
    <t>104</t>
  </si>
  <si>
    <r>
      <rPr>
        <sz val="11"/>
        <rFont val="Times New Roman"/>
        <charset val="134"/>
      </rPr>
      <t>23-</t>
    </r>
    <r>
      <rPr>
        <sz val="11"/>
        <rFont val="宋体"/>
        <charset val="134"/>
      </rPr>
      <t>负</t>
    </r>
    <r>
      <rPr>
        <sz val="11"/>
        <rFont val="Times New Roman"/>
        <charset val="134"/>
      </rPr>
      <t>1-104</t>
    </r>
  </si>
  <si>
    <t>105</t>
  </si>
  <si>
    <r>
      <rPr>
        <sz val="11"/>
        <rFont val="Times New Roman"/>
        <charset val="134"/>
      </rPr>
      <t>23-</t>
    </r>
    <r>
      <rPr>
        <sz val="11"/>
        <rFont val="宋体"/>
        <charset val="134"/>
      </rPr>
      <t>负</t>
    </r>
    <r>
      <rPr>
        <sz val="11"/>
        <rFont val="Times New Roman"/>
        <charset val="134"/>
      </rPr>
      <t>1-105</t>
    </r>
  </si>
  <si>
    <t>106</t>
  </si>
  <si>
    <r>
      <rPr>
        <sz val="11"/>
        <rFont val="Times New Roman"/>
        <charset val="134"/>
      </rPr>
      <t>23-</t>
    </r>
    <r>
      <rPr>
        <sz val="11"/>
        <rFont val="宋体"/>
        <charset val="134"/>
      </rPr>
      <t>负</t>
    </r>
    <r>
      <rPr>
        <sz val="11"/>
        <rFont val="Times New Roman"/>
        <charset val="134"/>
      </rPr>
      <t>1-106</t>
    </r>
  </si>
  <si>
    <t>107</t>
  </si>
  <si>
    <r>
      <rPr>
        <sz val="11"/>
        <rFont val="Times New Roman"/>
        <charset val="134"/>
      </rPr>
      <t>23-</t>
    </r>
    <r>
      <rPr>
        <sz val="11"/>
        <rFont val="宋体"/>
        <charset val="134"/>
      </rPr>
      <t>负</t>
    </r>
    <r>
      <rPr>
        <sz val="11"/>
        <rFont val="Times New Roman"/>
        <charset val="134"/>
      </rPr>
      <t>1-107</t>
    </r>
  </si>
  <si>
    <t>108</t>
  </si>
  <si>
    <r>
      <rPr>
        <sz val="11"/>
        <rFont val="Times New Roman"/>
        <charset val="134"/>
      </rPr>
      <t>23-</t>
    </r>
    <r>
      <rPr>
        <sz val="11"/>
        <rFont val="宋体"/>
        <charset val="134"/>
      </rPr>
      <t>负</t>
    </r>
    <r>
      <rPr>
        <sz val="11"/>
        <rFont val="Times New Roman"/>
        <charset val="134"/>
      </rPr>
      <t>1-108</t>
    </r>
  </si>
  <si>
    <t>109</t>
  </si>
  <si>
    <r>
      <rPr>
        <sz val="11"/>
        <rFont val="Times New Roman"/>
        <charset val="134"/>
      </rPr>
      <t>23-</t>
    </r>
    <r>
      <rPr>
        <sz val="11"/>
        <rFont val="宋体"/>
        <charset val="134"/>
      </rPr>
      <t>负</t>
    </r>
    <r>
      <rPr>
        <sz val="11"/>
        <rFont val="Times New Roman"/>
        <charset val="134"/>
      </rPr>
      <t>1-109</t>
    </r>
  </si>
  <si>
    <t>110</t>
  </si>
  <si>
    <r>
      <rPr>
        <sz val="11"/>
        <rFont val="Times New Roman"/>
        <charset val="134"/>
      </rPr>
      <t>23-</t>
    </r>
    <r>
      <rPr>
        <sz val="11"/>
        <rFont val="宋体"/>
        <charset val="134"/>
      </rPr>
      <t>负</t>
    </r>
    <r>
      <rPr>
        <sz val="11"/>
        <rFont val="Times New Roman"/>
        <charset val="134"/>
      </rPr>
      <t>1-110</t>
    </r>
  </si>
  <si>
    <t>111</t>
  </si>
  <si>
    <r>
      <rPr>
        <sz val="11"/>
        <rFont val="Times New Roman"/>
        <charset val="134"/>
      </rPr>
      <t>23-</t>
    </r>
    <r>
      <rPr>
        <sz val="11"/>
        <rFont val="宋体"/>
        <charset val="134"/>
      </rPr>
      <t>负</t>
    </r>
    <r>
      <rPr>
        <sz val="11"/>
        <rFont val="Times New Roman"/>
        <charset val="134"/>
      </rPr>
      <t>1-111</t>
    </r>
  </si>
  <si>
    <t>112</t>
  </si>
  <si>
    <r>
      <rPr>
        <sz val="11"/>
        <rFont val="Times New Roman"/>
        <charset val="134"/>
      </rPr>
      <t>23-</t>
    </r>
    <r>
      <rPr>
        <sz val="11"/>
        <rFont val="宋体"/>
        <charset val="134"/>
      </rPr>
      <t>负</t>
    </r>
    <r>
      <rPr>
        <sz val="11"/>
        <rFont val="Times New Roman"/>
        <charset val="134"/>
      </rPr>
      <t>1-112</t>
    </r>
  </si>
  <si>
    <t>113</t>
  </si>
  <si>
    <r>
      <rPr>
        <sz val="11"/>
        <rFont val="Times New Roman"/>
        <charset val="134"/>
      </rPr>
      <t>23-</t>
    </r>
    <r>
      <rPr>
        <sz val="11"/>
        <rFont val="宋体"/>
        <charset val="134"/>
      </rPr>
      <t>负</t>
    </r>
    <r>
      <rPr>
        <sz val="11"/>
        <rFont val="Times New Roman"/>
        <charset val="134"/>
      </rPr>
      <t>1-113</t>
    </r>
  </si>
  <si>
    <t>114</t>
  </si>
  <si>
    <r>
      <rPr>
        <sz val="11"/>
        <rFont val="Times New Roman"/>
        <charset val="134"/>
      </rPr>
      <t>23-</t>
    </r>
    <r>
      <rPr>
        <sz val="11"/>
        <rFont val="宋体"/>
        <charset val="134"/>
      </rPr>
      <t>负</t>
    </r>
    <r>
      <rPr>
        <sz val="11"/>
        <rFont val="Times New Roman"/>
        <charset val="134"/>
      </rPr>
      <t>1-114</t>
    </r>
  </si>
  <si>
    <t>115</t>
  </si>
  <si>
    <r>
      <rPr>
        <sz val="11"/>
        <rFont val="Times New Roman"/>
        <charset val="134"/>
      </rPr>
      <t>23-</t>
    </r>
    <r>
      <rPr>
        <sz val="11"/>
        <rFont val="宋体"/>
        <charset val="134"/>
      </rPr>
      <t>负</t>
    </r>
    <r>
      <rPr>
        <sz val="11"/>
        <rFont val="Times New Roman"/>
        <charset val="134"/>
      </rPr>
      <t>1-115</t>
    </r>
  </si>
  <si>
    <t>116</t>
  </si>
  <si>
    <r>
      <rPr>
        <sz val="11"/>
        <rFont val="Times New Roman"/>
        <charset val="134"/>
      </rPr>
      <t>23-</t>
    </r>
    <r>
      <rPr>
        <sz val="11"/>
        <rFont val="宋体"/>
        <charset val="134"/>
      </rPr>
      <t>负</t>
    </r>
    <r>
      <rPr>
        <sz val="11"/>
        <rFont val="Times New Roman"/>
        <charset val="134"/>
      </rPr>
      <t>1-116</t>
    </r>
  </si>
  <si>
    <t>117</t>
  </si>
  <si>
    <r>
      <rPr>
        <sz val="11"/>
        <rFont val="Times New Roman"/>
        <charset val="134"/>
      </rPr>
      <t>23-</t>
    </r>
    <r>
      <rPr>
        <sz val="11"/>
        <rFont val="宋体"/>
        <charset val="134"/>
      </rPr>
      <t>负</t>
    </r>
    <r>
      <rPr>
        <sz val="11"/>
        <rFont val="Times New Roman"/>
        <charset val="134"/>
      </rPr>
      <t>2-201</t>
    </r>
  </si>
  <si>
    <t>118</t>
  </si>
  <si>
    <r>
      <rPr>
        <sz val="11"/>
        <rFont val="Times New Roman"/>
        <charset val="134"/>
      </rPr>
      <t>23-</t>
    </r>
    <r>
      <rPr>
        <sz val="11"/>
        <rFont val="宋体"/>
        <charset val="134"/>
      </rPr>
      <t>负</t>
    </r>
    <r>
      <rPr>
        <sz val="11"/>
        <rFont val="Times New Roman"/>
        <charset val="134"/>
      </rPr>
      <t>2-202</t>
    </r>
  </si>
  <si>
    <t>119</t>
  </si>
  <si>
    <r>
      <rPr>
        <sz val="11"/>
        <rFont val="Times New Roman"/>
        <charset val="134"/>
      </rPr>
      <t>23-</t>
    </r>
    <r>
      <rPr>
        <sz val="11"/>
        <rFont val="宋体"/>
        <charset val="134"/>
      </rPr>
      <t>负</t>
    </r>
    <r>
      <rPr>
        <sz val="11"/>
        <rFont val="Times New Roman"/>
        <charset val="134"/>
      </rPr>
      <t>2-203</t>
    </r>
  </si>
  <si>
    <t>120</t>
  </si>
  <si>
    <r>
      <rPr>
        <sz val="11"/>
        <rFont val="Times New Roman"/>
        <charset val="134"/>
      </rPr>
      <t>23-</t>
    </r>
    <r>
      <rPr>
        <sz val="11"/>
        <rFont val="宋体"/>
        <charset val="134"/>
      </rPr>
      <t>负</t>
    </r>
    <r>
      <rPr>
        <sz val="11"/>
        <rFont val="Times New Roman"/>
        <charset val="134"/>
      </rPr>
      <t>2-204</t>
    </r>
  </si>
  <si>
    <t>121</t>
  </si>
  <si>
    <r>
      <rPr>
        <sz val="11"/>
        <rFont val="Times New Roman"/>
        <charset val="134"/>
      </rPr>
      <t>23-</t>
    </r>
    <r>
      <rPr>
        <sz val="11"/>
        <rFont val="宋体"/>
        <charset val="134"/>
      </rPr>
      <t>负</t>
    </r>
    <r>
      <rPr>
        <sz val="11"/>
        <rFont val="Times New Roman"/>
        <charset val="134"/>
      </rPr>
      <t>2-205</t>
    </r>
  </si>
  <si>
    <t>122</t>
  </si>
  <si>
    <r>
      <rPr>
        <sz val="11"/>
        <rFont val="Times New Roman"/>
        <charset val="134"/>
      </rPr>
      <t>23-</t>
    </r>
    <r>
      <rPr>
        <sz val="11"/>
        <rFont val="宋体"/>
        <charset val="134"/>
      </rPr>
      <t>负</t>
    </r>
    <r>
      <rPr>
        <sz val="11"/>
        <rFont val="Times New Roman"/>
        <charset val="134"/>
      </rPr>
      <t>2-206</t>
    </r>
  </si>
  <si>
    <t>123</t>
  </si>
  <si>
    <r>
      <rPr>
        <sz val="11"/>
        <rFont val="Times New Roman"/>
        <charset val="134"/>
      </rPr>
      <t>23-</t>
    </r>
    <r>
      <rPr>
        <sz val="11"/>
        <rFont val="宋体"/>
        <charset val="134"/>
      </rPr>
      <t>负</t>
    </r>
    <r>
      <rPr>
        <sz val="11"/>
        <rFont val="Times New Roman"/>
        <charset val="134"/>
      </rPr>
      <t>2-207</t>
    </r>
  </si>
  <si>
    <t>124</t>
  </si>
  <si>
    <r>
      <rPr>
        <sz val="11"/>
        <rFont val="Times New Roman"/>
        <charset val="134"/>
      </rPr>
      <t>23-</t>
    </r>
    <r>
      <rPr>
        <sz val="11"/>
        <rFont val="宋体"/>
        <charset val="134"/>
      </rPr>
      <t>负</t>
    </r>
    <r>
      <rPr>
        <sz val="11"/>
        <rFont val="Times New Roman"/>
        <charset val="134"/>
      </rPr>
      <t>2-208</t>
    </r>
  </si>
  <si>
    <t>125</t>
  </si>
  <si>
    <r>
      <rPr>
        <sz val="11"/>
        <rFont val="Times New Roman"/>
        <charset val="134"/>
      </rPr>
      <t>23-</t>
    </r>
    <r>
      <rPr>
        <sz val="11"/>
        <rFont val="宋体"/>
        <charset val="134"/>
      </rPr>
      <t>负</t>
    </r>
    <r>
      <rPr>
        <sz val="11"/>
        <rFont val="Times New Roman"/>
        <charset val="134"/>
      </rPr>
      <t>2-209</t>
    </r>
  </si>
  <si>
    <t>126</t>
  </si>
  <si>
    <r>
      <rPr>
        <sz val="11"/>
        <rFont val="Times New Roman"/>
        <charset val="134"/>
      </rPr>
      <t>23-</t>
    </r>
    <r>
      <rPr>
        <sz val="11"/>
        <rFont val="宋体"/>
        <charset val="134"/>
      </rPr>
      <t>负</t>
    </r>
    <r>
      <rPr>
        <sz val="11"/>
        <rFont val="Times New Roman"/>
        <charset val="134"/>
      </rPr>
      <t>2-210</t>
    </r>
  </si>
  <si>
    <t>127</t>
  </si>
  <si>
    <r>
      <rPr>
        <sz val="11"/>
        <rFont val="Times New Roman"/>
        <charset val="134"/>
      </rPr>
      <t>23-</t>
    </r>
    <r>
      <rPr>
        <sz val="11"/>
        <rFont val="宋体"/>
        <charset val="134"/>
      </rPr>
      <t>负</t>
    </r>
    <r>
      <rPr>
        <sz val="11"/>
        <rFont val="Times New Roman"/>
        <charset val="134"/>
      </rPr>
      <t>2-211</t>
    </r>
  </si>
  <si>
    <t>128</t>
  </si>
  <si>
    <r>
      <rPr>
        <sz val="11"/>
        <rFont val="Times New Roman"/>
        <charset val="134"/>
      </rPr>
      <t>23-</t>
    </r>
    <r>
      <rPr>
        <sz val="11"/>
        <rFont val="宋体"/>
        <charset val="134"/>
      </rPr>
      <t>负</t>
    </r>
    <r>
      <rPr>
        <sz val="11"/>
        <rFont val="Times New Roman"/>
        <charset val="134"/>
      </rPr>
      <t>2-212</t>
    </r>
  </si>
  <si>
    <t>129</t>
  </si>
  <si>
    <r>
      <rPr>
        <sz val="11"/>
        <rFont val="Times New Roman"/>
        <charset val="134"/>
      </rPr>
      <t>23-</t>
    </r>
    <r>
      <rPr>
        <sz val="11"/>
        <rFont val="宋体"/>
        <charset val="134"/>
      </rPr>
      <t>负</t>
    </r>
    <r>
      <rPr>
        <sz val="11"/>
        <rFont val="Times New Roman"/>
        <charset val="134"/>
      </rPr>
      <t>2-213</t>
    </r>
  </si>
  <si>
    <t>130</t>
  </si>
  <si>
    <r>
      <rPr>
        <sz val="11"/>
        <rFont val="Times New Roman"/>
        <charset val="134"/>
      </rPr>
      <t>23-</t>
    </r>
    <r>
      <rPr>
        <sz val="11"/>
        <rFont val="宋体"/>
        <charset val="134"/>
      </rPr>
      <t>负</t>
    </r>
    <r>
      <rPr>
        <sz val="11"/>
        <rFont val="Times New Roman"/>
        <charset val="134"/>
      </rPr>
      <t>2-214</t>
    </r>
  </si>
  <si>
    <t>131</t>
  </si>
  <si>
    <r>
      <rPr>
        <sz val="11"/>
        <rFont val="Times New Roman"/>
        <charset val="134"/>
      </rPr>
      <t>23-</t>
    </r>
    <r>
      <rPr>
        <sz val="11"/>
        <rFont val="宋体"/>
        <charset val="134"/>
      </rPr>
      <t>负</t>
    </r>
    <r>
      <rPr>
        <sz val="11"/>
        <rFont val="Times New Roman"/>
        <charset val="134"/>
      </rPr>
      <t>2-215</t>
    </r>
  </si>
  <si>
    <t>132</t>
  </si>
  <si>
    <r>
      <rPr>
        <sz val="11"/>
        <rFont val="Times New Roman"/>
        <charset val="134"/>
      </rPr>
      <t>23-</t>
    </r>
    <r>
      <rPr>
        <sz val="11"/>
        <rFont val="宋体"/>
        <charset val="134"/>
      </rPr>
      <t>负</t>
    </r>
    <r>
      <rPr>
        <sz val="11"/>
        <rFont val="Times New Roman"/>
        <charset val="134"/>
      </rPr>
      <t>2-216</t>
    </r>
  </si>
  <si>
    <t>133</t>
  </si>
  <si>
    <t>24-1-101</t>
  </si>
  <si>
    <t>刘晓龙、杨楚楚</t>
  </si>
  <si>
    <t>03750065</t>
  </si>
  <si>
    <t>134</t>
  </si>
  <si>
    <t>24-1-102</t>
  </si>
  <si>
    <t>张慧慧、杨建明</t>
  </si>
  <si>
    <t>03750066</t>
  </si>
  <si>
    <t>135</t>
  </si>
  <si>
    <t>24-1-201</t>
  </si>
  <si>
    <t>潘艳荣、李珍</t>
  </si>
  <si>
    <t>04520525</t>
  </si>
  <si>
    <t>136</t>
  </si>
  <si>
    <t>24-1-202</t>
  </si>
  <si>
    <t>20190004291</t>
  </si>
  <si>
    <t>武质健、徐雪</t>
  </si>
  <si>
    <t>03750088</t>
  </si>
  <si>
    <t>137</t>
  </si>
  <si>
    <t>24-1-301</t>
  </si>
  <si>
    <t>李阳</t>
  </si>
  <si>
    <t>04520526</t>
  </si>
  <si>
    <t>138</t>
  </si>
  <si>
    <t>24-1-302</t>
  </si>
  <si>
    <t>文涛</t>
  </si>
  <si>
    <t>04520538</t>
  </si>
  <si>
    <t>139</t>
  </si>
  <si>
    <t>24-1-401</t>
  </si>
  <si>
    <t>夏甜甜</t>
  </si>
  <si>
    <t>04520539</t>
  </si>
  <si>
    <t>140</t>
  </si>
  <si>
    <t>24-1-402</t>
  </si>
  <si>
    <t>李鹏</t>
  </si>
  <si>
    <t>04520527</t>
  </si>
  <si>
    <t>141</t>
  </si>
  <si>
    <t>24-1-501</t>
  </si>
  <si>
    <t>孙雪晴</t>
  </si>
  <si>
    <t>03750086</t>
  </si>
  <si>
    <t>142</t>
  </si>
  <si>
    <t>24-1-502</t>
  </si>
  <si>
    <t>20190002938</t>
  </si>
  <si>
    <t>王东</t>
  </si>
  <si>
    <t>04520551</t>
  </si>
  <si>
    <t>143</t>
  </si>
  <si>
    <t>24-1-601</t>
  </si>
  <si>
    <t>傅龙庆、吴新宇</t>
  </si>
  <si>
    <t>04520540</t>
  </si>
  <si>
    <t>144</t>
  </si>
  <si>
    <t>24-1-602</t>
  </si>
  <si>
    <t>张元峰</t>
  </si>
  <si>
    <t>04520528</t>
  </si>
  <si>
    <t>145</t>
  </si>
  <si>
    <t>24-1-701</t>
  </si>
  <si>
    <t>20190007094</t>
  </si>
  <si>
    <t>刘璐</t>
  </si>
  <si>
    <t>04520552</t>
  </si>
  <si>
    <t>146</t>
  </si>
  <si>
    <t>24-1-702</t>
  </si>
  <si>
    <t>宋小江</t>
  </si>
  <si>
    <t>03750093</t>
  </si>
  <si>
    <t>147</t>
  </si>
  <si>
    <t>24-1-801</t>
  </si>
  <si>
    <t>杨云龙、张新荣</t>
  </si>
  <si>
    <t>03720024</t>
  </si>
  <si>
    <t>148</t>
  </si>
  <si>
    <t>24-1-802</t>
  </si>
  <si>
    <t>李金晟</t>
  </si>
  <si>
    <t>03720022</t>
  </si>
  <si>
    <t>149</t>
  </si>
  <si>
    <t>24-2-101</t>
  </si>
  <si>
    <t>202000012334</t>
  </si>
  <si>
    <t>徐铭艺</t>
  </si>
  <si>
    <t>03750094;03750095</t>
  </si>
  <si>
    <t>150</t>
  </si>
  <si>
    <t>24-2-102</t>
  </si>
  <si>
    <t>樊建乐、刘晓丹</t>
  </si>
  <si>
    <t>04520529</t>
  </si>
  <si>
    <t>151</t>
  </si>
  <si>
    <t>24-2-201</t>
  </si>
  <si>
    <t>王雪、李飞宽</t>
  </si>
  <si>
    <t>03750069</t>
  </si>
  <si>
    <t>152</t>
  </si>
  <si>
    <t>24-2-202</t>
  </si>
  <si>
    <t>张仿仿、聂泽西</t>
  </si>
  <si>
    <t>03750082</t>
  </si>
  <si>
    <t>153</t>
  </si>
  <si>
    <t>24-2-301</t>
  </si>
  <si>
    <t>赵国辉</t>
  </si>
  <si>
    <t>04520553</t>
  </si>
  <si>
    <t>154</t>
  </si>
  <si>
    <t>24-2-302</t>
  </si>
  <si>
    <t>20190005749</t>
  </si>
  <si>
    <t>李梦婷</t>
  </si>
  <si>
    <t>04520554</t>
  </si>
  <si>
    <t>155</t>
  </si>
  <si>
    <t>24-2-401</t>
  </si>
  <si>
    <t>田原</t>
  </si>
  <si>
    <t>04520555</t>
  </si>
  <si>
    <t>156</t>
  </si>
  <si>
    <t>24-2-402</t>
  </si>
  <si>
    <t>海斌、唐蜻霜</t>
  </si>
  <si>
    <t>04520530</t>
  </si>
  <si>
    <t>157</t>
  </si>
  <si>
    <t>24-2-501</t>
  </si>
  <si>
    <t>20190005106</t>
  </si>
  <si>
    <t>贾洪涛、陈军华</t>
  </si>
  <si>
    <t>03750077</t>
  </si>
  <si>
    <t>158</t>
  </si>
  <si>
    <t>24-2-502</t>
  </si>
  <si>
    <t xml:space="preserve">薛梅、刘宏伟 </t>
  </si>
  <si>
    <t>04520531</t>
  </si>
  <si>
    <t>159</t>
  </si>
  <si>
    <t>24-2-601</t>
  </si>
  <si>
    <t>陈志云、俞新惠</t>
  </si>
  <si>
    <t>04520532</t>
  </si>
  <si>
    <t>160</t>
  </si>
  <si>
    <t>24-2-602</t>
  </si>
  <si>
    <t>邵健华</t>
  </si>
  <si>
    <t>04520533</t>
  </si>
  <si>
    <t>161</t>
  </si>
  <si>
    <t>24-2-701</t>
  </si>
  <si>
    <t>20190004970</t>
  </si>
  <si>
    <t>刘丽丽</t>
  </si>
  <si>
    <t>04520556</t>
  </si>
  <si>
    <t>162</t>
  </si>
  <si>
    <t>24-2-702</t>
  </si>
  <si>
    <t>20200002854</t>
  </si>
  <si>
    <t>李奕然</t>
  </si>
  <si>
    <t>04520534</t>
  </si>
  <si>
    <t>163</t>
  </si>
  <si>
    <t>24-2-801</t>
  </si>
  <si>
    <t>郭曜锋、刘彩明</t>
  </si>
  <si>
    <t>03720021</t>
  </si>
  <si>
    <t>164</t>
  </si>
  <si>
    <t>24-2-802</t>
  </si>
  <si>
    <t>20190002674</t>
  </si>
  <si>
    <t>李伟、于琳</t>
  </si>
  <si>
    <t>03720023</t>
  </si>
  <si>
    <t>165</t>
  </si>
  <si>
    <t>24-1负1-01</t>
  </si>
  <si>
    <t>166</t>
  </si>
  <si>
    <t>24-1负1-02</t>
  </si>
  <si>
    <t>167</t>
  </si>
  <si>
    <t>24-2负1-01</t>
  </si>
  <si>
    <t>168</t>
  </si>
  <si>
    <t>24-2负1-02</t>
  </si>
  <si>
    <t>169</t>
  </si>
  <si>
    <t>25-1-101</t>
  </si>
  <si>
    <t>20200008503</t>
  </si>
  <si>
    <t>罗亚君</t>
  </si>
  <si>
    <t>09189112</t>
  </si>
  <si>
    <t>170</t>
  </si>
  <si>
    <t>25-1-102</t>
  </si>
  <si>
    <t>20200003130</t>
  </si>
  <si>
    <t>胡君、陈建花</t>
  </si>
  <si>
    <t>09189144</t>
  </si>
  <si>
    <t>171</t>
  </si>
  <si>
    <t>25-1-201</t>
  </si>
  <si>
    <t>徐建华/陈兴兰</t>
  </si>
  <si>
    <t>09189145</t>
  </si>
  <si>
    <t>172</t>
  </si>
  <si>
    <t>25-1-202</t>
  </si>
  <si>
    <t>苏平、韩晓莉</t>
  </si>
  <si>
    <t>09189108</t>
  </si>
  <si>
    <t>173</t>
  </si>
  <si>
    <t>25-1-301</t>
  </si>
  <si>
    <t>李波</t>
  </si>
  <si>
    <t>09189119</t>
  </si>
  <si>
    <t>174</t>
  </si>
  <si>
    <t>25-1-302</t>
  </si>
  <si>
    <t>20190006355</t>
  </si>
  <si>
    <t>陈雪凤、何光炯</t>
  </si>
  <si>
    <t>09189146</t>
  </si>
  <si>
    <t>175</t>
  </si>
  <si>
    <t>25-1-401</t>
  </si>
  <si>
    <t>20190006241</t>
  </si>
  <si>
    <t>李娟</t>
  </si>
  <si>
    <t>09189147</t>
  </si>
  <si>
    <t>176</t>
  </si>
  <si>
    <t>25-1-402</t>
  </si>
  <si>
    <t>20190006157</t>
  </si>
  <si>
    <t>王玉翔</t>
  </si>
  <si>
    <t>09189148</t>
  </si>
  <si>
    <t>177</t>
  </si>
  <si>
    <t>25-1-501</t>
  </si>
  <si>
    <t>周志君、廖琦</t>
  </si>
  <si>
    <t>09189149</t>
  </si>
  <si>
    <t>178</t>
  </si>
  <si>
    <t>25-1-502</t>
  </si>
  <si>
    <t>20200002850</t>
  </si>
  <si>
    <t>王强</t>
  </si>
  <si>
    <t>09189150</t>
  </si>
  <si>
    <t>179</t>
  </si>
  <si>
    <t>25-1-601</t>
  </si>
  <si>
    <t>20190007487</t>
  </si>
  <si>
    <t>郭艳茹、陈杰</t>
  </si>
  <si>
    <t>09189105</t>
  </si>
  <si>
    <t>180</t>
  </si>
  <si>
    <t>25-1-602</t>
  </si>
  <si>
    <t>杨超</t>
  </si>
  <si>
    <t>09189151</t>
  </si>
  <si>
    <t>181</t>
  </si>
  <si>
    <t>25-1-701</t>
  </si>
  <si>
    <t>林晶晶</t>
  </si>
  <si>
    <t>09189109</t>
  </si>
  <si>
    <t>182</t>
  </si>
  <si>
    <t>25-1-702</t>
  </si>
  <si>
    <t>葛刚、胡满</t>
  </si>
  <si>
    <t>09189152</t>
  </si>
  <si>
    <t>183</t>
  </si>
  <si>
    <t>25-2-101</t>
  </si>
  <si>
    <t>20190007495</t>
  </si>
  <si>
    <t>张新德/卢婷</t>
  </si>
  <si>
    <t>09189153</t>
  </si>
  <si>
    <t>184</t>
  </si>
  <si>
    <t>25-2-102</t>
  </si>
  <si>
    <t>20200011238</t>
  </si>
  <si>
    <t>惠海梅</t>
  </si>
  <si>
    <t>09189106</t>
  </si>
  <si>
    <t>185</t>
  </si>
  <si>
    <t>25-2-201</t>
  </si>
  <si>
    <t>李影、黄帅奇</t>
  </si>
  <si>
    <t>09189154</t>
  </si>
  <si>
    <t>186</t>
  </si>
  <si>
    <t>25-2-202</t>
  </si>
  <si>
    <t>20190006626</t>
  </si>
  <si>
    <t>王鹏辉</t>
  </si>
  <si>
    <t>09189113</t>
  </si>
  <si>
    <t>187</t>
  </si>
  <si>
    <t>25-2-301</t>
  </si>
  <si>
    <t>翟继宏、李雨濛</t>
  </si>
  <si>
    <t>09189104</t>
  </si>
  <si>
    <t>188</t>
  </si>
  <si>
    <t>25-2-302</t>
  </si>
  <si>
    <t>朱波</t>
  </si>
  <si>
    <t>09189155</t>
  </si>
  <si>
    <t>189</t>
  </si>
  <si>
    <t>25-2-401</t>
  </si>
  <si>
    <t>20190006649</t>
  </si>
  <si>
    <t>李聪洋</t>
  </si>
  <si>
    <t>09189156</t>
  </si>
  <si>
    <t>190</t>
  </si>
  <si>
    <t>25-2-402</t>
  </si>
  <si>
    <t>王兴文</t>
  </si>
  <si>
    <t>09189157</t>
  </si>
  <si>
    <t>191</t>
  </si>
  <si>
    <t>25-2-501</t>
  </si>
  <si>
    <t>20190006260</t>
  </si>
  <si>
    <t>姜敏</t>
  </si>
  <si>
    <t>09189158</t>
  </si>
  <si>
    <t>192</t>
  </si>
  <si>
    <t>25-2-502</t>
  </si>
  <si>
    <t>20200002351</t>
  </si>
  <si>
    <t>常永强</t>
  </si>
  <si>
    <t>09189159</t>
  </si>
  <si>
    <t>193</t>
  </si>
  <si>
    <t>25-2-601</t>
  </si>
  <si>
    <t>胡沛民</t>
  </si>
  <si>
    <t>09189160</t>
  </si>
  <si>
    <t>194</t>
  </si>
  <si>
    <t>25-2-602</t>
  </si>
  <si>
    <t>马少搏</t>
  </si>
  <si>
    <t>09189134</t>
  </si>
  <si>
    <t>195</t>
  </si>
  <si>
    <t>25-2-701</t>
  </si>
  <si>
    <t>20200001864</t>
  </si>
  <si>
    <t>马斌国、马秀花</t>
  </si>
  <si>
    <t>09189132</t>
  </si>
  <si>
    <t>196</t>
  </si>
  <si>
    <t>25-2-702</t>
  </si>
  <si>
    <t>赵菱蕾</t>
  </si>
  <si>
    <t>09189122</t>
  </si>
  <si>
    <t>197</t>
  </si>
  <si>
    <t>25-负-101</t>
  </si>
  <si>
    <t>198</t>
  </si>
  <si>
    <t>25-负-102</t>
  </si>
  <si>
    <t>199</t>
  </si>
  <si>
    <t>25-负-103</t>
  </si>
  <si>
    <t>200</t>
  </si>
  <si>
    <t>25-负-104</t>
  </si>
  <si>
    <t>201</t>
  </si>
  <si>
    <t>25-负-105</t>
  </si>
  <si>
    <t>202</t>
  </si>
  <si>
    <t>25-负-106</t>
  </si>
  <si>
    <t>203</t>
  </si>
  <si>
    <t>25-负-107</t>
  </si>
  <si>
    <t>204</t>
  </si>
  <si>
    <t>25-负-108</t>
  </si>
  <si>
    <t>205</t>
  </si>
  <si>
    <t>25-负-109</t>
  </si>
  <si>
    <t>206</t>
  </si>
  <si>
    <t>25-负-110</t>
  </si>
  <si>
    <t>207</t>
  </si>
  <si>
    <t>25-负-111</t>
  </si>
  <si>
    <t>208</t>
  </si>
  <si>
    <t>25-负-112</t>
  </si>
  <si>
    <t>209</t>
  </si>
  <si>
    <t>25-负-113</t>
  </si>
  <si>
    <t>210</t>
  </si>
  <si>
    <t>25-负-114</t>
  </si>
  <si>
    <t>211</t>
  </si>
  <si>
    <t>25-负-201</t>
  </si>
  <si>
    <t>212</t>
  </si>
  <si>
    <t>25-负-202</t>
  </si>
  <si>
    <t>213</t>
  </si>
  <si>
    <t>25-负-203</t>
  </si>
  <si>
    <t>214</t>
  </si>
  <si>
    <t>25-负-204</t>
  </si>
  <si>
    <t>215</t>
  </si>
  <si>
    <t>25-负-205</t>
  </si>
  <si>
    <t>216</t>
  </si>
  <si>
    <t>25-负-206</t>
  </si>
  <si>
    <t>217</t>
  </si>
  <si>
    <t>25-负-207</t>
  </si>
  <si>
    <t>218</t>
  </si>
  <si>
    <t>25-负-208</t>
  </si>
  <si>
    <t>219</t>
  </si>
  <si>
    <t>25-负-209</t>
  </si>
  <si>
    <t>220</t>
  </si>
  <si>
    <t>25-负-210</t>
  </si>
  <si>
    <t>221</t>
  </si>
  <si>
    <t>25-负-211</t>
  </si>
  <si>
    <t>222</t>
  </si>
  <si>
    <t>25-负-212</t>
  </si>
  <si>
    <t>223</t>
  </si>
  <si>
    <t>25-负-213</t>
  </si>
  <si>
    <t>224</t>
  </si>
  <si>
    <t>25-负-214</t>
  </si>
  <si>
    <t>225</t>
  </si>
  <si>
    <t>26-1-101</t>
  </si>
  <si>
    <t>20190006152</t>
  </si>
  <si>
    <t>周晓红、曾德林</t>
  </si>
  <si>
    <t>09189161</t>
  </si>
  <si>
    <t>226</t>
  </si>
  <si>
    <t>26-1-102</t>
  </si>
  <si>
    <t>20240003837</t>
  </si>
  <si>
    <t>胡耀辉</t>
  </si>
  <si>
    <t>24652000000036232728</t>
  </si>
  <si>
    <t>227</t>
  </si>
  <si>
    <t>26-1-201</t>
  </si>
  <si>
    <t>20200001916</t>
  </si>
  <si>
    <t>赵庚</t>
  </si>
  <si>
    <t>09189162</t>
  </si>
  <si>
    <t>228</t>
  </si>
  <si>
    <t>26-1-202</t>
  </si>
  <si>
    <t>20200000223</t>
  </si>
  <si>
    <t>黄帅、于洁</t>
  </si>
  <si>
    <t>09189163</t>
  </si>
  <si>
    <t>229</t>
  </si>
  <si>
    <t>26-1-301</t>
  </si>
  <si>
    <t>席庭杨</t>
  </si>
  <si>
    <t>09189121</t>
  </si>
  <si>
    <t>230</t>
  </si>
  <si>
    <t>26-1-302</t>
  </si>
  <si>
    <t>闫银河</t>
  </si>
  <si>
    <t>09189117</t>
  </si>
  <si>
    <t>231</t>
  </si>
  <si>
    <t>26-1-401</t>
  </si>
  <si>
    <t>杨传玉、宋丹丹</t>
  </si>
  <si>
    <t>09189164</t>
  </si>
  <si>
    <t>232</t>
  </si>
  <si>
    <t>26-1-402</t>
  </si>
  <si>
    <t>20200000693</t>
  </si>
  <si>
    <t>王建企</t>
  </si>
  <si>
    <t>09189115</t>
  </si>
  <si>
    <t>233</t>
  </si>
  <si>
    <t>26-1-501</t>
  </si>
  <si>
    <t>赵晨</t>
  </si>
  <si>
    <t>09189165</t>
  </si>
  <si>
    <t>234</t>
  </si>
  <si>
    <t>26-1-502</t>
  </si>
  <si>
    <t>王治昌</t>
  </si>
  <si>
    <t>09189107</t>
  </si>
  <si>
    <t>235</t>
  </si>
  <si>
    <t>26-1-601</t>
  </si>
  <si>
    <t>陈明轩</t>
  </si>
  <si>
    <t>09189116</t>
  </si>
  <si>
    <t>236</t>
  </si>
  <si>
    <t>26-1-602</t>
  </si>
  <si>
    <t>陈立新</t>
  </si>
  <si>
    <t>09189093</t>
  </si>
  <si>
    <t>237</t>
  </si>
  <si>
    <t>26-1-701</t>
  </si>
  <si>
    <t>时杰</t>
  </si>
  <si>
    <t>09189166</t>
  </si>
  <si>
    <t>238</t>
  </si>
  <si>
    <t>26-1-702</t>
  </si>
  <si>
    <t>20210001706</t>
  </si>
  <si>
    <t>2021-01-23</t>
  </si>
  <si>
    <t>廖岚</t>
  </si>
  <si>
    <t>09189102</t>
  </si>
  <si>
    <t>239</t>
  </si>
  <si>
    <t>26-2-101</t>
  </si>
  <si>
    <t>20230005441</t>
  </si>
  <si>
    <t>蔡欣耕</t>
  </si>
  <si>
    <t>01537163;01537164</t>
  </si>
  <si>
    <t>240</t>
  </si>
  <si>
    <t>26-2-102</t>
  </si>
  <si>
    <t>20210007988</t>
  </si>
  <si>
    <t>胡军</t>
  </si>
  <si>
    <t>01928513</t>
  </si>
  <si>
    <t>241</t>
  </si>
  <si>
    <t>26-2-201</t>
  </si>
  <si>
    <t>20200001029</t>
  </si>
  <si>
    <t>朱婕</t>
  </si>
  <si>
    <t>09189167</t>
  </si>
  <si>
    <t>242</t>
  </si>
  <si>
    <t>26-2-202</t>
  </si>
  <si>
    <t>许林</t>
  </si>
  <si>
    <t>09189114</t>
  </si>
  <si>
    <t>243</t>
  </si>
  <si>
    <t>26-2-301</t>
  </si>
  <si>
    <t>20190006604</t>
  </si>
  <si>
    <t>罗楠</t>
  </si>
  <si>
    <t>09189168</t>
  </si>
  <si>
    <t>244</t>
  </si>
  <si>
    <t>26-2-302</t>
  </si>
  <si>
    <t>20190006510</t>
  </si>
  <si>
    <t>胡春玲、郭小升</t>
  </si>
  <si>
    <t>09189169</t>
  </si>
  <si>
    <t>245</t>
  </si>
  <si>
    <t>26-2-401</t>
  </si>
  <si>
    <t>20190006636</t>
  </si>
  <si>
    <t>陈震</t>
  </si>
  <si>
    <t>09189170</t>
  </si>
  <si>
    <t>246</t>
  </si>
  <si>
    <t>26-2-402</t>
  </si>
  <si>
    <t>20190006453</t>
  </si>
  <si>
    <t>邵珠彪</t>
  </si>
  <si>
    <t>09189094</t>
  </si>
  <si>
    <t>247</t>
  </si>
  <si>
    <t>26-2-501</t>
  </si>
  <si>
    <t>20190007484</t>
  </si>
  <si>
    <t>罗燕、任贵成</t>
  </si>
  <si>
    <t>09204142</t>
  </si>
  <si>
    <t>248</t>
  </si>
  <si>
    <t>26-2-502</t>
  </si>
  <si>
    <t>王瑞</t>
  </si>
  <si>
    <t>09189171</t>
  </si>
  <si>
    <t>249</t>
  </si>
  <si>
    <t>26-2-601</t>
  </si>
  <si>
    <t>刘柯</t>
  </si>
  <si>
    <t>09189103</t>
  </si>
  <si>
    <t>250</t>
  </si>
  <si>
    <t>26-2-602</t>
  </si>
  <si>
    <t>20200002803</t>
  </si>
  <si>
    <t>成霞、汪东</t>
  </si>
  <si>
    <t>09189172</t>
  </si>
  <si>
    <t>251</t>
  </si>
  <si>
    <t>26-2-701</t>
  </si>
  <si>
    <t>杨东、阿依努尔</t>
  </si>
  <si>
    <t>09189173</t>
  </si>
  <si>
    <t>252</t>
  </si>
  <si>
    <t>26-2-702</t>
  </si>
  <si>
    <t>廖俊武</t>
  </si>
  <si>
    <t>09189174</t>
  </si>
  <si>
    <t>253</t>
  </si>
  <si>
    <t>26-负-101</t>
  </si>
  <si>
    <t>254</t>
  </si>
  <si>
    <t>26-负-102</t>
  </si>
  <si>
    <t>255</t>
  </si>
  <si>
    <t>26-负-103</t>
  </si>
  <si>
    <t>256</t>
  </si>
  <si>
    <t>26-负-104</t>
  </si>
  <si>
    <t>257</t>
  </si>
  <si>
    <t>26-负-105</t>
  </si>
  <si>
    <t>258</t>
  </si>
  <si>
    <t>26-负-106</t>
  </si>
  <si>
    <t>259</t>
  </si>
  <si>
    <t>26-负-107</t>
  </si>
  <si>
    <t>260</t>
  </si>
  <si>
    <t>26-负-108</t>
  </si>
  <si>
    <t>261</t>
  </si>
  <si>
    <t>26-负-109</t>
  </si>
  <si>
    <t>262</t>
  </si>
  <si>
    <t>26-负-110</t>
  </si>
  <si>
    <t>263</t>
  </si>
  <si>
    <t>26-负-111</t>
  </si>
  <si>
    <t>264</t>
  </si>
  <si>
    <t>26-负-112</t>
  </si>
  <si>
    <t>265</t>
  </si>
  <si>
    <t>26-负-113</t>
  </si>
  <si>
    <t>266</t>
  </si>
  <si>
    <t>26-负-114</t>
  </si>
  <si>
    <t>267</t>
  </si>
  <si>
    <t>26-负-201</t>
  </si>
  <si>
    <t>268</t>
  </si>
  <si>
    <t>26-负-202</t>
  </si>
  <si>
    <t>269</t>
  </si>
  <si>
    <t>26-负-203</t>
  </si>
  <si>
    <t>270</t>
  </si>
  <si>
    <t>26-负-204</t>
  </si>
  <si>
    <t>271</t>
  </si>
  <si>
    <t>26-负-205</t>
  </si>
  <si>
    <t>272</t>
  </si>
  <si>
    <t>26-负-206</t>
  </si>
  <si>
    <t>273</t>
  </si>
  <si>
    <t>26-负-207</t>
  </si>
  <si>
    <t>274</t>
  </si>
  <si>
    <t>26-负-208</t>
  </si>
  <si>
    <t>275</t>
  </si>
  <si>
    <t>26-负-209</t>
  </si>
  <si>
    <t>276</t>
  </si>
  <si>
    <t>26-负-210</t>
  </si>
  <si>
    <t>277</t>
  </si>
  <si>
    <t>26-负-211</t>
  </si>
  <si>
    <t>278</t>
  </si>
  <si>
    <t>26-负-212</t>
  </si>
  <si>
    <t>279</t>
  </si>
  <si>
    <t>26-负-213</t>
  </si>
  <si>
    <t>280</t>
  </si>
  <si>
    <t>26-负-214</t>
  </si>
  <si>
    <t>281</t>
  </si>
  <si>
    <t>27-1-101</t>
  </si>
  <si>
    <t>段彦吉</t>
  </si>
  <si>
    <t>24652000000049276294</t>
  </si>
  <si>
    <t>282</t>
  </si>
  <si>
    <t>27-1-102</t>
  </si>
  <si>
    <t>20200007201</t>
  </si>
  <si>
    <t>李春青、李保全</t>
  </si>
  <si>
    <t>09204191;09189139</t>
  </si>
  <si>
    <t>283</t>
  </si>
  <si>
    <t>27-1-201</t>
  </si>
  <si>
    <t>20200004899</t>
  </si>
  <si>
    <t>李亚龙</t>
  </si>
  <si>
    <t>09188280</t>
  </si>
  <si>
    <t>284</t>
  </si>
  <si>
    <t>27-1-202</t>
  </si>
  <si>
    <t>林成军/代红梅</t>
  </si>
  <si>
    <t>09188281</t>
  </si>
  <si>
    <t>285</t>
  </si>
  <si>
    <t>27-1-301</t>
  </si>
  <si>
    <t>迟新刚</t>
  </si>
  <si>
    <t>09188282</t>
  </si>
  <si>
    <t>286</t>
  </si>
  <si>
    <t>27-1-302</t>
  </si>
  <si>
    <t>20190008241</t>
  </si>
  <si>
    <t>牛衍红</t>
  </si>
  <si>
    <t>09188283</t>
  </si>
  <si>
    <t>287</t>
  </si>
  <si>
    <t>27-1-401</t>
  </si>
  <si>
    <t>包丁鱼</t>
  </si>
  <si>
    <t>09188284</t>
  </si>
  <si>
    <t>288</t>
  </si>
  <si>
    <t>27-1-402</t>
  </si>
  <si>
    <t>王帅</t>
  </si>
  <si>
    <t>09188285</t>
  </si>
  <si>
    <t>289</t>
  </si>
  <si>
    <t>27-1-501</t>
  </si>
  <si>
    <t>陈相栋</t>
  </si>
  <si>
    <t>09188286</t>
  </si>
  <si>
    <t>290</t>
  </si>
  <si>
    <t>27-1-502</t>
  </si>
  <si>
    <t>张伟</t>
  </si>
  <si>
    <t>09188287</t>
  </si>
  <si>
    <t>291</t>
  </si>
  <si>
    <t>27-1-601</t>
  </si>
  <si>
    <t>严超</t>
  </si>
  <si>
    <t>09188288</t>
  </si>
  <si>
    <t>292</t>
  </si>
  <si>
    <t>27-1-602</t>
  </si>
  <si>
    <t>邵则昆</t>
  </si>
  <si>
    <t>09188289</t>
  </si>
  <si>
    <t>293</t>
  </si>
  <si>
    <t>27-1-701</t>
  </si>
  <si>
    <t>刘尧明</t>
  </si>
  <si>
    <t>09188290</t>
  </si>
  <si>
    <t>294</t>
  </si>
  <si>
    <t>27-1-702</t>
  </si>
  <si>
    <t>20190006929</t>
  </si>
  <si>
    <t>刘烨冉</t>
  </si>
  <si>
    <t>09188291</t>
  </si>
  <si>
    <t>295</t>
  </si>
  <si>
    <t>27-2-101</t>
  </si>
  <si>
    <t>丁彬</t>
  </si>
  <si>
    <t>01913729</t>
  </si>
  <si>
    <t>296</t>
  </si>
  <si>
    <t>27-2-102</t>
  </si>
  <si>
    <t>2020004962</t>
  </si>
  <si>
    <t>安斌</t>
  </si>
  <si>
    <t>09188292</t>
  </si>
  <si>
    <t>297</t>
  </si>
  <si>
    <t>27-2-201</t>
  </si>
  <si>
    <t>邵明江</t>
  </si>
  <si>
    <t>09188293</t>
  </si>
  <si>
    <t>298</t>
  </si>
  <si>
    <t>27-2-202</t>
  </si>
  <si>
    <t>20190007385</t>
  </si>
  <si>
    <t>杜婷婷/李强</t>
  </si>
  <si>
    <t>09188294</t>
  </si>
  <si>
    <t>299</t>
  </si>
  <si>
    <t>27-2-301</t>
  </si>
  <si>
    <t>白连杰</t>
  </si>
  <si>
    <t>09189118</t>
  </si>
  <si>
    <t>300</t>
  </si>
  <si>
    <t>27-2-302</t>
  </si>
  <si>
    <t>20190005529</t>
  </si>
  <si>
    <t>周杰/邓蓉</t>
  </si>
  <si>
    <t>09188295</t>
  </si>
  <si>
    <t>301</t>
  </si>
  <si>
    <t>27-2-401</t>
  </si>
  <si>
    <t>20190005633</t>
  </si>
  <si>
    <t>杨志伟</t>
  </si>
  <si>
    <t>09188296</t>
  </si>
  <si>
    <t>302</t>
  </si>
  <si>
    <t>27-2-402</t>
  </si>
  <si>
    <t>伏峰峰</t>
  </si>
  <si>
    <t>09188297</t>
  </si>
  <si>
    <t>303</t>
  </si>
  <si>
    <t>27-2-501</t>
  </si>
  <si>
    <t>20200001472</t>
  </si>
  <si>
    <t>冯光鹏</t>
  </si>
  <si>
    <t>09188298</t>
  </si>
  <si>
    <t>304</t>
  </si>
  <si>
    <t>27-2-502</t>
  </si>
  <si>
    <t>马军</t>
  </si>
  <si>
    <t>09188299</t>
  </si>
  <si>
    <t>305</t>
  </si>
  <si>
    <t>27-2-601</t>
  </si>
  <si>
    <t>20190006559</t>
  </si>
  <si>
    <t>王础</t>
  </si>
  <si>
    <t>09188300</t>
  </si>
  <si>
    <t>306</t>
  </si>
  <si>
    <t>27-2-602</t>
  </si>
  <si>
    <t>20190006724</t>
  </si>
  <si>
    <t>刘席</t>
  </si>
  <si>
    <t>09188301</t>
  </si>
  <si>
    <t>307</t>
  </si>
  <si>
    <t>27-2-701</t>
  </si>
  <si>
    <t>20200003143</t>
  </si>
  <si>
    <t>谢世伟</t>
  </si>
  <si>
    <t>09188302</t>
  </si>
  <si>
    <t>308</t>
  </si>
  <si>
    <t>27-2-702</t>
  </si>
  <si>
    <t>20190006621</t>
  </si>
  <si>
    <t>杨新斌、龙新清</t>
  </si>
  <si>
    <t>09188303</t>
  </si>
  <si>
    <t>309</t>
  </si>
  <si>
    <t>27-负-101</t>
  </si>
  <si>
    <t>310</t>
  </si>
  <si>
    <t>27-负-102</t>
  </si>
  <si>
    <t>311</t>
  </si>
  <si>
    <t>27-负-103</t>
  </si>
  <si>
    <t>312</t>
  </si>
  <si>
    <t>27-负-104</t>
  </si>
  <si>
    <t>313</t>
  </si>
  <si>
    <t>27-负-105</t>
  </si>
  <si>
    <t>314</t>
  </si>
  <si>
    <t>27-负-106</t>
  </si>
  <si>
    <t>315</t>
  </si>
  <si>
    <t>27-负-107</t>
  </si>
  <si>
    <t>316</t>
  </si>
  <si>
    <t>27-负-108</t>
  </si>
  <si>
    <t>317</t>
  </si>
  <si>
    <t>27-负-109</t>
  </si>
  <si>
    <t>318</t>
  </si>
  <si>
    <t>27-负-110</t>
  </si>
  <si>
    <t>319</t>
  </si>
  <si>
    <t>27-负-111</t>
  </si>
  <si>
    <t>320</t>
  </si>
  <si>
    <t>27-负-112</t>
  </si>
  <si>
    <t>321</t>
  </si>
  <si>
    <t>27-负-113</t>
  </si>
  <si>
    <t>322</t>
  </si>
  <si>
    <t>27-负-114</t>
  </si>
  <si>
    <t>323</t>
  </si>
  <si>
    <t>27-负-201</t>
  </si>
  <si>
    <t>324</t>
  </si>
  <si>
    <t>27-负-202</t>
  </si>
  <si>
    <t>325</t>
  </si>
  <si>
    <t>27-负-203</t>
  </si>
  <si>
    <t>326</t>
  </si>
  <si>
    <t>27-负-204</t>
  </si>
  <si>
    <t>327</t>
  </si>
  <si>
    <t>27-负-205</t>
  </si>
  <si>
    <t>328</t>
  </si>
  <si>
    <t>27-负-206</t>
  </si>
  <si>
    <t>329</t>
  </si>
  <si>
    <t>27-负-207</t>
  </si>
  <si>
    <t>330</t>
  </si>
  <si>
    <t>27-负-208</t>
  </si>
  <si>
    <t>331</t>
  </si>
  <si>
    <t>27-负-209</t>
  </si>
  <si>
    <t>332</t>
  </si>
  <si>
    <t>27-负-210</t>
  </si>
  <si>
    <t>333</t>
  </si>
  <si>
    <t>27-负-211</t>
  </si>
  <si>
    <t>334</t>
  </si>
  <si>
    <t>27-负-212</t>
  </si>
  <si>
    <t>335</t>
  </si>
  <si>
    <t>27-负-213</t>
  </si>
  <si>
    <t>336</t>
  </si>
  <si>
    <t>27-负-214</t>
  </si>
  <si>
    <t>337</t>
  </si>
  <si>
    <t>28-1-101</t>
  </si>
  <si>
    <t>20220000374</t>
  </si>
  <si>
    <t>税国书</t>
  </si>
  <si>
    <t>01913739</t>
  </si>
  <si>
    <t>338</t>
  </si>
  <si>
    <t>28-1-102</t>
  </si>
  <si>
    <t>20200001496</t>
  </si>
  <si>
    <t>周巍</t>
  </si>
  <si>
    <t>09178459</t>
  </si>
  <si>
    <t>339</t>
  </si>
  <si>
    <t>28-1-201</t>
  </si>
  <si>
    <t>20190006176</t>
  </si>
  <si>
    <t>闫旭红</t>
  </si>
  <si>
    <t>09178460</t>
  </si>
  <si>
    <t>340</t>
  </si>
  <si>
    <t>28-1-202</t>
  </si>
  <si>
    <t>20190006618</t>
  </si>
  <si>
    <t>孟东方</t>
  </si>
  <si>
    <t>09178461</t>
  </si>
  <si>
    <t>341</t>
  </si>
  <si>
    <t>28-1-301</t>
  </si>
  <si>
    <t>20200000014</t>
  </si>
  <si>
    <t>王世刚</t>
  </si>
  <si>
    <t>09178462</t>
  </si>
  <si>
    <t>342</t>
  </si>
  <si>
    <t>28-1-302</t>
  </si>
  <si>
    <t>门建华</t>
  </si>
  <si>
    <t>09178463</t>
  </si>
  <si>
    <t>343</t>
  </si>
  <si>
    <t>28-1-401</t>
  </si>
  <si>
    <t>蒋科本</t>
  </si>
  <si>
    <t>09178464</t>
  </si>
  <si>
    <t>344</t>
  </si>
  <si>
    <t>28-1-402</t>
  </si>
  <si>
    <t>20190007398</t>
  </si>
  <si>
    <t>李皓奇</t>
  </si>
  <si>
    <t>09204143</t>
  </si>
  <si>
    <t>345</t>
  </si>
  <si>
    <t>28-1-501</t>
  </si>
  <si>
    <t>20190007497</t>
  </si>
  <si>
    <t>何李永嘉</t>
  </si>
  <si>
    <t>09178465</t>
  </si>
  <si>
    <t>346</t>
  </si>
  <si>
    <t>28-1-502</t>
  </si>
  <si>
    <t>龚智军</t>
  </si>
  <si>
    <t>09178466</t>
  </si>
  <si>
    <t>347</t>
  </si>
  <si>
    <t>28-1-601</t>
  </si>
  <si>
    <t>20190006619</t>
  </si>
  <si>
    <t>赵义军</t>
  </si>
  <si>
    <t>09178467</t>
  </si>
  <si>
    <t>348</t>
  </si>
  <si>
    <t>28-1-602</t>
  </si>
  <si>
    <t>窦新</t>
  </si>
  <si>
    <t>09178468</t>
  </si>
  <si>
    <t>349</t>
  </si>
  <si>
    <t>28-1-701</t>
  </si>
  <si>
    <t>李健</t>
  </si>
  <si>
    <t>09178469</t>
  </si>
  <si>
    <t>350</t>
  </si>
  <si>
    <t>28-1-702</t>
  </si>
  <si>
    <t>丁琪琪</t>
  </si>
  <si>
    <t>09178470</t>
  </si>
  <si>
    <t>351</t>
  </si>
  <si>
    <t>28-1-801</t>
  </si>
  <si>
    <t>陈俊屹</t>
  </si>
  <si>
    <t>09178471</t>
  </si>
  <si>
    <t>352</t>
  </si>
  <si>
    <t>28-1-802</t>
  </si>
  <si>
    <t>20190006392</t>
  </si>
  <si>
    <t>魏宝生</t>
  </si>
  <si>
    <t>09178472</t>
  </si>
  <si>
    <t>353</t>
  </si>
  <si>
    <t>28-1-901</t>
  </si>
  <si>
    <t>杨兵兵</t>
  </si>
  <si>
    <t>09178473</t>
  </si>
  <si>
    <t>354</t>
  </si>
  <si>
    <t>28-1-902</t>
  </si>
  <si>
    <t>李超</t>
  </si>
  <si>
    <t>09178474</t>
  </si>
  <si>
    <t>355</t>
  </si>
  <si>
    <t>28-1-1001</t>
  </si>
  <si>
    <t>蒋自波</t>
  </si>
  <si>
    <t>09178475</t>
  </si>
  <si>
    <t>356</t>
  </si>
  <si>
    <t>28-1-1002</t>
  </si>
  <si>
    <t>20190005986</t>
  </si>
  <si>
    <t>席建强</t>
  </si>
  <si>
    <t>09178476</t>
  </si>
  <si>
    <t>357</t>
  </si>
  <si>
    <t>28-1-1101</t>
  </si>
  <si>
    <t>20200002922</t>
  </si>
  <si>
    <t>翟亚丹</t>
  </si>
  <si>
    <t>09178477</t>
  </si>
  <si>
    <t>358</t>
  </si>
  <si>
    <t>28-1-1102</t>
  </si>
  <si>
    <t>牛强</t>
  </si>
  <si>
    <t>09178478</t>
  </si>
  <si>
    <t>359</t>
  </si>
  <si>
    <t>28-2-101</t>
  </si>
  <si>
    <t>魏鹏</t>
  </si>
  <si>
    <t>09178479</t>
  </si>
  <si>
    <t>360</t>
  </si>
  <si>
    <t>28-2-102</t>
  </si>
  <si>
    <t>20190007977</t>
  </si>
  <si>
    <t>王有喜</t>
  </si>
  <si>
    <t>09189128;09178480</t>
  </si>
  <si>
    <t>361</t>
  </si>
  <si>
    <t>28-2-201</t>
  </si>
  <si>
    <t>孟东亮</t>
  </si>
  <si>
    <t>09178481</t>
  </si>
  <si>
    <t>362</t>
  </si>
  <si>
    <t>28-2-202</t>
  </si>
  <si>
    <t>20200002008</t>
  </si>
  <si>
    <t>刘洁</t>
  </si>
  <si>
    <t>09178482</t>
  </si>
  <si>
    <t>363</t>
  </si>
  <si>
    <t>28-2-301</t>
  </si>
  <si>
    <t>刘宇</t>
  </si>
  <si>
    <t>09178483</t>
  </si>
  <si>
    <t>364</t>
  </si>
  <si>
    <t>28-2-302</t>
  </si>
  <si>
    <t>陈旭东</t>
  </si>
  <si>
    <t>09178484</t>
  </si>
  <si>
    <t>365</t>
  </si>
  <si>
    <t>28-2-401</t>
  </si>
  <si>
    <t>肖慎虎</t>
  </si>
  <si>
    <t>09178485</t>
  </si>
  <si>
    <t>366</t>
  </si>
  <si>
    <t>28-2-402</t>
  </si>
  <si>
    <t>侯智勇</t>
  </si>
  <si>
    <t>09178486</t>
  </si>
  <si>
    <t>367</t>
  </si>
  <si>
    <t>28-2-501</t>
  </si>
  <si>
    <t>李丹丹</t>
  </si>
  <si>
    <t>09178487</t>
  </si>
  <si>
    <t>368</t>
  </si>
  <si>
    <t>28-2-502</t>
  </si>
  <si>
    <t>杨晓镝</t>
  </si>
  <si>
    <t>09178503</t>
  </si>
  <si>
    <t>369</t>
  </si>
  <si>
    <t>28-2-601</t>
  </si>
  <si>
    <t>闫海林</t>
  </si>
  <si>
    <t>09178490</t>
  </si>
  <si>
    <t>370</t>
  </si>
  <si>
    <t>28-2-602</t>
  </si>
  <si>
    <t>20200000595</t>
  </si>
  <si>
    <t>蒋超鹏</t>
  </si>
  <si>
    <t>09178491</t>
  </si>
  <si>
    <t>371</t>
  </si>
  <si>
    <t>28-2-701</t>
  </si>
  <si>
    <t>王海霞</t>
  </si>
  <si>
    <t>09178492</t>
  </si>
  <si>
    <t>372</t>
  </si>
  <si>
    <t>28-2-702</t>
  </si>
  <si>
    <t>杨科伟</t>
  </si>
  <si>
    <t>09178493</t>
  </si>
  <si>
    <t>373</t>
  </si>
  <si>
    <t>28-2-801</t>
  </si>
  <si>
    <t>阿力木江·依明</t>
  </si>
  <si>
    <t>09178494</t>
  </si>
  <si>
    <t>374</t>
  </si>
  <si>
    <t>28-2-802</t>
  </si>
  <si>
    <t>20200003872</t>
  </si>
  <si>
    <t>杨建所</t>
  </si>
  <si>
    <t>09178495</t>
  </si>
  <si>
    <t>375</t>
  </si>
  <si>
    <t>28-2-901</t>
  </si>
  <si>
    <t>李太福</t>
  </si>
  <si>
    <t>09178496</t>
  </si>
  <si>
    <t>376</t>
  </si>
  <si>
    <t>28-2-902</t>
  </si>
  <si>
    <t>吴郅清</t>
  </si>
  <si>
    <t>09178498</t>
  </si>
  <si>
    <t>377</t>
  </si>
  <si>
    <t>28-2-1001</t>
  </si>
  <si>
    <t>20200002014</t>
  </si>
  <si>
    <t>蒋自力</t>
  </si>
  <si>
    <t>09178499</t>
  </si>
  <si>
    <t>378</t>
  </si>
  <si>
    <t>28-2-1002</t>
  </si>
  <si>
    <t>黄成江</t>
  </si>
  <si>
    <t>09178500</t>
  </si>
  <si>
    <t>379</t>
  </si>
  <si>
    <t>28-2-1101</t>
  </si>
  <si>
    <t>20190006579</t>
  </si>
  <si>
    <t>李萌</t>
  </si>
  <si>
    <t>09178501</t>
  </si>
  <si>
    <t>380</t>
  </si>
  <si>
    <t>28-2-1102</t>
  </si>
  <si>
    <t>20190006638</t>
  </si>
  <si>
    <t>孟春江</t>
  </si>
  <si>
    <t>09178502</t>
  </si>
  <si>
    <t>381</t>
  </si>
  <si>
    <t>28-负-101</t>
  </si>
  <si>
    <t>382</t>
  </si>
  <si>
    <t>28-负-102</t>
  </si>
  <si>
    <t>383</t>
  </si>
  <si>
    <t>28-负-103</t>
  </si>
  <si>
    <t>384</t>
  </si>
  <si>
    <t>28-负-104</t>
  </si>
  <si>
    <t>385</t>
  </si>
  <si>
    <t>28-负-105</t>
  </si>
  <si>
    <t>386</t>
  </si>
  <si>
    <t>28-负-106</t>
  </si>
  <si>
    <t>387</t>
  </si>
  <si>
    <t>28-负-107</t>
  </si>
  <si>
    <t>388</t>
  </si>
  <si>
    <t>28-负-108</t>
  </si>
  <si>
    <t>389</t>
  </si>
  <si>
    <t>28-负-109</t>
  </si>
  <si>
    <t>390</t>
  </si>
  <si>
    <t>28-负-110</t>
  </si>
  <si>
    <t>391</t>
  </si>
  <si>
    <t>28-负-201</t>
  </si>
  <si>
    <t>392</t>
  </si>
  <si>
    <t>28-负-202</t>
  </si>
  <si>
    <t>393</t>
  </si>
  <si>
    <t>28-负-203</t>
  </si>
  <si>
    <t>394</t>
  </si>
  <si>
    <t>28-负-204</t>
  </si>
  <si>
    <t>395</t>
  </si>
  <si>
    <t>28-负-205</t>
  </si>
  <si>
    <t>396</t>
  </si>
  <si>
    <t>28-负-206</t>
  </si>
  <si>
    <t>397</t>
  </si>
  <si>
    <t>28-负-207</t>
  </si>
  <si>
    <t>398</t>
  </si>
  <si>
    <t>28-负-208</t>
  </si>
  <si>
    <t>399</t>
  </si>
  <si>
    <t>28-负-209</t>
  </si>
  <si>
    <t>400</t>
  </si>
  <si>
    <t>28-负-210</t>
  </si>
  <si>
    <t>401</t>
  </si>
  <si>
    <t>29-1-101</t>
  </si>
  <si>
    <t>库尔勒华鑫工贸有限责任公司</t>
  </si>
  <si>
    <t>24652000000049447092</t>
  </si>
  <si>
    <t>402</t>
  </si>
  <si>
    <t>29-1-102</t>
  </si>
  <si>
    <t>20220002970</t>
  </si>
  <si>
    <t>闫磊</t>
  </si>
  <si>
    <t>01928559</t>
  </si>
  <si>
    <t>403</t>
  </si>
  <si>
    <t>29-1-201</t>
  </si>
  <si>
    <t>罗宇钦</t>
  </si>
  <si>
    <t>09188240</t>
  </si>
  <si>
    <t>404</t>
  </si>
  <si>
    <t>29-1-202</t>
  </si>
  <si>
    <t>20190006000</t>
  </si>
  <si>
    <t>马兰</t>
  </si>
  <si>
    <t>09188241</t>
  </si>
  <si>
    <t>405</t>
  </si>
  <si>
    <t>29-1-301</t>
  </si>
  <si>
    <t>贾富军</t>
  </si>
  <si>
    <t>09189140</t>
  </si>
  <si>
    <t>406</t>
  </si>
  <si>
    <t>29-1-302</t>
  </si>
  <si>
    <t>王金华</t>
  </si>
  <si>
    <t>09188242</t>
  </si>
  <si>
    <t>407</t>
  </si>
  <si>
    <t>29-1-401</t>
  </si>
  <si>
    <t>20190007035</t>
  </si>
  <si>
    <t>杜晓芸</t>
  </si>
  <si>
    <t>09188243</t>
  </si>
  <si>
    <t>408</t>
  </si>
  <si>
    <t>29-1-402</t>
  </si>
  <si>
    <t>20200002472</t>
  </si>
  <si>
    <t>罗德华</t>
  </si>
  <si>
    <t>09188244</t>
  </si>
  <si>
    <t>409</t>
  </si>
  <si>
    <t>29-1-501</t>
  </si>
  <si>
    <t>20200001673</t>
  </si>
  <si>
    <t>罗宁</t>
  </si>
  <si>
    <t>09188245</t>
  </si>
  <si>
    <t>410</t>
  </si>
  <si>
    <t>29-1-502</t>
  </si>
  <si>
    <t>20200000222</t>
  </si>
  <si>
    <t>孙泽宇</t>
  </si>
  <si>
    <t>09188246</t>
  </si>
  <si>
    <t>411</t>
  </si>
  <si>
    <t>29-1-601</t>
  </si>
  <si>
    <t>易力</t>
  </si>
  <si>
    <t>09188247</t>
  </si>
  <si>
    <t>412</t>
  </si>
  <si>
    <t>29-1-602</t>
  </si>
  <si>
    <t>20190008638</t>
  </si>
  <si>
    <t>李祥</t>
  </si>
  <si>
    <t>09188248</t>
  </si>
  <si>
    <t>413</t>
  </si>
  <si>
    <t>29-1-701</t>
  </si>
  <si>
    <t>20200004305</t>
  </si>
  <si>
    <t>刘毅、白杨</t>
  </si>
  <si>
    <t>09188249</t>
  </si>
  <si>
    <t>414</t>
  </si>
  <si>
    <t>29-1-702</t>
  </si>
  <si>
    <t>20200002995</t>
  </si>
  <si>
    <t>李晓智</t>
  </si>
  <si>
    <t>09188250</t>
  </si>
  <si>
    <t>415</t>
  </si>
  <si>
    <t>29-2-101</t>
  </si>
  <si>
    <t>20210005411</t>
  </si>
  <si>
    <t>邬英、张治国</t>
  </si>
  <si>
    <t>01913611</t>
  </si>
  <si>
    <t>416</t>
  </si>
  <si>
    <t>29-2-102</t>
  </si>
  <si>
    <t>20210003709</t>
  </si>
  <si>
    <t>何明强</t>
  </si>
  <si>
    <t>09189136</t>
  </si>
  <si>
    <t>417</t>
  </si>
  <si>
    <t>29-2-201</t>
  </si>
  <si>
    <t>杨加亮</t>
  </si>
  <si>
    <t>09188251</t>
  </si>
  <si>
    <t>418</t>
  </si>
  <si>
    <t>29-2-202</t>
  </si>
  <si>
    <t>20190005957</t>
  </si>
  <si>
    <t>陈兆民</t>
  </si>
  <si>
    <t>09188252</t>
  </si>
  <si>
    <t>419</t>
  </si>
  <si>
    <t>29-2-301</t>
  </si>
  <si>
    <t>李俊超</t>
  </si>
  <si>
    <t>09188253</t>
  </si>
  <si>
    <t>420</t>
  </si>
  <si>
    <t>29-2-302</t>
  </si>
  <si>
    <t>张佩佩</t>
  </si>
  <si>
    <t>09188254</t>
  </si>
  <si>
    <t>421</t>
  </si>
  <si>
    <t>29-2-401</t>
  </si>
  <si>
    <t>田帅</t>
  </si>
  <si>
    <t>09188255</t>
  </si>
  <si>
    <t>422</t>
  </si>
  <si>
    <t>29-2-402</t>
  </si>
  <si>
    <t>宋磊</t>
  </si>
  <si>
    <t>09189120</t>
  </si>
  <si>
    <t>423</t>
  </si>
  <si>
    <t>29-2-501</t>
  </si>
  <si>
    <t>龚进万</t>
  </si>
  <si>
    <t>09188256</t>
  </si>
  <si>
    <t>424</t>
  </si>
  <si>
    <t>29-2-502</t>
  </si>
  <si>
    <t>陶欢欢</t>
  </si>
  <si>
    <t>09188257</t>
  </si>
  <si>
    <t>425</t>
  </si>
  <si>
    <t>29-2-601</t>
  </si>
  <si>
    <t>李九兵</t>
  </si>
  <si>
    <t>09188258</t>
  </si>
  <si>
    <t>426</t>
  </si>
  <si>
    <t>29-2-602</t>
  </si>
  <si>
    <t>毛超</t>
  </si>
  <si>
    <t>09188259</t>
  </si>
  <si>
    <t>427</t>
  </si>
  <si>
    <t>29-2-701</t>
  </si>
  <si>
    <t>20200005108</t>
  </si>
  <si>
    <t>王光伟</t>
  </si>
  <si>
    <t>09188260</t>
  </si>
  <si>
    <t>428</t>
  </si>
  <si>
    <t>29-2-702</t>
  </si>
  <si>
    <t>20200002973</t>
  </si>
  <si>
    <t>张莹菲、杜怀疆</t>
  </si>
  <si>
    <t>09204144</t>
  </si>
  <si>
    <t>429</t>
  </si>
  <si>
    <t>顶层（设备间）</t>
  </si>
  <si>
    <t>其他非营业性房产</t>
  </si>
  <si>
    <t>不可售</t>
  </si>
  <si>
    <t>430</t>
  </si>
  <si>
    <t>29-负-101</t>
  </si>
  <si>
    <t>431</t>
  </si>
  <si>
    <t>29-负-102</t>
  </si>
  <si>
    <t>432</t>
  </si>
  <si>
    <t>29-负-103</t>
  </si>
  <si>
    <t>433</t>
  </si>
  <si>
    <t>29-负-104</t>
  </si>
  <si>
    <t>434</t>
  </si>
  <si>
    <t>29-负-105</t>
  </si>
  <si>
    <t>435</t>
  </si>
  <si>
    <t>29-负-106</t>
  </si>
  <si>
    <t>436</t>
  </si>
  <si>
    <t>29-负-107</t>
  </si>
  <si>
    <t>437</t>
  </si>
  <si>
    <t>29-负-108</t>
  </si>
  <si>
    <t>438</t>
  </si>
  <si>
    <t>29-负-109</t>
  </si>
  <si>
    <t>439</t>
  </si>
  <si>
    <t>29-负-110</t>
  </si>
  <si>
    <t>440</t>
  </si>
  <si>
    <t>29-负-111</t>
  </si>
  <si>
    <t>441</t>
  </si>
  <si>
    <t>29-负-112</t>
  </si>
  <si>
    <t>442</t>
  </si>
  <si>
    <t>29-负-113</t>
  </si>
  <si>
    <t>443</t>
  </si>
  <si>
    <t>29-负-114</t>
  </si>
  <si>
    <t>444</t>
  </si>
  <si>
    <t>29-负-201</t>
  </si>
  <si>
    <t>445</t>
  </si>
  <si>
    <t>29-负-202</t>
  </si>
  <si>
    <t>446</t>
  </si>
  <si>
    <t>29-负-203</t>
  </si>
  <si>
    <t>447</t>
  </si>
  <si>
    <t>29-负-204</t>
  </si>
  <si>
    <t>448</t>
  </si>
  <si>
    <t>29-负-205</t>
  </si>
  <si>
    <t>449</t>
  </si>
  <si>
    <t>29-负-206</t>
  </si>
  <si>
    <t>450</t>
  </si>
  <si>
    <t>29-负-207</t>
  </si>
  <si>
    <t>451</t>
  </si>
  <si>
    <t>29-负-208</t>
  </si>
  <si>
    <t>452</t>
  </si>
  <si>
    <t>29-负-209</t>
  </si>
  <si>
    <t>453</t>
  </si>
  <si>
    <t>29-负-210</t>
  </si>
  <si>
    <t>454</t>
  </si>
  <si>
    <t>29-负-211</t>
  </si>
  <si>
    <t>455</t>
  </si>
  <si>
    <t>29-负-212</t>
  </si>
  <si>
    <t>456</t>
  </si>
  <si>
    <t>29-负-213</t>
  </si>
  <si>
    <t>457</t>
  </si>
  <si>
    <t>29-负-214</t>
  </si>
  <si>
    <t>458</t>
  </si>
  <si>
    <t>30-1-101</t>
  </si>
  <si>
    <t>20230005766</t>
  </si>
  <si>
    <t>何瑞瑞</t>
  </si>
  <si>
    <t>01537169</t>
  </si>
  <si>
    <t>459</t>
  </si>
  <si>
    <t>30-1-102</t>
  </si>
  <si>
    <t>宋鹏昊</t>
  </si>
  <si>
    <t>24652000000049447093</t>
  </si>
  <si>
    <t>460</t>
  </si>
  <si>
    <t>30-1-201</t>
  </si>
  <si>
    <t>王冰冰</t>
  </si>
  <si>
    <t>09188261</t>
  </si>
  <si>
    <t>461</t>
  </si>
  <si>
    <t>30-1-202</t>
  </si>
  <si>
    <t>李海东</t>
  </si>
  <si>
    <t>09188262</t>
  </si>
  <si>
    <t>462</t>
  </si>
  <si>
    <t>30-1-301</t>
  </si>
  <si>
    <t>高辉彬</t>
  </si>
  <si>
    <t>09189141</t>
  </si>
  <si>
    <t>463</t>
  </si>
  <si>
    <t>30-1-302</t>
  </si>
  <si>
    <t>20190006610</t>
  </si>
  <si>
    <t>唐衡</t>
  </si>
  <si>
    <t>09188263</t>
  </si>
  <si>
    <t>464</t>
  </si>
  <si>
    <t>30-1-401</t>
  </si>
  <si>
    <t>20200003021</t>
  </si>
  <si>
    <t>张哲</t>
  </si>
  <si>
    <t>09188264</t>
  </si>
  <si>
    <t>465</t>
  </si>
  <si>
    <t>30-1-402</t>
  </si>
  <si>
    <t>宋朝晖</t>
  </si>
  <si>
    <t>09188265</t>
  </si>
  <si>
    <t>466</t>
  </si>
  <si>
    <t>30-1-501</t>
  </si>
  <si>
    <t>20190006370</t>
  </si>
  <si>
    <t>刘凯涛</t>
  </si>
  <si>
    <t>09188266</t>
  </si>
  <si>
    <t>467</t>
  </si>
  <si>
    <t>30-1-502</t>
  </si>
  <si>
    <t>20200001422</t>
  </si>
  <si>
    <t>王斌</t>
  </si>
  <si>
    <t>09189142</t>
  </si>
  <si>
    <t>468</t>
  </si>
  <si>
    <t>30-1-601</t>
  </si>
  <si>
    <t>刘瑞进</t>
  </si>
  <si>
    <t>09188267</t>
  </si>
  <si>
    <t>469</t>
  </si>
  <si>
    <t>30-1-602</t>
  </si>
  <si>
    <t>20190006358</t>
  </si>
  <si>
    <t>杨帆</t>
  </si>
  <si>
    <t>09188268</t>
  </si>
  <si>
    <t>470</t>
  </si>
  <si>
    <t>30-1-701</t>
  </si>
  <si>
    <t>20200010562</t>
  </si>
  <si>
    <t xml:space="preserve">马斌 </t>
  </si>
  <si>
    <t>09204196</t>
  </si>
  <si>
    <t>471</t>
  </si>
  <si>
    <t>30-1-702</t>
  </si>
  <si>
    <t>20200004331</t>
  </si>
  <si>
    <t>蒋程</t>
  </si>
  <si>
    <t>09188269</t>
  </si>
  <si>
    <t>472</t>
  </si>
  <si>
    <t>30-2-101</t>
  </si>
  <si>
    <t>20240002102</t>
  </si>
  <si>
    <t>王欢</t>
  </si>
  <si>
    <t>24652000000019095511</t>
  </si>
  <si>
    <t>473</t>
  </si>
  <si>
    <t>30-2-102</t>
  </si>
  <si>
    <t>20230005295</t>
  </si>
  <si>
    <t>江博涵</t>
  </si>
  <si>
    <t>01537161</t>
  </si>
  <si>
    <t>474</t>
  </si>
  <si>
    <t>30-2-201</t>
  </si>
  <si>
    <t>20190005804</t>
  </si>
  <si>
    <t>邹佳</t>
  </si>
  <si>
    <t>09188270</t>
  </si>
  <si>
    <t>475</t>
  </si>
  <si>
    <t>30-2-202</t>
  </si>
  <si>
    <t>王萍</t>
  </si>
  <si>
    <t>09188271</t>
  </si>
  <si>
    <t>476</t>
  </si>
  <si>
    <t>30-2-301</t>
  </si>
  <si>
    <t>刘玉龙</t>
  </si>
  <si>
    <t>09188272</t>
  </si>
  <si>
    <t>477</t>
  </si>
  <si>
    <t>30-2-302</t>
  </si>
  <si>
    <t>高飞飞</t>
  </si>
  <si>
    <t>09189111;09188273</t>
  </si>
  <si>
    <t>478</t>
  </si>
  <si>
    <t>30-2-401</t>
  </si>
  <si>
    <t>20190008495</t>
  </si>
  <si>
    <t>苏晓</t>
  </si>
  <si>
    <t>09188274</t>
  </si>
  <si>
    <t>479</t>
  </si>
  <si>
    <t>30-2-402</t>
  </si>
  <si>
    <t>20190006693</t>
  </si>
  <si>
    <t>郑高磊</t>
  </si>
  <si>
    <t>09188275</t>
  </si>
  <si>
    <t>480</t>
  </si>
  <si>
    <t>30-2-501</t>
  </si>
  <si>
    <t>袁承喜</t>
  </si>
  <si>
    <t>09178457</t>
  </si>
  <si>
    <t>481</t>
  </si>
  <si>
    <t>30-2-502</t>
  </si>
  <si>
    <t>20190006608</t>
  </si>
  <si>
    <t>罗明富</t>
  </si>
  <si>
    <t>09188276</t>
  </si>
  <si>
    <t>482</t>
  </si>
  <si>
    <t>30-2-601</t>
  </si>
  <si>
    <t>姚钰</t>
  </si>
  <si>
    <t>09178458</t>
  </si>
  <si>
    <t>483</t>
  </si>
  <si>
    <t>30-2-602</t>
  </si>
  <si>
    <t>张勤武</t>
  </si>
  <si>
    <t>09178456</t>
  </si>
  <si>
    <t>484</t>
  </si>
  <si>
    <t>30-2-701</t>
  </si>
  <si>
    <t>20200005167</t>
  </si>
  <si>
    <t>辛明</t>
  </si>
  <si>
    <t>09188277</t>
  </si>
  <si>
    <t>485</t>
  </si>
  <si>
    <t>30-2-702</t>
  </si>
  <si>
    <t>20200003140</t>
  </si>
  <si>
    <t>邱硕</t>
  </si>
  <si>
    <t>09188278</t>
  </si>
  <si>
    <t>486</t>
  </si>
  <si>
    <t>30-负-101</t>
  </si>
  <si>
    <t>487</t>
  </si>
  <si>
    <t>30-负-102</t>
  </si>
  <si>
    <t>488</t>
  </si>
  <si>
    <t>30-负-103</t>
  </si>
  <si>
    <t>489</t>
  </si>
  <si>
    <t>30-负-104</t>
  </si>
  <si>
    <t>490</t>
  </si>
  <si>
    <t>30-负-105</t>
  </si>
  <si>
    <t>491</t>
  </si>
  <si>
    <t>30-负-106</t>
  </si>
  <si>
    <t>492</t>
  </si>
  <si>
    <t>30-负-107</t>
  </si>
  <si>
    <t>493</t>
  </si>
  <si>
    <t>30-负-108</t>
  </si>
  <si>
    <t>494</t>
  </si>
  <si>
    <t>30-负-109</t>
  </si>
  <si>
    <t>495</t>
  </si>
  <si>
    <t>30-负-110</t>
  </si>
  <si>
    <t>496</t>
  </si>
  <si>
    <t>30-负-111</t>
  </si>
  <si>
    <t>497</t>
  </si>
  <si>
    <t>30-负-112</t>
  </si>
  <si>
    <t>498</t>
  </si>
  <si>
    <t>30-负-113</t>
  </si>
  <si>
    <t>499</t>
  </si>
  <si>
    <t>30-负-114</t>
  </si>
  <si>
    <t>500</t>
  </si>
  <si>
    <t>30-负-201</t>
  </si>
  <si>
    <t>501</t>
  </si>
  <si>
    <t>30-负-202</t>
  </si>
  <si>
    <t>502</t>
  </si>
  <si>
    <t>30-负-203</t>
  </si>
  <si>
    <t>503</t>
  </si>
  <si>
    <t>30-负-204</t>
  </si>
  <si>
    <t>504</t>
  </si>
  <si>
    <t>30-负-205</t>
  </si>
  <si>
    <t>505</t>
  </si>
  <si>
    <t>30-负-206</t>
  </si>
  <si>
    <t>506</t>
  </si>
  <si>
    <t>30-负-207</t>
  </si>
  <si>
    <t>507</t>
  </si>
  <si>
    <t>30-负-208</t>
  </si>
  <si>
    <t>508</t>
  </si>
  <si>
    <t>30-负-209</t>
  </si>
  <si>
    <t>509</t>
  </si>
  <si>
    <t>30-负-210</t>
  </si>
  <si>
    <t>510</t>
  </si>
  <si>
    <t>30-负-211</t>
  </si>
  <si>
    <t>511</t>
  </si>
  <si>
    <t>30-负-212</t>
  </si>
  <si>
    <t>512</t>
  </si>
  <si>
    <t>30-负-213</t>
  </si>
  <si>
    <t>513</t>
  </si>
  <si>
    <t>30-负-214</t>
  </si>
  <si>
    <t>514</t>
  </si>
  <si>
    <t>32-1-01</t>
  </si>
  <si>
    <t>515</t>
  </si>
  <si>
    <t>32-1-02</t>
  </si>
  <si>
    <t>516</t>
  </si>
  <si>
    <t>32-1-03</t>
  </si>
  <si>
    <t>517</t>
  </si>
  <si>
    <t>32-1-04</t>
  </si>
  <si>
    <t>518</t>
  </si>
  <si>
    <t>32-1-05</t>
  </si>
  <si>
    <t>519</t>
  </si>
  <si>
    <t>32-1-06</t>
  </si>
  <si>
    <t>520</t>
  </si>
  <si>
    <t>32-1-07</t>
  </si>
  <si>
    <t>20220003828</t>
  </si>
  <si>
    <t>刘晓菊</t>
  </si>
  <si>
    <t>01928613;01928614</t>
  </si>
  <si>
    <t>521</t>
  </si>
  <si>
    <t>32-1-08</t>
  </si>
  <si>
    <t>20210013782</t>
  </si>
  <si>
    <t>朱小明、常金银</t>
  </si>
  <si>
    <t>01500548;01500549</t>
  </si>
  <si>
    <t>522</t>
  </si>
  <si>
    <t>32-1-09</t>
  </si>
  <si>
    <t>20210013783</t>
  </si>
  <si>
    <t>01500550;01500551</t>
  </si>
  <si>
    <t>523</t>
  </si>
  <si>
    <t>32-2-01</t>
  </si>
  <si>
    <t>524</t>
  </si>
  <si>
    <t>32-2-02</t>
  </si>
  <si>
    <t>525</t>
  </si>
  <si>
    <t>警卫室</t>
  </si>
  <si>
    <t>526</t>
  </si>
  <si>
    <t>33-1-01</t>
  </si>
  <si>
    <t>527</t>
  </si>
  <si>
    <t>33-1-02</t>
  </si>
  <si>
    <t>528</t>
  </si>
  <si>
    <t>33-1-03</t>
  </si>
  <si>
    <t>529</t>
  </si>
  <si>
    <t>33-1-04</t>
  </si>
  <si>
    <t>530</t>
  </si>
  <si>
    <t>33-1-05</t>
  </si>
  <si>
    <t>531</t>
  </si>
  <si>
    <t>33-1-06</t>
  </si>
  <si>
    <t>532</t>
  </si>
  <si>
    <t>33-1-07</t>
  </si>
  <si>
    <t>533</t>
  </si>
  <si>
    <t>33-1-08</t>
  </si>
  <si>
    <t>534</t>
  </si>
  <si>
    <t>33-1-09</t>
  </si>
  <si>
    <t>535</t>
  </si>
  <si>
    <t>33-2-01</t>
  </si>
  <si>
    <t>536</t>
  </si>
  <si>
    <t>33-2-02</t>
  </si>
  <si>
    <t>537</t>
  </si>
  <si>
    <t>33-2-03</t>
  </si>
  <si>
    <t>538</t>
  </si>
  <si>
    <t>33-2-04</t>
  </si>
  <si>
    <t>539</t>
  </si>
  <si>
    <t>34-1-01</t>
  </si>
  <si>
    <t>20220002531</t>
  </si>
  <si>
    <t>张慧</t>
  </si>
  <si>
    <t>01500529;01500530</t>
  </si>
  <si>
    <t>540</t>
  </si>
  <si>
    <t>34-1-02</t>
  </si>
  <si>
    <t>20220002532</t>
  </si>
  <si>
    <t>01500527</t>
  </si>
  <si>
    <t>541</t>
  </si>
  <si>
    <t>34-1-03</t>
  </si>
  <si>
    <t>542</t>
  </si>
  <si>
    <t>34-1-04</t>
  </si>
  <si>
    <t>543</t>
  </si>
  <si>
    <t>34-1-05</t>
  </si>
  <si>
    <t>阿同古丽·阿布都热音</t>
  </si>
  <si>
    <t>09204241;09204242</t>
  </si>
  <si>
    <t>544</t>
  </si>
  <si>
    <t>34-1-06</t>
  </si>
  <si>
    <t>545</t>
  </si>
  <si>
    <t>34-1-07</t>
  </si>
  <si>
    <t>546</t>
  </si>
  <si>
    <t>34-1-08</t>
  </si>
  <si>
    <t>547</t>
  </si>
  <si>
    <t>34-1-09</t>
  </si>
  <si>
    <t>548</t>
  </si>
  <si>
    <t>34-2-01</t>
  </si>
  <si>
    <t>549</t>
  </si>
  <si>
    <t>34-2-02</t>
  </si>
  <si>
    <t>550</t>
  </si>
  <si>
    <t>35-1-01</t>
  </si>
  <si>
    <t>551</t>
  </si>
  <si>
    <t>35-2-01</t>
  </si>
  <si>
    <t>552</t>
  </si>
  <si>
    <t>01</t>
  </si>
  <si>
    <t>553</t>
  </si>
  <si>
    <t>02</t>
  </si>
  <si>
    <t>554</t>
  </si>
  <si>
    <t>03</t>
  </si>
  <si>
    <t>555</t>
  </si>
  <si>
    <t>04</t>
  </si>
  <si>
    <t>邓川江</t>
  </si>
  <si>
    <t>01913627;01913628</t>
  </si>
  <si>
    <t>556</t>
  </si>
  <si>
    <t>05</t>
  </si>
  <si>
    <t>01913625;01913626</t>
  </si>
  <si>
    <t>557</t>
  </si>
  <si>
    <t>06</t>
  </si>
  <si>
    <t>558</t>
  </si>
  <si>
    <t>07</t>
  </si>
  <si>
    <t>559</t>
  </si>
  <si>
    <t>08</t>
  </si>
  <si>
    <t>丁峰</t>
  </si>
  <si>
    <t>01537194;01537195</t>
  </si>
  <si>
    <t>560</t>
  </si>
  <si>
    <t>09</t>
  </si>
  <si>
    <t>侯红梅</t>
  </si>
  <si>
    <t>01537196;01537197</t>
  </si>
  <si>
    <t>561</t>
  </si>
  <si>
    <t>丁娜</t>
  </si>
  <si>
    <t>01537198;01537199</t>
  </si>
  <si>
    <t>562</t>
  </si>
  <si>
    <t>563</t>
  </si>
  <si>
    <r>
      <rPr>
        <sz val="16"/>
        <rFont val="方正小标宋简体"/>
        <charset val="134"/>
      </rPr>
      <t>T23210</t>
    </r>
    <r>
      <rPr>
        <sz val="16"/>
        <rFont val="微软雅黑"/>
        <charset val="134"/>
      </rPr>
      <t>附表</t>
    </r>
    <r>
      <rPr>
        <sz val="16"/>
        <rFont val="方正小标宋简体"/>
        <charset val="134"/>
      </rPr>
      <t>7-</t>
    </r>
    <r>
      <rPr>
        <sz val="16"/>
        <rFont val="微软雅黑"/>
        <charset val="134"/>
      </rPr>
      <t>扣除项目明细采集底稿</t>
    </r>
  </si>
  <si>
    <t>*记账日期</t>
  </si>
  <si>
    <t>*记账凭证号码</t>
  </si>
  <si>
    <t>*科目名称</t>
  </si>
  <si>
    <t>*二级科目名称</t>
  </si>
  <si>
    <t>内容摘要</t>
  </si>
  <si>
    <t>合同编号</t>
  </si>
  <si>
    <t>合同名称</t>
  </si>
  <si>
    <t>合同类别</t>
  </si>
  <si>
    <t>收款单位</t>
  </si>
  <si>
    <t>*凭据类型</t>
  </si>
  <si>
    <t>发票(凭据)代码</t>
  </si>
  <si>
    <t>发票(凭据)号码</t>
  </si>
  <si>
    <t>*发票(凭据)金额</t>
  </si>
  <si>
    <t>*付款金额</t>
  </si>
  <si>
    <t>*记账金额</t>
  </si>
  <si>
    <t>申报调整金额</t>
  </si>
  <si>
    <t>*申报扣除的记账金额</t>
  </si>
  <si>
    <t>分摊至本项目比例</t>
  </si>
  <si>
    <t>*本项目扣除金额</t>
  </si>
  <si>
    <t>*成本对象类型</t>
  </si>
  <si>
    <t>*普通住宅分摊金额</t>
  </si>
  <si>
    <t>*非普通住宅分摊金额</t>
  </si>
  <si>
    <t>*其他类型房产分摊金额</t>
  </si>
  <si>
    <t>*分摊方法</t>
  </si>
  <si>
    <t>分摊方法说明</t>
  </si>
  <si>
    <t>*是否可加计扣除</t>
  </si>
  <si>
    <t>17=15+16</t>
  </si>
  <si>
    <t>19=17*18</t>
  </si>
  <si>
    <t>23=19-22-24</t>
  </si>
  <si>
    <t>0066</t>
  </si>
  <si>
    <t>土地征用及拆迁补偿费</t>
  </si>
  <si>
    <t>拆迁补偿费</t>
  </si>
  <si>
    <t>调2014年3月42#凭证</t>
  </si>
  <si>
    <t>CQ-001</t>
  </si>
  <si>
    <t>新疆巴州建新公路维护有限公司</t>
  </si>
  <si>
    <t>其他凭据</t>
  </si>
  <si>
    <t>全小区分摊</t>
  </si>
  <si>
    <t>可加计</t>
  </si>
  <si>
    <t>调2014年8月56#凭证</t>
  </si>
  <si>
    <t>毛拉</t>
  </si>
  <si>
    <t>非本项目扣除</t>
  </si>
  <si>
    <t>调2014年8月84#凭证</t>
  </si>
  <si>
    <t>调2014年8月111#凭证</t>
  </si>
  <si>
    <t>陈高</t>
  </si>
  <si>
    <t>调2014年8月156#凭证</t>
  </si>
  <si>
    <t>调2014年9月60#凭证</t>
  </si>
  <si>
    <t>调2014年9月126#凭证</t>
  </si>
  <si>
    <t>调2015年6月87#凭证</t>
  </si>
  <si>
    <t>0009</t>
  </si>
  <si>
    <t>公共配套设施费</t>
  </si>
  <si>
    <t>派出所用房费用</t>
  </si>
  <si>
    <t>警务室劳务费</t>
  </si>
  <si>
    <t>崔红卫</t>
  </si>
  <si>
    <t>增值税普通发票</t>
  </si>
  <si>
    <t>065002100111</t>
  </si>
  <si>
    <t>03791310</t>
  </si>
  <si>
    <t>0014</t>
  </si>
  <si>
    <t>前期工程费</t>
  </si>
  <si>
    <t>其他前期工程费</t>
  </si>
  <si>
    <t>电线维修</t>
  </si>
  <si>
    <t>巴州聚泰商贸有限公司</t>
  </si>
  <si>
    <t>17719510;17719511</t>
  </si>
  <si>
    <t>一期分摊</t>
  </si>
  <si>
    <t>0047</t>
  </si>
  <si>
    <t>基础设施费</t>
  </si>
  <si>
    <t>其他设施工程发生的支出</t>
  </si>
  <si>
    <t>围栏刷漆人工费</t>
  </si>
  <si>
    <t>库尔勒九龙九龙建材经销部</t>
  </si>
  <si>
    <t>06075315</t>
  </si>
  <si>
    <t>设计费用</t>
  </si>
  <si>
    <t>沁春锦苑设计费</t>
  </si>
  <si>
    <t>其他合同-36</t>
  </si>
  <si>
    <t>上海联创设计集团有限公司新疆分公司</t>
  </si>
  <si>
    <t>增值税专用发票</t>
  </si>
  <si>
    <t>00436471</t>
  </si>
  <si>
    <t>00436472</t>
  </si>
  <si>
    <t>00436473</t>
  </si>
  <si>
    <t>00436474</t>
  </si>
  <si>
    <t>00436475</t>
  </si>
  <si>
    <t>00436476</t>
  </si>
  <si>
    <t>0067</t>
  </si>
  <si>
    <t>规划费用</t>
  </si>
  <si>
    <t>沁园春·锦36#楼图纸审查费</t>
  </si>
  <si>
    <t>Q-S-1</t>
  </si>
  <si>
    <t>新疆巴州建筑工程施工图设计文件审查中心</t>
  </si>
  <si>
    <t>6500181130</t>
  </si>
  <si>
    <t>01854911</t>
  </si>
  <si>
    <t>0068</t>
  </si>
  <si>
    <t>测绘费用</t>
  </si>
  <si>
    <t>沁园春·锦36#楼红线测绘费</t>
  </si>
  <si>
    <t>Q-CH-9</t>
  </si>
  <si>
    <t>库尔勒天拓勘察测绘院</t>
  </si>
  <si>
    <t>01933338</t>
  </si>
  <si>
    <t>0006</t>
  </si>
  <si>
    <t>杜鹃河道路设计费</t>
  </si>
  <si>
    <t>其他合同-41</t>
  </si>
  <si>
    <t>安徽宏泰交通工程设计研究院有限公司</t>
  </si>
  <si>
    <t>3400182130</t>
  </si>
  <si>
    <t>10976811</t>
  </si>
  <si>
    <t>不可扣-杜鹃路</t>
  </si>
  <si>
    <t>0021</t>
  </si>
  <si>
    <t>沁园春·锦公示牌制作</t>
  </si>
  <si>
    <t>库尔勒春雷广告制造中心</t>
  </si>
  <si>
    <t>15268864</t>
  </si>
  <si>
    <t>0019</t>
  </si>
  <si>
    <t>设计费</t>
  </si>
  <si>
    <t>库尔勒开拓规划设计研究院</t>
  </si>
  <si>
    <t>6500174130</t>
  </si>
  <si>
    <t>02900013</t>
  </si>
  <si>
    <t>0051</t>
  </si>
  <si>
    <t>沁园锦苑红蓝线数字化图</t>
  </si>
  <si>
    <t>6500182130</t>
  </si>
  <si>
    <t>01876437</t>
  </si>
  <si>
    <t>0023</t>
  </si>
  <si>
    <t>预付设计费</t>
  </si>
  <si>
    <t>JC-GW-01</t>
  </si>
  <si>
    <t>02900087</t>
  </si>
  <si>
    <t>0049</t>
  </si>
  <si>
    <t>造价咨询费</t>
  </si>
  <si>
    <t>其他合同-28</t>
  </si>
  <si>
    <t>新疆申光建筑工程咨询管理有限公司巴州分公司</t>
  </si>
  <si>
    <t>6500162160</t>
  </si>
  <si>
    <t>02757570</t>
  </si>
  <si>
    <t>一期商业</t>
  </si>
  <si>
    <t>不可选择</t>
  </si>
  <si>
    <t>沁春锦苑红线图</t>
  </si>
  <si>
    <t>01876474</t>
  </si>
  <si>
    <t>0075</t>
  </si>
  <si>
    <t>沁春锦苑19-20#、23-24#、1#、大门审图费</t>
  </si>
  <si>
    <t>其他合同-56</t>
  </si>
  <si>
    <t>01854948</t>
  </si>
  <si>
    <t>0077</t>
  </si>
  <si>
    <t>支付沁春锦苑19-20#、23-24#、1#、35#楼设计费</t>
  </si>
  <si>
    <t>Q-SJ-2</t>
  </si>
  <si>
    <t>一期住宅</t>
  </si>
  <si>
    <t>0025</t>
  </si>
  <si>
    <t>照明工程支出</t>
  </si>
  <si>
    <t>报票冲借支</t>
  </si>
  <si>
    <t>巴州青橄榄电子科技有限公司</t>
  </si>
  <si>
    <t>0028</t>
  </si>
  <si>
    <t>沁春锦苑大门审图费</t>
  </si>
  <si>
    <t>05058653</t>
  </si>
  <si>
    <t>0045</t>
  </si>
  <si>
    <t>公示牌制作费</t>
  </si>
  <si>
    <t>0065</t>
  </si>
  <si>
    <t>6500162130</t>
  </si>
  <si>
    <t>03888084;00054906;00054904;00054903</t>
  </si>
  <si>
    <t>0022</t>
  </si>
  <si>
    <t>沁园春景工程勘察费</t>
  </si>
  <si>
    <t>Q-SC-02-03</t>
  </si>
  <si>
    <t>巴州基安岩土工程勘察设计有限责任公司</t>
  </si>
  <si>
    <t>01900313</t>
  </si>
  <si>
    <t>0044</t>
  </si>
  <si>
    <t>安装电费费</t>
  </si>
  <si>
    <t>徐龙</t>
  </si>
  <si>
    <t>0052</t>
  </si>
  <si>
    <t>测绘费</t>
  </si>
  <si>
    <t>巴州新矿测绘中心</t>
  </si>
  <si>
    <t>05070121</t>
  </si>
  <si>
    <t>0060</t>
  </si>
  <si>
    <t>00302867;00302866</t>
  </si>
  <si>
    <t>0083</t>
  </si>
  <si>
    <t>亮化配电箱、电缆</t>
  </si>
  <si>
    <t>库尔勒慢文商贸有限公司</t>
  </si>
  <si>
    <t>0011</t>
  </si>
  <si>
    <t>电表</t>
  </si>
  <si>
    <t>库车泰信机电设备经销部</t>
  </si>
  <si>
    <t>01796544</t>
  </si>
  <si>
    <t>0017</t>
  </si>
  <si>
    <t>出图费</t>
  </si>
  <si>
    <t>巴州西域房地产价格评估事务所有限责任公司</t>
  </si>
  <si>
    <t>绿化费用</t>
  </si>
  <si>
    <t>人造草坪</t>
  </si>
  <si>
    <t>其他合同-43</t>
  </si>
  <si>
    <t>青岛博翔远生态园林有限公司</t>
  </si>
  <si>
    <t>3702191130</t>
  </si>
  <si>
    <t>00767009</t>
  </si>
  <si>
    <t>0062</t>
  </si>
  <si>
    <t>35#楼装修设计费</t>
  </si>
  <si>
    <t>其他合同-31</t>
  </si>
  <si>
    <t>乌鲁木齐艺林峰装饰设计有限公司</t>
  </si>
  <si>
    <t>6500183130</t>
  </si>
  <si>
    <t>01140005</t>
  </si>
  <si>
    <t>不可扣-35#楼装修设计费销售费用</t>
  </si>
  <si>
    <t>0085</t>
  </si>
  <si>
    <t>库车宏泰机电设备经销部</t>
  </si>
  <si>
    <t>01853514</t>
  </si>
  <si>
    <t>0125</t>
  </si>
  <si>
    <t>开发间接费用</t>
  </si>
  <si>
    <t>其他发生的间接费用</t>
  </si>
  <si>
    <t>彩钢板房冲预付款</t>
  </si>
  <si>
    <t>其他合同-06</t>
  </si>
  <si>
    <t>库尔勒徐宝中彩钢厂</t>
  </si>
  <si>
    <t>6500163160</t>
  </si>
  <si>
    <t>00069847</t>
  </si>
  <si>
    <t>0002</t>
  </si>
  <si>
    <t>44#小区土地评估费</t>
  </si>
  <si>
    <t>新疆兆新房产土地评估有限公司巴州分公司</t>
  </si>
  <si>
    <t>05192668</t>
  </si>
  <si>
    <t>沁春锦苑人防费</t>
  </si>
  <si>
    <t>库尔勒市住房与城乡建设局</t>
  </si>
  <si>
    <t>非税收入票据</t>
  </si>
  <si>
    <t>0020</t>
  </si>
  <si>
    <t>玫瑰庄园道路材料</t>
  </si>
  <si>
    <t>其他合同-07</t>
  </si>
  <si>
    <t>玫瑰庄园道路租赁费</t>
  </si>
  <si>
    <t>0034</t>
  </si>
  <si>
    <t>沁春锦苑25-29#楼等建筑红蓝线图</t>
  </si>
  <si>
    <t>05104544</t>
  </si>
  <si>
    <t>0036</t>
  </si>
  <si>
    <t>人防费（违纪费）</t>
  </si>
  <si>
    <t>中国巴音郭楞蒙古自治州纪律检查委员会</t>
  </si>
  <si>
    <t>003051951</t>
  </si>
  <si>
    <t>不可扣-人防违纪费</t>
  </si>
  <si>
    <t>沁春锦苑园林绿化工程</t>
  </si>
  <si>
    <t>JC-LH-03</t>
  </si>
  <si>
    <t>乌鲁木齐大漠林海绿化有限责任公司</t>
  </si>
  <si>
    <t>00342386-00342388</t>
  </si>
  <si>
    <t>0076</t>
  </si>
  <si>
    <t>开发小区内道路工程支出</t>
  </si>
  <si>
    <t>沁春锦苑道路路沿石等材料</t>
  </si>
  <si>
    <t>巴州包旭水泥制品有限公司</t>
  </si>
  <si>
    <t>05191370</t>
  </si>
  <si>
    <t>0078</t>
  </si>
  <si>
    <t>供水工程支出</t>
  </si>
  <si>
    <t>井盖</t>
  </si>
  <si>
    <t>库尔勒经济开发区福到来建材店</t>
  </si>
  <si>
    <t>37818629</t>
  </si>
  <si>
    <t>0090</t>
  </si>
  <si>
    <t>施工图审查费</t>
  </si>
  <si>
    <t>05058718</t>
  </si>
  <si>
    <t>0091</t>
  </si>
  <si>
    <t>25-30#、32-34#设计费</t>
  </si>
  <si>
    <t>Q-SJ-1</t>
  </si>
  <si>
    <t>01958175-01958176</t>
  </si>
  <si>
    <t>0092</t>
  </si>
  <si>
    <t>沥青混凝土</t>
  </si>
  <si>
    <t>其他合同-05</t>
  </si>
  <si>
    <t>新疆信诚康达工程机械有限公司</t>
  </si>
  <si>
    <t>05240279-05240280</t>
  </si>
  <si>
    <t>不可扣-红线外</t>
  </si>
  <si>
    <t>七通一平支出</t>
  </si>
  <si>
    <t>道路运费</t>
  </si>
  <si>
    <t>王永林</t>
  </si>
  <si>
    <t>03562294</t>
  </si>
  <si>
    <t>0024</t>
  </si>
  <si>
    <t>马路砖及路沿石</t>
  </si>
  <si>
    <t>巴州聚好水泥制品有限公司</t>
  </si>
  <si>
    <t>6500191130</t>
  </si>
  <si>
    <t>01528287</t>
  </si>
  <si>
    <t>0032</t>
  </si>
  <si>
    <t>建筑安装工程费</t>
  </si>
  <si>
    <t>户内装修费用</t>
  </si>
  <si>
    <t>门款</t>
  </si>
  <si>
    <t>乌鲁木齐治华海盛木业有限公司</t>
  </si>
  <si>
    <t>00047871</t>
  </si>
  <si>
    <t>0033</t>
  </si>
  <si>
    <t>水电费</t>
  </si>
  <si>
    <t>电费</t>
  </si>
  <si>
    <t>国网新疆电力有限公司巴州供电公司</t>
  </si>
  <si>
    <t>沁春锦苑自来水接口</t>
  </si>
  <si>
    <t>其他合同-29</t>
  </si>
  <si>
    <t>新疆昌源水务集团库尔勒银泉供水有限公司工程分公司</t>
  </si>
  <si>
    <t>01532016</t>
  </si>
  <si>
    <t>0046</t>
  </si>
  <si>
    <t>沁春锦苑监理费</t>
  </si>
  <si>
    <t>JZ-JL-02</t>
  </si>
  <si>
    <t>巴州智诚工程项目管理服务有限公司三分公司</t>
  </si>
  <si>
    <t>00456948</t>
  </si>
  <si>
    <t>沁春锦苑放线费</t>
  </si>
  <si>
    <t>01501299</t>
  </si>
  <si>
    <t>沁春锦苑出图费</t>
  </si>
  <si>
    <t>沁春锦苑景观廊架</t>
  </si>
  <si>
    <t>JC-LH-20</t>
  </si>
  <si>
    <t>库尔勒坚乐美建筑工程有限责任公司</t>
  </si>
  <si>
    <t>01958676</t>
  </si>
  <si>
    <t>03835310</t>
  </si>
  <si>
    <t>支商混款</t>
  </si>
  <si>
    <t>其他合同-48</t>
  </si>
  <si>
    <t>库尔勒市万欢建材有限公司</t>
  </si>
  <si>
    <t>01538892</t>
  </si>
  <si>
    <t>0027</t>
  </si>
  <si>
    <t>地上建筑工程费用</t>
  </si>
  <si>
    <t>挖掘机机械费</t>
  </si>
  <si>
    <t>其他合同-02</t>
  </si>
  <si>
    <t>姚宏伟</t>
  </si>
  <si>
    <t>03568289</t>
  </si>
  <si>
    <t>0037</t>
  </si>
  <si>
    <t>电力安装工程</t>
  </si>
  <si>
    <t>其他合同-50</t>
  </si>
  <si>
    <t>昌吉市恒源通电力安装有限责任公司巴州分公司</t>
  </si>
  <si>
    <t>01669327</t>
  </si>
  <si>
    <t>05193820</t>
  </si>
  <si>
    <t>0061</t>
  </si>
  <si>
    <t>土方清运</t>
  </si>
  <si>
    <t>其他合同-21</t>
  </si>
  <si>
    <t>巴州荣耀建筑工程有限公司</t>
  </si>
  <si>
    <t>6500161130</t>
  </si>
  <si>
    <t>02325651</t>
  </si>
  <si>
    <t>02325650</t>
  </si>
  <si>
    <t>景观石材</t>
  </si>
  <si>
    <t>其他合同-65</t>
  </si>
  <si>
    <t>托里县天和石业发展有限总公司</t>
  </si>
  <si>
    <t>03755481</t>
  </si>
  <si>
    <t>铝合金窗</t>
  </si>
  <si>
    <t>JZ-QT-02</t>
  </si>
  <si>
    <t>01958679</t>
  </si>
  <si>
    <t>01958678</t>
  </si>
  <si>
    <t>0087</t>
  </si>
  <si>
    <t>道路用材料</t>
  </si>
  <si>
    <t>中石油新疆销售有限公司巴州分公司</t>
  </si>
  <si>
    <t>01497995</t>
  </si>
  <si>
    <t>0088</t>
  </si>
  <si>
    <t>JZ-2-4</t>
  </si>
  <si>
    <t>新疆弘信可仁装饰工程有限责任公司</t>
  </si>
  <si>
    <t>01872833</t>
  </si>
  <si>
    <t>01872832</t>
  </si>
  <si>
    <t>35#楼装修工程材料</t>
  </si>
  <si>
    <t>JZ-ZX-15</t>
  </si>
  <si>
    <t>乌鲁木齐鑫林隆装饰材料有限公司</t>
  </si>
  <si>
    <t>00943306</t>
  </si>
  <si>
    <t>00943305</t>
  </si>
  <si>
    <t>00943304</t>
  </si>
  <si>
    <t>00943303</t>
  </si>
  <si>
    <t>0098</t>
  </si>
  <si>
    <t>中央空调及净水器</t>
  </si>
  <si>
    <t>零星-02</t>
  </si>
  <si>
    <t>库尔勒超科商贸有限公司</t>
  </si>
  <si>
    <t>05157318</t>
  </si>
  <si>
    <t>05157319</t>
  </si>
  <si>
    <t>0101</t>
  </si>
  <si>
    <t>沁春锦苑1#、35#楼工程款</t>
  </si>
  <si>
    <t>JZ-SY-01</t>
  </si>
  <si>
    <t>01538478</t>
  </si>
  <si>
    <t>0106</t>
  </si>
  <si>
    <t>园林绿化工程</t>
  </si>
  <si>
    <t>01282179</t>
  </si>
  <si>
    <t>01282180</t>
  </si>
  <si>
    <t>01282181</t>
  </si>
  <si>
    <t>0112</t>
  </si>
  <si>
    <t>19#、20#、23#、24#面积测绘费</t>
  </si>
  <si>
    <t>Q-CH-3</t>
  </si>
  <si>
    <t>库尔勒天平房地产价格评估事务所（有限责任公司）</t>
  </si>
  <si>
    <t>01620938</t>
  </si>
  <si>
    <t>0124</t>
  </si>
  <si>
    <t>零星材料</t>
  </si>
  <si>
    <t>新疆顺强混凝土有限公司</t>
  </si>
  <si>
    <t>05115534</t>
  </si>
  <si>
    <t>0012</t>
  </si>
  <si>
    <t>库尔勒市住房和城乡建设局</t>
  </si>
  <si>
    <t>01595338</t>
  </si>
  <si>
    <t>汽油</t>
  </si>
  <si>
    <t>01504552</t>
  </si>
  <si>
    <t>新疆生产建设兵团石油有限公司第二师分公司金雀加油站</t>
  </si>
  <si>
    <t>02038781</t>
  </si>
  <si>
    <t>35#楼沙发等</t>
  </si>
  <si>
    <t>海安凯琳娜家具有限公司</t>
  </si>
  <si>
    <t>3200184130</t>
  </si>
  <si>
    <t>57916533</t>
  </si>
  <si>
    <t>不可扣-办公家具</t>
  </si>
  <si>
    <t>57916532</t>
  </si>
  <si>
    <t>0102</t>
  </si>
  <si>
    <t>原发票作废重新开具</t>
  </si>
  <si>
    <t>JC-LH-04</t>
  </si>
  <si>
    <t>00125673</t>
  </si>
  <si>
    <t>00125671</t>
  </si>
  <si>
    <t>00125672</t>
  </si>
  <si>
    <t>01282186</t>
  </si>
  <si>
    <t>0104</t>
  </si>
  <si>
    <t>景观用钢材</t>
  </si>
  <si>
    <t>其他合同-26</t>
  </si>
  <si>
    <t>新疆天和利源商贸有限公司</t>
  </si>
  <si>
    <t>01515560</t>
  </si>
  <si>
    <t>0107</t>
  </si>
  <si>
    <t>供电工程支出</t>
  </si>
  <si>
    <t>地灯、射灯等灯饰</t>
  </si>
  <si>
    <t>FS-LH-001</t>
  </si>
  <si>
    <t>中山市蓝海洋灯饰厂</t>
  </si>
  <si>
    <t>景观用水泵</t>
  </si>
  <si>
    <t>其他合同-47</t>
  </si>
  <si>
    <t>库尔勒振兴飞翔电动工具总汇</t>
  </si>
  <si>
    <t>01683977</t>
  </si>
  <si>
    <t>景观用混凝土</t>
  </si>
  <si>
    <t>01669778</t>
  </si>
  <si>
    <t>0029</t>
  </si>
  <si>
    <t>沁春锦苑一期监理费</t>
  </si>
  <si>
    <t>00008555</t>
  </si>
  <si>
    <t>0031</t>
  </si>
  <si>
    <t>00008553</t>
  </si>
  <si>
    <t>19、20、23、24#楼建安</t>
  </si>
  <si>
    <t>JZ-ZZ-01</t>
  </si>
  <si>
    <t>01739338</t>
  </si>
  <si>
    <t>01739336</t>
  </si>
  <si>
    <t>01739335</t>
  </si>
  <si>
    <t>01739337</t>
  </si>
  <si>
    <t>01739340</t>
  </si>
  <si>
    <t>01739339</t>
  </si>
  <si>
    <t>0041</t>
  </si>
  <si>
    <t>沁春锦苑35#楼软装</t>
  </si>
  <si>
    <t>其他合同-35</t>
  </si>
  <si>
    <t>上海雅潮木业有限公司</t>
  </si>
  <si>
    <t>0042</t>
  </si>
  <si>
    <t>沁春锦苑19、20、23、24#建安</t>
  </si>
  <si>
    <t>01650223</t>
  </si>
  <si>
    <t>01650221</t>
  </si>
  <si>
    <t>01650222</t>
  </si>
  <si>
    <t>01650220</t>
  </si>
  <si>
    <t>01650219</t>
  </si>
  <si>
    <t>其他建筑安装工程费</t>
  </si>
  <si>
    <t>沁春锦苑防盗门</t>
  </si>
  <si>
    <t>JZ-MC-03</t>
  </si>
  <si>
    <t>巴州凯润商贸有限公司</t>
  </si>
  <si>
    <t>01886095</t>
  </si>
  <si>
    <t>0048</t>
  </si>
  <si>
    <t>福利费、油费、购观赏鱼</t>
  </si>
  <si>
    <t>其他合同-37</t>
  </si>
  <si>
    <t>库尔勒市碧海蓝天水族馆</t>
  </si>
  <si>
    <t>0070</t>
  </si>
  <si>
    <t>沁春锦苑园林绿化工程款</t>
  </si>
  <si>
    <t>03246131</t>
  </si>
  <si>
    <t>03246132</t>
  </si>
  <si>
    <t>0089</t>
  </si>
  <si>
    <t>沁春锦苑25-30#、32-24#楼设计费</t>
  </si>
  <si>
    <t>01596927</t>
  </si>
  <si>
    <t>0123</t>
  </si>
  <si>
    <t>其他合同-12</t>
  </si>
  <si>
    <t>库尔勒高瑞强五金建材店</t>
  </si>
  <si>
    <t>0169</t>
  </si>
  <si>
    <t>装修材料</t>
  </si>
  <si>
    <t>00996060</t>
  </si>
  <si>
    <t>00996061</t>
  </si>
  <si>
    <t>00996062</t>
  </si>
  <si>
    <t>00996057</t>
  </si>
  <si>
    <t>00996058</t>
  </si>
  <si>
    <t>00996059</t>
  </si>
  <si>
    <t>00996054</t>
  </si>
  <si>
    <t>00996055</t>
  </si>
  <si>
    <t>00996056</t>
  </si>
  <si>
    <t>0016</t>
  </si>
  <si>
    <t>35#楼监控</t>
  </si>
  <si>
    <t>JC-JK-03</t>
  </si>
  <si>
    <t>01547937</t>
  </si>
  <si>
    <t>景观亮华</t>
  </si>
  <si>
    <t>JC-LH-17</t>
  </si>
  <si>
    <t>07341165</t>
  </si>
  <si>
    <t>35#楼灯饰</t>
  </si>
  <si>
    <t>0040</t>
  </si>
  <si>
    <t>维修材料</t>
  </si>
  <si>
    <t>其他合同-49</t>
  </si>
  <si>
    <t>库尔勒经济技术开发区源茂林腾建材店</t>
  </si>
  <si>
    <t>石材雕刻</t>
  </si>
  <si>
    <t>JC-LH-05</t>
  </si>
  <si>
    <t>曲阳县石磊石材雕塑有限公司</t>
  </si>
  <si>
    <t>0073</t>
  </si>
  <si>
    <t>沁春锦苑、春和景苑工程勘察费</t>
  </si>
  <si>
    <t>Q-SC-1</t>
  </si>
  <si>
    <t>01757262</t>
  </si>
  <si>
    <t>沁春锦苑25-30#楼测绘费</t>
  </si>
  <si>
    <t>Q-CH-2</t>
  </si>
  <si>
    <t>01754921</t>
  </si>
  <si>
    <t>沁春锦苑大门景观防水</t>
  </si>
  <si>
    <t>巴州坤霸商贸有限公司</t>
  </si>
  <si>
    <t>00067027</t>
  </si>
  <si>
    <t>材料</t>
  </si>
  <si>
    <t>库尔勒四季红五金胶业批发部</t>
  </si>
  <si>
    <t>0103</t>
  </si>
  <si>
    <t>0109</t>
  </si>
  <si>
    <t>景观瓷砖</t>
  </si>
  <si>
    <t>库尔勒经济技术开发区罗马利奥瓷砖专卖店</t>
  </si>
  <si>
    <t>装修款</t>
  </si>
  <si>
    <t>其他合同-01</t>
  </si>
  <si>
    <t>乌鲁木齐水磨沟福满地装饰经销部</t>
  </si>
  <si>
    <t>09453788</t>
  </si>
  <si>
    <t>0018</t>
  </si>
  <si>
    <t>装修</t>
  </si>
  <si>
    <t>09453787</t>
  </si>
  <si>
    <t>乌鲁木齐高新技术产业开发区德新家具经销部</t>
  </si>
  <si>
    <t>U型挡车器</t>
  </si>
  <si>
    <t>巴州坤龙金属制品制造有限公司</t>
  </si>
  <si>
    <t>LED灯带</t>
  </si>
  <si>
    <t>库尔勒捷普灯饰经销部</t>
  </si>
  <si>
    <t>0043</t>
  </si>
  <si>
    <t>沁春锦苑19、20、23、24#楼工程款</t>
  </si>
  <si>
    <t>01736129-01736146</t>
  </si>
  <si>
    <t>廊架</t>
  </si>
  <si>
    <t>01684501</t>
  </si>
  <si>
    <t>0050</t>
  </si>
  <si>
    <t>砂石料运费</t>
  </si>
  <si>
    <t>王国强</t>
  </si>
  <si>
    <t>62289200;62289196;62289197;62289194;62289195</t>
  </si>
  <si>
    <t>鹅卵石</t>
  </si>
  <si>
    <t>乌鲁木齐米东区金燕山文化石经销部</t>
  </si>
  <si>
    <t>0053</t>
  </si>
  <si>
    <t>智能锁</t>
  </si>
  <si>
    <t>JC-QT-04</t>
  </si>
  <si>
    <t>01601263</t>
  </si>
  <si>
    <t>沁春锦防盗门款</t>
  </si>
  <si>
    <t>01876808</t>
  </si>
  <si>
    <t>35#楼窗帘</t>
  </si>
  <si>
    <t>库尔勒纤裕丝宝窗窗帘</t>
  </si>
  <si>
    <t>黑冰花石材</t>
  </si>
  <si>
    <t>库尔勒新聚石材经销部</t>
  </si>
  <si>
    <t>02217356</t>
  </si>
  <si>
    <t>0064</t>
  </si>
  <si>
    <t>水下彩灯</t>
  </si>
  <si>
    <t>乌鲁木齐市双龙园林喷泉水景艺术有限公司</t>
  </si>
  <si>
    <t>高档外立面工程费用</t>
  </si>
  <si>
    <t>35#楼外墙装饰</t>
  </si>
  <si>
    <t>JZ-ZX-18</t>
  </si>
  <si>
    <t>新疆星期天装饰工程有限公司</t>
  </si>
  <si>
    <t>00024306;00024308-00024311;00024365-00024368</t>
  </si>
  <si>
    <t>沁春锦苑围栏维修</t>
  </si>
  <si>
    <t>沁春锦苑35#楼沙盘底座</t>
  </si>
  <si>
    <t>不可口-销售费用</t>
  </si>
  <si>
    <t>油费、材料、交通费</t>
  </si>
  <si>
    <t>库尔勒唐院新商贸有限公司</t>
  </si>
  <si>
    <t>0081</t>
  </si>
  <si>
    <t>春和景苑、沁春锦苑商业测绘费</t>
  </si>
  <si>
    <t>库尔勒天平房地产价格评估事务所</t>
  </si>
  <si>
    <t>01815543</t>
  </si>
  <si>
    <t>不可扣-测绘费</t>
  </si>
  <si>
    <t>Q-CH-1</t>
  </si>
  <si>
    <t>样板间装饰</t>
  </si>
  <si>
    <t>其他合同-22</t>
  </si>
  <si>
    <t>巴州玖月建筑装饰有限公司</t>
  </si>
  <si>
    <t>0094</t>
  </si>
  <si>
    <t>JC-LH-06</t>
  </si>
  <si>
    <t>0122</t>
  </si>
  <si>
    <t>03246136-03246138</t>
  </si>
  <si>
    <t>消防工程</t>
  </si>
  <si>
    <t>其他合同-33</t>
  </si>
  <si>
    <t>乌鲁木齐久安消防工程有限公司巴州分公司（代）</t>
  </si>
  <si>
    <t>02771563</t>
  </si>
  <si>
    <t>01631912</t>
  </si>
  <si>
    <t>黑冰花大理石</t>
  </si>
  <si>
    <t>库尔勒经济开发区久聚石材经销部</t>
  </si>
  <si>
    <t>0003</t>
  </si>
  <si>
    <t>电缆线等零星材料</t>
  </si>
  <si>
    <t>其他合同-39</t>
  </si>
  <si>
    <t>库尔勒光普物资供应站</t>
  </si>
  <si>
    <t>0005</t>
  </si>
  <si>
    <t>35#楼天然气设计费</t>
  </si>
  <si>
    <t>上海市政工程总院集团有限公司</t>
  </si>
  <si>
    <t>吊灯</t>
  </si>
  <si>
    <t>槽钢</t>
  </si>
  <si>
    <t>07328528</t>
  </si>
  <si>
    <t>0054</t>
  </si>
  <si>
    <t>沁春锦苑二期测绘费</t>
  </si>
  <si>
    <t>新疆天拓空间测绘有限公司</t>
  </si>
  <si>
    <t>01796307</t>
  </si>
  <si>
    <t>0055</t>
  </si>
  <si>
    <t>垃圾清运</t>
  </si>
  <si>
    <t>其他合同-44</t>
  </si>
  <si>
    <t>路林林</t>
  </si>
  <si>
    <t>00153336</t>
  </si>
  <si>
    <t>0056</t>
  </si>
  <si>
    <t>电线材料</t>
  </si>
  <si>
    <t>其他合同-15</t>
  </si>
  <si>
    <t>库尔勒爱德立电器经销商</t>
  </si>
  <si>
    <t>沁春锦苑二期审图费</t>
  </si>
  <si>
    <t>07308104</t>
  </si>
  <si>
    <t>07308106</t>
  </si>
  <si>
    <t>0141</t>
  </si>
  <si>
    <t>材料及砂石料运费</t>
  </si>
  <si>
    <t>库尔勒丰汇手拉手装修材料商行
库尔勒经济开发区腾润豪商行</t>
  </si>
  <si>
    <t>62722327;15826544;62895246;16417644</t>
  </si>
  <si>
    <t>0142</t>
  </si>
  <si>
    <t>混凝土</t>
  </si>
  <si>
    <t>07340942</t>
  </si>
  <si>
    <t>0155</t>
  </si>
  <si>
    <t>维修费</t>
  </si>
  <si>
    <t>库尔勒经济开发区源茂林腾建材店</t>
  </si>
  <si>
    <t>0158</t>
  </si>
  <si>
    <t>装载机械租赁</t>
  </si>
  <si>
    <t>库尔勒耀德建筑工程机械设备租赁站</t>
  </si>
  <si>
    <t>00153317</t>
  </si>
  <si>
    <t>0161</t>
  </si>
  <si>
    <t>装饰材料</t>
  </si>
  <si>
    <t>09453789</t>
  </si>
  <si>
    <t>0162</t>
  </si>
  <si>
    <t>09453790</t>
  </si>
  <si>
    <t>0188</t>
  </si>
  <si>
    <t>沁春锦苑35#楼消防用电及配电箱</t>
  </si>
  <si>
    <t>其他合同-27</t>
  </si>
  <si>
    <t>新疆特兰克斯电器有限公司</t>
  </si>
  <si>
    <t>07338366</t>
  </si>
  <si>
    <t>0189</t>
  </si>
  <si>
    <t>沁春锦苑预算费</t>
  </si>
  <si>
    <t>巴州嘉瑞易特商贸有限公司</t>
  </si>
  <si>
    <t>0190</t>
  </si>
  <si>
    <t>35#楼外墙装修</t>
  </si>
  <si>
    <t>00037050</t>
  </si>
  <si>
    <t>0191</t>
  </si>
  <si>
    <t>其他合同-45</t>
  </si>
  <si>
    <t>卢静</t>
  </si>
  <si>
    <t>00158468</t>
  </si>
  <si>
    <t>0211</t>
  </si>
  <si>
    <t>35#楼装修款</t>
  </si>
  <si>
    <t>00037054-00037056</t>
  </si>
  <si>
    <t>0222</t>
  </si>
  <si>
    <t>沁春锦苑一期防盗门、防火门</t>
  </si>
  <si>
    <t>00023680</t>
  </si>
  <si>
    <t>0223</t>
  </si>
  <si>
    <t>35#楼外墙工程款</t>
  </si>
  <si>
    <t>JZ-ZX-20</t>
  </si>
  <si>
    <t>07340453</t>
  </si>
  <si>
    <t>0224</t>
  </si>
  <si>
    <t>07303870-07303872</t>
  </si>
  <si>
    <t>0225</t>
  </si>
  <si>
    <t>00030004;00024974;00024973</t>
  </si>
  <si>
    <t>2020-01-31</t>
  </si>
  <si>
    <t>记 - 81</t>
  </si>
  <si>
    <t>1-8新疆双星建设电梯发票到</t>
  </si>
  <si>
    <t>JZ-DT-01</t>
  </si>
  <si>
    <t>新疆双星建筑集团有限责任公司</t>
  </si>
  <si>
    <t>07363409</t>
  </si>
  <si>
    <t>记 - 84</t>
  </si>
  <si>
    <t>1-10新疆正杰建筑发票到</t>
  </si>
  <si>
    <t>J-ZT-01</t>
  </si>
  <si>
    <t>07489411;07489407;07489409;07489408;07489410</t>
  </si>
  <si>
    <t>记 - 86</t>
  </si>
  <si>
    <t>1-16付新疆正杰沁春锦苑二期工程款（郑）</t>
  </si>
  <si>
    <t>03680587</t>
  </si>
  <si>
    <t>记 - 99</t>
  </si>
  <si>
    <t>1-16支付何银昌沁春锦苑土方运输款</t>
  </si>
  <si>
    <t>其他合同-17</t>
  </si>
  <si>
    <t>何银昌</t>
  </si>
  <si>
    <t>62556319-62556322;62556324;74042235</t>
  </si>
  <si>
    <t>记 - 101</t>
  </si>
  <si>
    <t>1-13支付聂泽西（库尔勒新聚久石材经销部）款</t>
  </si>
  <si>
    <t>库尔勒新聚久石材经销部</t>
  </si>
  <si>
    <t>02217357</t>
  </si>
  <si>
    <t>记 - 106</t>
  </si>
  <si>
    <t>1-14支付通力建设沁春锦苑1#35#工程款</t>
  </si>
  <si>
    <t>07413687</t>
  </si>
  <si>
    <t>记 - 108</t>
  </si>
  <si>
    <t>1-14支付中洲建设一期室外消防给排水工程款</t>
  </si>
  <si>
    <t>JC-XF-02</t>
  </si>
  <si>
    <t>新疆中洲建设工程有限责任公司</t>
  </si>
  <si>
    <t>01721457</t>
  </si>
  <si>
    <t>2020-03-31</t>
  </si>
  <si>
    <t>记 - 54</t>
  </si>
  <si>
    <t>3-23付巴州青橄榄沁春锦苑围栏维修款</t>
  </si>
  <si>
    <t>记 - 58</t>
  </si>
  <si>
    <t>3-16付沁春锦苑一期1#35#人防费</t>
  </si>
  <si>
    <t>库尔勒住房与城乡建设局</t>
  </si>
  <si>
    <t>6090646259</t>
  </si>
  <si>
    <t>记 - 63</t>
  </si>
  <si>
    <t>3-17支付巴州聚好沁春锦苑材料款</t>
  </si>
  <si>
    <t>其他合同-25</t>
  </si>
  <si>
    <t>07428587</t>
  </si>
  <si>
    <t>记 - 97</t>
  </si>
  <si>
    <t>3-31新疆正杰沁春锦苑二期发票到（郑）</t>
  </si>
  <si>
    <t>03680626-03680627</t>
  </si>
  <si>
    <t>2020-04-30</t>
  </si>
  <si>
    <t>记 - 12</t>
  </si>
  <si>
    <t>通讯工程支出</t>
  </si>
  <si>
    <t>4-1巴州凯东商贸沁春锦苑监控设备发票到</t>
  </si>
  <si>
    <t>JC-QT-05</t>
  </si>
  <si>
    <t>巴州凯东商贸有限公司</t>
  </si>
  <si>
    <t>00154568</t>
  </si>
  <si>
    <t>记 - 55</t>
  </si>
  <si>
    <t>4-10预付新疆创昊沁春锦苑一期外网电气安装款</t>
  </si>
  <si>
    <t>JC-GD-02</t>
  </si>
  <si>
    <t>新疆创昊电力建设工程有限公司巴州分公司</t>
  </si>
  <si>
    <t>03690187</t>
  </si>
  <si>
    <t>巴州鑫磊机电设备开关有限责任公司</t>
  </si>
  <si>
    <t>00403723;00043722</t>
  </si>
  <si>
    <t>记 - 57</t>
  </si>
  <si>
    <t>4-10预付库尔勒坚乐美铝合金窗款</t>
  </si>
  <si>
    <t>JZ-MC-18-01</t>
  </si>
  <si>
    <t>07459564-07459565</t>
  </si>
  <si>
    <t>4-10预付新疆中洲沁春锦苑一期消防给排水工程款</t>
  </si>
  <si>
    <t>03691046</t>
  </si>
  <si>
    <t>记 - 59</t>
  </si>
  <si>
    <t>4-10支付新疆弘信可仁铝合金窗款</t>
  </si>
  <si>
    <t>J-2-2</t>
  </si>
  <si>
    <t>00300021;00030023;03615999;00030022</t>
  </si>
  <si>
    <t>记 - 72</t>
  </si>
  <si>
    <t>4-14预付泰丰线缆沁春锦苑电缆款电汇手续费</t>
  </si>
  <si>
    <t>JC-DL-02</t>
  </si>
  <si>
    <t>泰丰线缆有限公司</t>
  </si>
  <si>
    <t>记 - 75</t>
  </si>
  <si>
    <t>4-15付何银昌沁春锦苑三期土方拉运（至开发区）</t>
  </si>
  <si>
    <t>62556323</t>
  </si>
  <si>
    <t>记 - 92</t>
  </si>
  <si>
    <t>4-08正杰沁春锦苑二期工程款发票到（顾）</t>
  </si>
  <si>
    <t>03680629</t>
  </si>
  <si>
    <t>记 - 105</t>
  </si>
  <si>
    <t>4-20新疆创昊沁春锦苑电力安装发票到</t>
  </si>
  <si>
    <t>03690189</t>
  </si>
  <si>
    <t>记 - 119</t>
  </si>
  <si>
    <t>4-21/23星期天沁春锦苑35#楼发票到</t>
  </si>
  <si>
    <t>03621531-03621540;03620613;03620621;03620622</t>
  </si>
  <si>
    <t>记 - 153</t>
  </si>
  <si>
    <t>4-19巴州鑫磊沁春锦苑一期电气外网箱变发票到</t>
  </si>
  <si>
    <t>00043728;00043727</t>
  </si>
  <si>
    <t>记 - 169</t>
  </si>
  <si>
    <t>4-28大漠林海发票到</t>
  </si>
  <si>
    <t>03285814</t>
  </si>
  <si>
    <t>记 - 170</t>
  </si>
  <si>
    <t>4-30新疆雅丹样板房装修发票到（20-1-702）</t>
  </si>
  <si>
    <t>JZ-YBJ-01</t>
  </si>
  <si>
    <t>新疆雅丹筑韵建筑装饰工程有限公司</t>
  </si>
  <si>
    <t>00082687</t>
  </si>
  <si>
    <t>2020-05-13</t>
  </si>
  <si>
    <t>记 - 56</t>
  </si>
  <si>
    <t>5-12正杰工程款发票到</t>
  </si>
  <si>
    <t>03732078</t>
  </si>
  <si>
    <t>记 - 64</t>
  </si>
  <si>
    <t>5-15预付沁春锦苑一期可视电话款</t>
  </si>
  <si>
    <t>JC-LH-07</t>
  </si>
  <si>
    <t>新疆众泰永盛建筑工程有限公司</t>
  </si>
  <si>
    <t>03717956</t>
  </si>
  <si>
    <t>2020-05-18</t>
  </si>
  <si>
    <t>记 - 71</t>
  </si>
  <si>
    <t>5-16新疆华汇沁春锦苑发票到</t>
  </si>
  <si>
    <t>新疆华汇建安机械设备有限公司</t>
  </si>
  <si>
    <t>07385017</t>
  </si>
  <si>
    <t>2020-05-21</t>
  </si>
  <si>
    <t>记 - 87</t>
  </si>
  <si>
    <t>5-8智诚监理费发票到（沁春锦苑二期）</t>
  </si>
  <si>
    <t>JZ-JL-01</t>
  </si>
  <si>
    <t>巴州智诚工程项目管理服务有限公司二分公司</t>
  </si>
  <si>
    <t>00186955</t>
  </si>
  <si>
    <t>记 - 88</t>
  </si>
  <si>
    <t>5-22新疆华汇电梯发票到（沁春锦苑二期10台）</t>
  </si>
  <si>
    <t>JZ-DT-10</t>
  </si>
  <si>
    <t>07385018</t>
  </si>
  <si>
    <t>5-22付何银昌运费</t>
  </si>
  <si>
    <t>何银昌新M15240</t>
  </si>
  <si>
    <t>74873201-74873205</t>
  </si>
  <si>
    <t>2020-05-26</t>
  </si>
  <si>
    <t>记 - 104</t>
  </si>
  <si>
    <t>5-23库尔勒永绍沁春锦苑二期防盗门发票到</t>
  </si>
  <si>
    <t>J-2-4</t>
  </si>
  <si>
    <t>库尔勒永绍商贸有限公司</t>
  </si>
  <si>
    <t>01727453-01727456</t>
  </si>
  <si>
    <t>2020-05-29</t>
  </si>
  <si>
    <t>记 - 132</t>
  </si>
  <si>
    <t>5-29雅丹样板房装修发票到</t>
  </si>
  <si>
    <t>00180059</t>
  </si>
  <si>
    <t>记 - 134</t>
  </si>
  <si>
    <t>5-30q青橄榄发票到</t>
  </si>
  <si>
    <t>07341167</t>
  </si>
  <si>
    <t>不可扣-2024年6月发票红冲</t>
  </si>
  <si>
    <t>2020-06-02</t>
  </si>
  <si>
    <t>记 - 15</t>
  </si>
  <si>
    <t>6-2管丽萍报垫付费用</t>
  </si>
  <si>
    <t>新疆昌源水务集团库尔勒银泉供水有限公司</t>
  </si>
  <si>
    <t>03765006</t>
  </si>
  <si>
    <t>2020-06-04</t>
  </si>
  <si>
    <t>记 - 34</t>
  </si>
  <si>
    <t>1-13鑫林隆装修发票到</t>
  </si>
  <si>
    <t>03451383;03451382</t>
  </si>
  <si>
    <t>2020-06-10</t>
  </si>
  <si>
    <t>记 - 49</t>
  </si>
  <si>
    <t>6-9付招贤建筑沁春景苑石材款</t>
  </si>
  <si>
    <t>JC-ZS-01</t>
  </si>
  <si>
    <t>巴州招贤建筑装饰有限公司</t>
  </si>
  <si>
    <t>03632479</t>
  </si>
  <si>
    <t>记 - 51</t>
  </si>
  <si>
    <t>6-9付巴州胡锦商贸井盖款</t>
  </si>
  <si>
    <t>其他合同-24</t>
  </si>
  <si>
    <t>巴州胡锦诚商贸有限公司</t>
  </si>
  <si>
    <t>03833603</t>
  </si>
  <si>
    <t>记 - 61</t>
  </si>
  <si>
    <t>6-10付胡锦诚林商贸沁春锦苑给排水工程</t>
  </si>
  <si>
    <t>03669762</t>
  </si>
  <si>
    <t>记 - 62</t>
  </si>
  <si>
    <t>6-10付天拓红线图费</t>
  </si>
  <si>
    <t>其他合同-51-9</t>
  </si>
  <si>
    <t>03818210</t>
  </si>
  <si>
    <t>记 - 66</t>
  </si>
  <si>
    <t>6-9付益诚沁春锦苑交通分析规划图</t>
  </si>
  <si>
    <t>新疆益诚开拓空间规划建设设计院有限公司</t>
  </si>
  <si>
    <t>03815930</t>
  </si>
  <si>
    <t>记 - 69</t>
  </si>
  <si>
    <t>6-10付正杰沁春锦苑工程款（郑）</t>
  </si>
  <si>
    <t>03854703;03854702</t>
  </si>
  <si>
    <t>记 - 70</t>
  </si>
  <si>
    <t>6-9新疆巴州金辉煌发票到</t>
  </si>
  <si>
    <t>JZ-ZX-01</t>
  </si>
  <si>
    <t>新疆巴州金辉煌装饰工程有限责任公司</t>
  </si>
  <si>
    <t>01881289-01881293</t>
  </si>
  <si>
    <t>记 - 90</t>
  </si>
  <si>
    <t>6-15杨江伟发票到</t>
  </si>
  <si>
    <t>其他合同-11</t>
  </si>
  <si>
    <t>库尔勒江伟通发五金店</t>
  </si>
  <si>
    <t>17968565-17968568</t>
  </si>
  <si>
    <t>2020-06-18</t>
  </si>
  <si>
    <t>记 - 110</t>
  </si>
  <si>
    <t>6-17付疆里广告2号楼道路临时封闭设计费</t>
  </si>
  <si>
    <t>其他合同-13</t>
  </si>
  <si>
    <t>库尔勒疆里广告设计费</t>
  </si>
  <si>
    <t>不可扣</t>
  </si>
  <si>
    <t>2020-06-19</t>
  </si>
  <si>
    <t>记 - 131</t>
  </si>
  <si>
    <t>6-19付鑫林隆装饰工程款</t>
  </si>
  <si>
    <t>07353809</t>
  </si>
  <si>
    <t>6-20付刘府货运沁春锦苑景观道路购砂石料</t>
  </si>
  <si>
    <t>Q-DP-01</t>
  </si>
  <si>
    <t>库尔勒刘府货运信息咨询服务部</t>
  </si>
  <si>
    <t>17642885-17642888</t>
  </si>
  <si>
    <t>记 - 143</t>
  </si>
  <si>
    <t>6-22付泰丰电缆款</t>
  </si>
  <si>
    <t>记 - 158</t>
  </si>
  <si>
    <t>6-23预付安徽宏泰杜鹃路设计费</t>
  </si>
  <si>
    <t>2020-06-28</t>
  </si>
  <si>
    <t>记 - 174</t>
  </si>
  <si>
    <t>6-19招贤石拱桥发票到</t>
  </si>
  <si>
    <t>03632480</t>
  </si>
  <si>
    <t>记 - 180</t>
  </si>
  <si>
    <t>其他非营业性房产费用</t>
  </si>
  <si>
    <t>河南森际铝板发票到</t>
  </si>
  <si>
    <t>JC-DM-01</t>
  </si>
  <si>
    <t>河南森际装饰材料有限公司</t>
  </si>
  <si>
    <t>02660651</t>
  </si>
  <si>
    <t>记 - 195</t>
  </si>
  <si>
    <t>6-30付昌源水务供水管道安装</t>
  </si>
  <si>
    <t>03744204</t>
  </si>
  <si>
    <t>2020-07-03</t>
  </si>
  <si>
    <t>7-2z正杰沁春锦苑一期工程款发票到（顾）</t>
  </si>
  <si>
    <t>03893109-03893111</t>
  </si>
  <si>
    <t>2020-07-07</t>
  </si>
  <si>
    <t>记 - 29</t>
  </si>
  <si>
    <t>7-7沁春锦苑室外装饰工程施工图审查费发票到</t>
  </si>
  <si>
    <t>03924166</t>
  </si>
  <si>
    <t>记 - 30</t>
  </si>
  <si>
    <t>地下人防设施费用</t>
  </si>
  <si>
    <t>7-7预付河南省人防沁春锦苑三期人防设计费</t>
  </si>
  <si>
    <t>GG-RFCK-03</t>
  </si>
  <si>
    <t>河南人防建筑设计研究院有限公司新疆分公司</t>
  </si>
  <si>
    <t>05921547</t>
  </si>
  <si>
    <t>公共配套-人防</t>
  </si>
  <si>
    <t>记 - 31</t>
  </si>
  <si>
    <t>7-7付新康达购沁春锦苑塑木条款</t>
  </si>
  <si>
    <t>其他合同-42</t>
  </si>
  <si>
    <t>沙依巴格区阿里路新康达体育用品商行</t>
  </si>
  <si>
    <t>00064932</t>
  </si>
  <si>
    <t>记 - 32</t>
  </si>
  <si>
    <t>7-2正杰工程款发票到（郑）</t>
  </si>
  <si>
    <t>03893113-03893114</t>
  </si>
  <si>
    <t>2020-07-10</t>
  </si>
  <si>
    <t>记 - 47</t>
  </si>
  <si>
    <t>7-10支付巴州方程式围栏制作</t>
  </si>
  <si>
    <t>JC-QT-28</t>
  </si>
  <si>
    <t>巴州方程视广告有限公司</t>
  </si>
  <si>
    <t>00209420</t>
  </si>
  <si>
    <t>2020-07-15</t>
  </si>
  <si>
    <t>7-14付招贤石材款</t>
  </si>
  <si>
    <t>03632481</t>
  </si>
  <si>
    <t>记 - 68</t>
  </si>
  <si>
    <t>排污工程支出</t>
  </si>
  <si>
    <t>7-14付河北阔龙泵款</t>
  </si>
  <si>
    <t>JC-QT-15</t>
  </si>
  <si>
    <t>河北阔龙环保设备有限公司</t>
  </si>
  <si>
    <t>2020-07-17</t>
  </si>
  <si>
    <t>记 - 79</t>
  </si>
  <si>
    <t>7-16付正杰工程款（郑）</t>
  </si>
  <si>
    <t>03893021</t>
  </si>
  <si>
    <t>2020-07-21</t>
  </si>
  <si>
    <t>记 - 95</t>
  </si>
  <si>
    <t>7-20付巴州锦林家庭服务钢塑管款</t>
  </si>
  <si>
    <t>其他合同-40</t>
  </si>
  <si>
    <t>巴州锦林家庭服务有限责任公司</t>
  </si>
  <si>
    <t>7-20付成都锦胜雾森喷雾设备款</t>
  </si>
  <si>
    <t>JC-LH-01</t>
  </si>
  <si>
    <t>成都锦盛雾森环保科技有限公司</t>
  </si>
  <si>
    <t>09828941</t>
  </si>
  <si>
    <t>7-7陕西鲁班装饰发票到</t>
  </si>
  <si>
    <t>其他合同-66</t>
  </si>
  <si>
    <t>陕西鲁班装饰工程有限公司成都分公司</t>
  </si>
  <si>
    <t>64021479;83581459;82581460</t>
  </si>
  <si>
    <t>记 - 113</t>
  </si>
  <si>
    <t>7-22付坚乐美工程款（大门钢架）</t>
  </si>
  <si>
    <t>其他合同-61</t>
  </si>
  <si>
    <t>03794661</t>
  </si>
  <si>
    <t>2020-07-23</t>
  </si>
  <si>
    <t>记 - 120</t>
  </si>
  <si>
    <t>7-23付鉴衡（李嘉淇）三期预算费</t>
  </si>
  <si>
    <t>Q-YS-01</t>
  </si>
  <si>
    <t>库尔勒市鉴衡工程造价咨询工作室</t>
  </si>
  <si>
    <t>18056780-18056781</t>
  </si>
  <si>
    <t>记 - 121</t>
  </si>
  <si>
    <t>7-23f付李林购沁春锦苑景观雾化装置使用电缆</t>
  </si>
  <si>
    <t>其他合同-14</t>
  </si>
  <si>
    <t>库尔勒诚鑫远建材经销部</t>
  </si>
  <si>
    <t>记 - 122</t>
  </si>
  <si>
    <t>7-23付坚乐美塑钢窗款</t>
  </si>
  <si>
    <t>03794667-03794668</t>
  </si>
  <si>
    <t>2020-07-27</t>
  </si>
  <si>
    <t>记 - 138</t>
  </si>
  <si>
    <t>7-27付新疆天和利源购钢管款</t>
  </si>
  <si>
    <t>03920985</t>
  </si>
  <si>
    <t>2020-08-31</t>
  </si>
  <si>
    <t>记 - 26</t>
  </si>
  <si>
    <t>8-30收青橄榄6月30日发票到（一期监控、五方对讲）</t>
  </si>
  <si>
    <t>JC-ZNLY-01</t>
  </si>
  <si>
    <t>07341169</t>
  </si>
  <si>
    <t>2020-09-02</t>
  </si>
  <si>
    <t>付巴州华通博大35#楼电缆维修款</t>
  </si>
  <si>
    <t>其他合同-23</t>
  </si>
  <si>
    <t>巴州华通博大商贸有限公司</t>
  </si>
  <si>
    <t>03669505</t>
  </si>
  <si>
    <t>9-2付鑫磊机电临时用电设施工程款</t>
  </si>
  <si>
    <t>JC-GD-04</t>
  </si>
  <si>
    <t>00059861</t>
  </si>
  <si>
    <t>记 - 17</t>
  </si>
  <si>
    <t>预付巴州鑫磊机电工程款（-1箱变发票到）</t>
  </si>
  <si>
    <t>00059860;00059859</t>
  </si>
  <si>
    <t>2020-09-04</t>
  </si>
  <si>
    <t>记 - 22</t>
  </si>
  <si>
    <t>9-3付中洲消防给排水工程款（沁春锦苑一期）</t>
  </si>
  <si>
    <t>03891141</t>
  </si>
  <si>
    <t>9-4预付天拓红线图款</t>
  </si>
  <si>
    <t>03908915</t>
  </si>
  <si>
    <t>2020-09-10</t>
  </si>
  <si>
    <t>记 - 140</t>
  </si>
  <si>
    <t>9-10预付永绍一期地下室防盗门款</t>
  </si>
  <si>
    <t>J-2-5</t>
  </si>
  <si>
    <t>03884174</t>
  </si>
  <si>
    <t>2020-09-14</t>
  </si>
  <si>
    <t>记 - 209</t>
  </si>
  <si>
    <t>9-10付沁春锦苑灯具款</t>
  </si>
  <si>
    <t>库尔勒市简雅灯具经销部</t>
  </si>
  <si>
    <t>2020-09-17</t>
  </si>
  <si>
    <t>记 - 245</t>
  </si>
  <si>
    <t>9-16付刘府货运沁春锦苑1#楼35#楼沙石料款</t>
  </si>
  <si>
    <t>38254083-38254086;74564614-74564617</t>
  </si>
  <si>
    <t>记 - 252</t>
  </si>
  <si>
    <t>9-17预付新疆创昊电力工程款</t>
  </si>
  <si>
    <t>07448386</t>
  </si>
  <si>
    <t>2020-09-19</t>
  </si>
  <si>
    <t>记 - 308</t>
  </si>
  <si>
    <t>9-15浙江修江游乐设施发票到</t>
  </si>
  <si>
    <t>FS-YL-001</t>
  </si>
  <si>
    <t>浙江修江实业有限公司</t>
  </si>
  <si>
    <t>07950046;07950045;07950044</t>
  </si>
  <si>
    <t>2020-09-23</t>
  </si>
  <si>
    <t>记 - 345</t>
  </si>
  <si>
    <t>9-21预付巴州昱人数字门牌信息费</t>
  </si>
  <si>
    <t>JC-MP-01</t>
  </si>
  <si>
    <t>巴州昱人计算机服务有限公司</t>
  </si>
  <si>
    <t>03904455</t>
  </si>
  <si>
    <t>2020-09-24</t>
  </si>
  <si>
    <t>记 - 376</t>
  </si>
  <si>
    <t>9-24预付理想家门斗装修款</t>
  </si>
  <si>
    <t>JZ-ZX-03</t>
  </si>
  <si>
    <t>巴州理想家建筑装饰有限公司</t>
  </si>
  <si>
    <t>03829268-03829269</t>
  </si>
  <si>
    <t>记 - 378</t>
  </si>
  <si>
    <t>地下室工程费用</t>
  </si>
  <si>
    <t>9-24预付永绍地下室钢质门款</t>
  </si>
  <si>
    <t>03884175</t>
  </si>
  <si>
    <t>2020-09-27</t>
  </si>
  <si>
    <t>记 - 415</t>
  </si>
  <si>
    <t>9-27付巴州聚好水泥砖款</t>
  </si>
  <si>
    <t>03724143</t>
  </si>
  <si>
    <t>记 - 418</t>
  </si>
  <si>
    <t>9-22预付正杰工程款（顾）</t>
  </si>
  <si>
    <t>03893047-03893048</t>
  </si>
  <si>
    <t>记 - 425</t>
  </si>
  <si>
    <t>9-28付大漠林海景观绿化款（沁春锦苑二期）</t>
  </si>
  <si>
    <t>JC-LH-2</t>
  </si>
  <si>
    <t>02832462-02832470</t>
  </si>
  <si>
    <t>记 - 429</t>
  </si>
  <si>
    <t>9-28付巴州理想家32、33、34#楼外墙装修款</t>
  </si>
  <si>
    <t>JZ-ZX-05</t>
  </si>
  <si>
    <t>03829270-03829276</t>
  </si>
  <si>
    <t>记 - 431</t>
  </si>
  <si>
    <t>9-28预付金辉煌20、24#楼门斗装修款</t>
  </si>
  <si>
    <t>01881295;01881294</t>
  </si>
  <si>
    <t>2020-09-28</t>
  </si>
  <si>
    <t>记 - 439</t>
  </si>
  <si>
    <t>9-28付天聚经销部室外吊灯款</t>
  </si>
  <si>
    <t>库尔勒市天聚益机械设备经销部</t>
  </si>
  <si>
    <t>2020-09-29</t>
  </si>
  <si>
    <t>记 - 441</t>
  </si>
  <si>
    <t>9-29付鉴衡三期造价咨询费</t>
  </si>
  <si>
    <t>18056784-18056789</t>
  </si>
  <si>
    <t>记 - 449</t>
  </si>
  <si>
    <t>9-29付可仁25、26、27窗户款</t>
  </si>
  <si>
    <t>09417686-09418688</t>
  </si>
  <si>
    <t>记 - 450</t>
  </si>
  <si>
    <t>9-29付坚乐美28、29、30窗户款</t>
  </si>
  <si>
    <t>03794669-03794670</t>
  </si>
  <si>
    <t>2020-09-30</t>
  </si>
  <si>
    <t>记 - 457</t>
  </si>
  <si>
    <t>9-3力马尾款发票到</t>
  </si>
  <si>
    <t>00209889</t>
  </si>
  <si>
    <t>记 - 459</t>
  </si>
  <si>
    <t>9-10中国市政工程东北设计设计费发票到（32、33、34天然气设计）</t>
  </si>
  <si>
    <t>Q-SJ-10</t>
  </si>
  <si>
    <t>中国市政工程东北设计研究总院有限公司新疆分公司</t>
  </si>
  <si>
    <t>01770290</t>
  </si>
  <si>
    <t>记 - 460</t>
  </si>
  <si>
    <t>9-29成都嘉道建筑工程设计建筑装饰发票到</t>
  </si>
  <si>
    <t>成都嘉道建筑工程设计有限公司</t>
  </si>
  <si>
    <t>30320610-30320614</t>
  </si>
  <si>
    <t>记 - 461</t>
  </si>
  <si>
    <t>9-29新疆正杰工程款发票到（顾）</t>
  </si>
  <si>
    <t>03771806-03771807</t>
  </si>
  <si>
    <t>记 - 462</t>
  </si>
  <si>
    <t>9-28一期拉运土方运费发票到</t>
  </si>
  <si>
    <t>00211673</t>
  </si>
  <si>
    <t>李建新</t>
  </si>
  <si>
    <t>00211672</t>
  </si>
  <si>
    <t>00211675</t>
  </si>
  <si>
    <t>记 - 463</t>
  </si>
  <si>
    <t>9-28一期拉运土方装载机、挖掘机发票到</t>
  </si>
  <si>
    <t>其他合同-46</t>
  </si>
  <si>
    <t>库尔勒忠华建筑工程机械设备租赁费</t>
  </si>
  <si>
    <t>00211674</t>
  </si>
  <si>
    <t>记 - 464</t>
  </si>
  <si>
    <t>9-28巴州四通沁春锦苑大门人员通行系统发票到</t>
  </si>
  <si>
    <t>JC-QT-07</t>
  </si>
  <si>
    <t>巴州四通电子科技有限公司</t>
  </si>
  <si>
    <t>01594493</t>
  </si>
  <si>
    <t>公共-大门</t>
  </si>
  <si>
    <t>记 - 465</t>
  </si>
  <si>
    <t>9-29香柏树沁春锦苑一期铁皮围栏发票到</t>
  </si>
  <si>
    <t>其他合同-03</t>
  </si>
  <si>
    <t>巴州香柏树电子科技有限公司</t>
  </si>
  <si>
    <t>00041469</t>
  </si>
  <si>
    <t>2020-10-12</t>
  </si>
  <si>
    <t>记 - 33</t>
  </si>
  <si>
    <t>10-9预付新疆新城建工程设计三期人防审图费</t>
  </si>
  <si>
    <t>其他合同-08</t>
  </si>
  <si>
    <t>新疆新城建工设计审查有限公司</t>
  </si>
  <si>
    <t>07695805-07695806</t>
  </si>
  <si>
    <t>2020-10-15</t>
  </si>
  <si>
    <t>管理人员工资</t>
  </si>
  <si>
    <t>10-12/14计提缴纳10月社保</t>
  </si>
  <si>
    <t>10-14f付新康达塑木条款</t>
  </si>
  <si>
    <t>萨依巴克区阿里路新康达体育用品商行</t>
  </si>
  <si>
    <t>00139710</t>
  </si>
  <si>
    <t>记 - 73</t>
  </si>
  <si>
    <t>10-15付沁春锦苑一期壁画款</t>
  </si>
  <si>
    <t>库尔勒金凤凰艺术培训中心</t>
  </si>
  <si>
    <t>2020-10-20</t>
  </si>
  <si>
    <t>记 - 98</t>
  </si>
  <si>
    <t>10-14预付巴州理想家26、28、30#门斗装修款</t>
  </si>
  <si>
    <t>03829277-03829278</t>
  </si>
  <si>
    <t>10-19预付新疆梨城新创检测空气检测费</t>
  </si>
  <si>
    <t>其他合同-10</t>
  </si>
  <si>
    <t>新疆梨城新创监测服务有限公司</t>
  </si>
  <si>
    <t>00001439</t>
  </si>
  <si>
    <t>2020-10-21</t>
  </si>
  <si>
    <t>记 - 115</t>
  </si>
  <si>
    <t>10-20预付库尔勒永绍25-30#楼防盗门款</t>
  </si>
  <si>
    <t>03884178;03884177</t>
  </si>
  <si>
    <t>记 - 116</t>
  </si>
  <si>
    <t>10-20支付库尔勒永绍一期地下室防盗门款</t>
  </si>
  <si>
    <t>03884176</t>
  </si>
  <si>
    <t>记 - 129</t>
  </si>
  <si>
    <t>10-20支付库尔勒天平沁春锦苑1#2#3#35#36#测绘费</t>
  </si>
  <si>
    <t>Q-CH-4-02</t>
  </si>
  <si>
    <t>07455367</t>
  </si>
  <si>
    <t>10-21付李林垫付沁春锦苑一批次石材勾缝购材料</t>
  </si>
  <si>
    <t>库尔勒鲁发鑫旺建材经销部</t>
  </si>
  <si>
    <t>记 - 133</t>
  </si>
  <si>
    <t>10-21付星期天25、27、29#楼门斗装修款</t>
  </si>
  <si>
    <t>JZ-ZX-04</t>
  </si>
  <si>
    <t>03626226;03626227</t>
  </si>
  <si>
    <t>10-21预付正杰工程款（郑）</t>
  </si>
  <si>
    <t>03771830</t>
  </si>
  <si>
    <t>2020-10-26</t>
  </si>
  <si>
    <t>记 - 189</t>
  </si>
  <si>
    <t>10-26付库尔勒市金凤凰艺术培训中心样板房装修壁画款</t>
  </si>
  <si>
    <t>2020-10-29</t>
  </si>
  <si>
    <t>记 - 205</t>
  </si>
  <si>
    <t>10-27付徐增起沁春锦苑一期运费</t>
  </si>
  <si>
    <t>QQ-ST-01</t>
  </si>
  <si>
    <t>徐增起</t>
  </si>
  <si>
    <t>00195355</t>
  </si>
  <si>
    <t>记 - 206</t>
  </si>
  <si>
    <t>10-27支付理想家外墙装修款（32#、33#34#）</t>
  </si>
  <si>
    <t>09488790-09488792</t>
  </si>
  <si>
    <t>记 - 207</t>
  </si>
  <si>
    <t>10-27付理想家一期吊顶隔墙装修款</t>
  </si>
  <si>
    <t>JZ-ZX-06</t>
  </si>
  <si>
    <t>03829279-09488784;09488785-09488789</t>
  </si>
  <si>
    <t>记 - 214</t>
  </si>
  <si>
    <t>10-29支付样板房装修购材料</t>
  </si>
  <si>
    <t>库尔勒开利经销部</t>
  </si>
  <si>
    <t>库尔勒帮办浩装饰材料商行</t>
  </si>
  <si>
    <t>2020-10-30</t>
  </si>
  <si>
    <t>记 - 231</t>
  </si>
  <si>
    <t>10-30付万欢款混凝土</t>
  </si>
  <si>
    <t>09486951</t>
  </si>
  <si>
    <t>2020-10-31</t>
  </si>
  <si>
    <t>记 - 236</t>
  </si>
  <si>
    <t>9-18/22成都祥和样板房装修材料到</t>
  </si>
  <si>
    <t>JZ-ZX-17</t>
  </si>
  <si>
    <t>成都祥和汇商贸有限责任公司</t>
  </si>
  <si>
    <t>85107751;85107750;85107749</t>
  </si>
  <si>
    <t>记 - 237</t>
  </si>
  <si>
    <t>10-19四川采俊样板房购厨房用具发票到</t>
  </si>
  <si>
    <t>四川俊采商贸有限公司</t>
  </si>
  <si>
    <t>记 - 238</t>
  </si>
  <si>
    <t>10-11大漠林海二期25-30景观发票到</t>
  </si>
  <si>
    <t>02832471-02832479;01143318</t>
  </si>
  <si>
    <t>记 - 239</t>
  </si>
  <si>
    <t>10-23新疆华汇电梯安装费发票到（沁春锦25#-30#）</t>
  </si>
  <si>
    <t>03750624</t>
  </si>
  <si>
    <t>记 - 241</t>
  </si>
  <si>
    <t>10-13巴州智诚一期监理费发票到</t>
  </si>
  <si>
    <t>00211882</t>
  </si>
  <si>
    <t>记 - 242</t>
  </si>
  <si>
    <t>10-20和禹源生态水土保持方案服务费发票到</t>
  </si>
  <si>
    <t>Q-ST-01</t>
  </si>
  <si>
    <t>新疆和禹生态工程咨询有限公司</t>
  </si>
  <si>
    <t>07542535</t>
  </si>
  <si>
    <t>记 - 247</t>
  </si>
  <si>
    <t>10-31根据公司文件新通发【2019】018号文调账</t>
  </si>
  <si>
    <t>2020-11-05</t>
  </si>
  <si>
    <t>记 - 11</t>
  </si>
  <si>
    <t>11-2支付高建梅垫付款(样板间购壁挂炉)</t>
  </si>
  <si>
    <t>巴州美景舒适商贸有限公司</t>
  </si>
  <si>
    <t>记 - 13</t>
  </si>
  <si>
    <t>11-2支付正杰25#26#28#楼工程款（郑）</t>
  </si>
  <si>
    <t>03771839</t>
  </si>
  <si>
    <t>2020-11-06</t>
  </si>
  <si>
    <t>11-05支付库尔勒市金凤凰壁画款（样板房装修）</t>
  </si>
  <si>
    <t>11-05付星期天门斗装修款</t>
  </si>
  <si>
    <t>JZ-ZX-02</t>
  </si>
  <si>
    <t>03626228-03626229</t>
  </si>
  <si>
    <t>2020-11-07</t>
  </si>
  <si>
    <t>记 - 46</t>
  </si>
  <si>
    <t>11-04支付新疆天拓19#20323#24#楼竣工测绘费</t>
  </si>
  <si>
    <t>09511654</t>
  </si>
  <si>
    <t>2020-11-12</t>
  </si>
  <si>
    <t>11-11巴州理想家19#20#23#24#楼吊顶隔墙装修发票到</t>
  </si>
  <si>
    <t>09521136-09521138;09543755-09543758</t>
  </si>
  <si>
    <t>记 - 65</t>
  </si>
  <si>
    <t>11-11付巴州辰尚19#楼隔墙装修款</t>
  </si>
  <si>
    <t>JZ-QT-04</t>
  </si>
  <si>
    <t>巴州辰尚广告传媒有限公司</t>
  </si>
  <si>
    <t>00018380</t>
  </si>
  <si>
    <t>2020-11-14</t>
  </si>
  <si>
    <t>11-11巴州建邦建筑工程有限公司一期消防工程发票到</t>
  </si>
  <si>
    <t>其他合同-53</t>
  </si>
  <si>
    <t>巴州建邦工程有限公司</t>
  </si>
  <si>
    <t>37848542-37848561</t>
  </si>
  <si>
    <t>11-11付巴州智诚一期监理费</t>
  </si>
  <si>
    <t>新疆智诚工程项目管理有限公司</t>
  </si>
  <si>
    <t>00019548</t>
  </si>
  <si>
    <t>记 - 85</t>
  </si>
  <si>
    <t>11-13付正杰二期工程款（顾）</t>
  </si>
  <si>
    <t>03751644</t>
  </si>
  <si>
    <t>2020-11-18</t>
  </si>
  <si>
    <t>11-12付巴州昱人数字门牌信息费</t>
  </si>
  <si>
    <t>JC-MP-02</t>
  </si>
  <si>
    <t>03904463</t>
  </si>
  <si>
    <t>11-16预付河南省人防沁春锦苑地下室设计费</t>
  </si>
  <si>
    <t>00430004</t>
  </si>
  <si>
    <t>11-17付招贤石材款23#楼两侧停车棚地下铺装</t>
  </si>
  <si>
    <t>03632483</t>
  </si>
  <si>
    <t>记 - 109</t>
  </si>
  <si>
    <t>11-18预付付正杰工程款（郑）</t>
  </si>
  <si>
    <t>09553608</t>
  </si>
  <si>
    <t>2020-11-19</t>
  </si>
  <si>
    <t>11-19预付新疆华汇电梯安装款</t>
  </si>
  <si>
    <t>09543584</t>
  </si>
  <si>
    <t>11-18金辉煌20#24#门斗发票到</t>
  </si>
  <si>
    <t>01881296-01881297</t>
  </si>
  <si>
    <t>2020-11-23</t>
  </si>
  <si>
    <t>记 - 149</t>
  </si>
  <si>
    <t>11-23支付卢静运费（一期土石方）</t>
  </si>
  <si>
    <t>00216692</t>
  </si>
  <si>
    <t>记 - 150</t>
  </si>
  <si>
    <t>11-23支付库尔勒庆晓建筑工程机械设备租赁部租赁费（孟向民）</t>
  </si>
  <si>
    <t>库尔勒晓庆建筑工程机械设备租赁部</t>
  </si>
  <si>
    <t>00216693</t>
  </si>
  <si>
    <t>11-23星期天发票到</t>
  </si>
  <si>
    <t>JZ-ZX-19</t>
  </si>
  <si>
    <t>00022524-00022537</t>
  </si>
  <si>
    <t>2020-11-25</t>
  </si>
  <si>
    <t>记 - 167</t>
  </si>
  <si>
    <t>11-13成都极舍定制家具发票到（样板间）</t>
  </si>
  <si>
    <t>JZ-ZX-09</t>
  </si>
  <si>
    <t>成都金彩极舍家居有限公司</t>
  </si>
  <si>
    <t>11-25库尔勒科超一期智能锁发票到</t>
  </si>
  <si>
    <t>09573927</t>
  </si>
  <si>
    <t>2020-11-26</t>
  </si>
  <si>
    <t>记 - 186</t>
  </si>
  <si>
    <t>11-10计提发放10月工资</t>
  </si>
  <si>
    <t>11-18计提缴纳11月社保</t>
  </si>
  <si>
    <t>2020-11-27</t>
  </si>
  <si>
    <t>记 - 201</t>
  </si>
  <si>
    <t>11-13正工电缆发票到</t>
  </si>
  <si>
    <t>FS-ZM-001</t>
  </si>
  <si>
    <t>正工电缆有限公司</t>
  </si>
  <si>
    <t>记 - 202</t>
  </si>
  <si>
    <t>11-27支付巴州永诚环境检测费</t>
  </si>
  <si>
    <t>其他合同-60</t>
  </si>
  <si>
    <t>巴州永城环境检测技术服务有限公司</t>
  </si>
  <si>
    <t>2020-11-28</t>
  </si>
  <si>
    <t>记 - 216</t>
  </si>
  <si>
    <t>11-27成都嘉道一期商业装修发票到</t>
  </si>
  <si>
    <t>记 - 222</t>
  </si>
  <si>
    <t>11-20四川义祥电梯发票到</t>
  </si>
  <si>
    <t>JZ-DT-06</t>
  </si>
  <si>
    <t>四川义祥电梯有限公司</t>
  </si>
  <si>
    <t>2020-11-30</t>
  </si>
  <si>
    <t>11-28新疆正杰25#26#28#发票到（郑）</t>
  </si>
  <si>
    <t>09553626</t>
  </si>
  <si>
    <t>11-11大漠林海25-30#楼园林景观绿化发票到</t>
  </si>
  <si>
    <t>01180310-01180313</t>
  </si>
  <si>
    <t>2020-12-02</t>
  </si>
  <si>
    <t>记 - 10</t>
  </si>
  <si>
    <t>12-01付张璐燕代付修理费（热水改造）</t>
  </si>
  <si>
    <t>库尔勒刘世春电器维修部</t>
  </si>
  <si>
    <t>2020-12-05</t>
  </si>
  <si>
    <t>记 - 36</t>
  </si>
  <si>
    <t>12-01正杰27、29、30工程款发票到</t>
  </si>
  <si>
    <t>2020-12-10</t>
  </si>
  <si>
    <t>记 - 78</t>
  </si>
  <si>
    <t>12-04中洲发票到</t>
  </si>
  <si>
    <t>09517815</t>
  </si>
  <si>
    <t>水文费用</t>
  </si>
  <si>
    <t>12-07核工业二一六大队技术发票到</t>
  </si>
  <si>
    <t>JC-LS-02</t>
  </si>
  <si>
    <t>核工业二一六堆</t>
  </si>
  <si>
    <t>05989691</t>
  </si>
  <si>
    <t>记 - 80</t>
  </si>
  <si>
    <t>供气工程支出</t>
  </si>
  <si>
    <t>12-08南天城建19、20、23、24号楼天然气工程款发票到</t>
  </si>
  <si>
    <t>JC-RQ-01</t>
  </si>
  <si>
    <t>新疆南天城建（集团）股份有限公司</t>
  </si>
  <si>
    <t>09591913</t>
  </si>
  <si>
    <t>记 - 82</t>
  </si>
  <si>
    <t>12-05成华区优砖灯具发票到</t>
  </si>
  <si>
    <t>JZ-ZX-10</t>
  </si>
  <si>
    <t>成都优砖建材经销部</t>
  </si>
  <si>
    <t>17003003-17003006</t>
  </si>
  <si>
    <t>2020-12-12</t>
  </si>
  <si>
    <t>12-11付巴州优源健坤采暖28#楼消防水箱购电暖气</t>
  </si>
  <si>
    <t>巴州优坤采暖有限公司</t>
  </si>
  <si>
    <t>02910670</t>
  </si>
  <si>
    <t>2020-12-17</t>
  </si>
  <si>
    <t>记 - 172</t>
  </si>
  <si>
    <t>12-12计提缴纳12月社保</t>
  </si>
  <si>
    <t>记 - 179</t>
  </si>
  <si>
    <t>12-15冠华商贸围栏制作发票到</t>
  </si>
  <si>
    <t>JC-QT-06</t>
  </si>
  <si>
    <t>巴州冠华商贸有限公司</t>
  </si>
  <si>
    <t>03994781;09568454</t>
  </si>
  <si>
    <t>其他合同-54</t>
  </si>
  <si>
    <t>09568455</t>
  </si>
  <si>
    <t>12-04成都嘉道建筑设计装饰发票到</t>
  </si>
  <si>
    <t>记 - 181</t>
  </si>
  <si>
    <t>12-10大漠林海二期25-30景观绿化发票到</t>
  </si>
  <si>
    <t>07504150-07504159</t>
  </si>
  <si>
    <t>记 - 182</t>
  </si>
  <si>
    <t>12-08上海坤喆项目咨询发票到</t>
  </si>
  <si>
    <t>JC-LS-04</t>
  </si>
  <si>
    <t>上海坤喆企业管理中心</t>
  </si>
  <si>
    <t>57133767-57133774</t>
  </si>
  <si>
    <t>住宅之间分摊</t>
  </si>
  <si>
    <t>记 - 183</t>
  </si>
  <si>
    <t>幼儿园费用</t>
  </si>
  <si>
    <t>12-14新疆佳联筑创沁春景苑技术服务发票到</t>
  </si>
  <si>
    <t>JC-LS-03</t>
  </si>
  <si>
    <t>新疆佳联筑创建筑科技有限公司</t>
  </si>
  <si>
    <t>00925937</t>
  </si>
  <si>
    <t>记 - 185</t>
  </si>
  <si>
    <t>12-18国网沁春锦苑7-9月期间电费发票到</t>
  </si>
  <si>
    <t>40550497;40550496;40545498</t>
  </si>
  <si>
    <t>12-14成华区美尔凯特换气扇等装修配件发票到</t>
  </si>
  <si>
    <t>JZ-ZX-11</t>
  </si>
  <si>
    <t>成华区美尔凯建材经销部</t>
  </si>
  <si>
    <t>16801513-16801514</t>
  </si>
  <si>
    <t>记 - 187</t>
  </si>
  <si>
    <t>12-14高新区弘固建材装修购定制柜体发票到</t>
  </si>
  <si>
    <t>其他合同-18</t>
  </si>
  <si>
    <t>高新区弘固建材经销部</t>
  </si>
  <si>
    <t>07855181;17855182;87448322;87448324;87448326;87448327;87448323</t>
  </si>
  <si>
    <t>2020-12-22</t>
  </si>
  <si>
    <t>记 - 215</t>
  </si>
  <si>
    <t>12-21计提发放11月工资</t>
  </si>
  <si>
    <t>记 - 217</t>
  </si>
  <si>
    <t>12-18高新区弘固装修定制柜体发票到</t>
  </si>
  <si>
    <t>60075662-60075666</t>
  </si>
  <si>
    <t>2020-12-23</t>
  </si>
  <si>
    <t>记 - 234</t>
  </si>
  <si>
    <t>勘探费用</t>
  </si>
  <si>
    <t>12-10鉴衡造价咨询费发票到</t>
  </si>
  <si>
    <t>40281291-40281294;37836148-37836153</t>
  </si>
  <si>
    <t>记 - 235</t>
  </si>
  <si>
    <t>12-23理想家26#28#30#门斗装修工程发票到</t>
  </si>
  <si>
    <t>09543764-09543767;09550499</t>
  </si>
  <si>
    <t>2020-12-25</t>
  </si>
  <si>
    <t>12-25支付正杰一期工程款（顾）</t>
  </si>
  <si>
    <t>09553713</t>
  </si>
  <si>
    <t>2020-12-26</t>
  </si>
  <si>
    <t>记 - 269</t>
  </si>
  <si>
    <t>12-25支付正杰工程款（郑）</t>
  </si>
  <si>
    <t>09553719</t>
  </si>
  <si>
    <t>2020-12-29</t>
  </si>
  <si>
    <t>记 - 299</t>
  </si>
  <si>
    <t>12-06巴州神尊林井盖发票到</t>
  </si>
  <si>
    <t>巴州神尊林商贸有限公司</t>
  </si>
  <si>
    <t>03901058</t>
  </si>
  <si>
    <t>记 - 300</t>
  </si>
  <si>
    <t>12-19刘府货运一期一批次石子运费发票到</t>
  </si>
  <si>
    <t>2020-12-31</t>
  </si>
  <si>
    <t>记 - 358</t>
  </si>
  <si>
    <t>12-31计提12月工资</t>
  </si>
  <si>
    <t>2021-01-09</t>
  </si>
  <si>
    <t>记 - 41</t>
  </si>
  <si>
    <t>1-3大漠林海25-30#楼景观绿化发票到</t>
  </si>
  <si>
    <t>04254130-04254134;07504172-07504179</t>
  </si>
  <si>
    <t>2021-01-16</t>
  </si>
  <si>
    <t>记 - 89</t>
  </si>
  <si>
    <t>1-15支付正杰27、29、30工程款（顾）</t>
  </si>
  <si>
    <t>09553728-09553729</t>
  </si>
  <si>
    <t>2021-01-20</t>
  </si>
  <si>
    <t>记 - 107</t>
  </si>
  <si>
    <t>1-18预付大漠林海25-30#楼绿化款</t>
  </si>
  <si>
    <t>04254141-04254149;04237166-04237167</t>
  </si>
  <si>
    <t>2021-01-21</t>
  </si>
  <si>
    <t>1-20付巴州招贤零星工程款</t>
  </si>
  <si>
    <t>巴州招贤建筑装饰有限责任公司</t>
  </si>
  <si>
    <t>03632486</t>
  </si>
  <si>
    <t>记 - 139</t>
  </si>
  <si>
    <t>1-20付创昊一、二期电气外网安装款</t>
  </si>
  <si>
    <t>09684569-09684571</t>
  </si>
  <si>
    <t>2021-01-28</t>
  </si>
  <si>
    <t>1-26预付乌鲁木齐优姆装修款</t>
  </si>
  <si>
    <t>其他合同-30</t>
  </si>
  <si>
    <t>乌鲁木齐优替姆环境工程设计有限公司</t>
  </si>
  <si>
    <t>08096018-08096019</t>
  </si>
  <si>
    <t>1-27支付正杰工程款（郑）</t>
  </si>
  <si>
    <t>09553745</t>
  </si>
  <si>
    <t>2021-01-29</t>
  </si>
  <si>
    <t>记 - 200</t>
  </si>
  <si>
    <t>1-13青橄榄监控发票到</t>
  </si>
  <si>
    <t>09675489;09582142</t>
  </si>
  <si>
    <t>记 - 203</t>
  </si>
  <si>
    <t>1-20计提缴纳1月社保</t>
  </si>
  <si>
    <t>中国建设银行巴音郭楞蒙古自治州分行营业部</t>
  </si>
  <si>
    <t>1-13库尔勒天业钢结构停车棚发票到</t>
  </si>
  <si>
    <t>JC-CP-02</t>
  </si>
  <si>
    <t>库尔勒天业钢结构制造有限公司</t>
  </si>
  <si>
    <t>00034793</t>
  </si>
  <si>
    <t>公共配套-自行车棚</t>
  </si>
  <si>
    <t>1-29巴州青橄榄发票到</t>
  </si>
  <si>
    <t>JC-ZNLY-02</t>
  </si>
  <si>
    <t>09675491;09675493</t>
  </si>
  <si>
    <t>JC-LH-1</t>
  </si>
  <si>
    <t>09675494-09675495</t>
  </si>
  <si>
    <t>记 - 210</t>
  </si>
  <si>
    <t>1-29永绍一期防盗门发票到</t>
  </si>
  <si>
    <t>09606128</t>
  </si>
  <si>
    <t>09709053</t>
  </si>
  <si>
    <t>2021-02-04</t>
  </si>
  <si>
    <t>记 - 24</t>
  </si>
  <si>
    <t>2-2张璐燕购样板间床上用品等</t>
  </si>
  <si>
    <t>唯品会（西安）电子商务有限公司</t>
  </si>
  <si>
    <t>31327490;38476360</t>
  </si>
  <si>
    <t>记 - 25</t>
  </si>
  <si>
    <t>2-2支付理想家外墙装修款</t>
  </si>
  <si>
    <t>09673903-09673905</t>
  </si>
  <si>
    <t>2021-02-05</t>
  </si>
  <si>
    <t>记 - 48</t>
  </si>
  <si>
    <t>2-5预付正杰工程款</t>
  </si>
  <si>
    <t>09703015</t>
  </si>
  <si>
    <t>计提发放1-2月工资</t>
  </si>
  <si>
    <t>2021-02-20</t>
  </si>
  <si>
    <t>2-9支付坚乐美28-30铝合金窗款</t>
  </si>
  <si>
    <t>09583042-09583044</t>
  </si>
  <si>
    <t>2-9预付正杰工程款（郑）</t>
  </si>
  <si>
    <t>09703017</t>
  </si>
  <si>
    <t>2-9支付弘信25、26、27等铝合金窗款</t>
  </si>
  <si>
    <t>00770839-00770843</t>
  </si>
  <si>
    <t>2021-02-23</t>
  </si>
  <si>
    <t>2-8计提缴纳2月社保</t>
  </si>
  <si>
    <t>2021-02-26</t>
  </si>
  <si>
    <t>记 - 145</t>
  </si>
  <si>
    <t>2-23支付新疆拓宇电力二期临时用电改造及迁移</t>
  </si>
  <si>
    <t>JC-GD-01</t>
  </si>
  <si>
    <t>新疆拓宇电力建设工程有限公司</t>
  </si>
  <si>
    <t>09659743-09659747</t>
  </si>
  <si>
    <t>记 - 147</t>
  </si>
  <si>
    <t>2-23预付凯润一期防盗门款</t>
  </si>
  <si>
    <t>00040072</t>
  </si>
  <si>
    <t>2-23付方程视入户牌、单元牌制作费</t>
  </si>
  <si>
    <t>JC-QT-01</t>
  </si>
  <si>
    <t>00635274</t>
  </si>
  <si>
    <t>2021-02-27</t>
  </si>
  <si>
    <t>记 - 164</t>
  </si>
  <si>
    <t>2-27通力幼儿园、36#楼工程款发票到</t>
  </si>
  <si>
    <t>JZ-ZT-03-01</t>
  </si>
  <si>
    <t>09713904</t>
  </si>
  <si>
    <t>公共配套-幼儿园</t>
  </si>
  <si>
    <t>JZ-ZT-03-02</t>
  </si>
  <si>
    <t>二期商业</t>
  </si>
  <si>
    <t>2021-03-10</t>
  </si>
  <si>
    <t>记 - 52</t>
  </si>
  <si>
    <t>3-8付正杰25#26#28#工程款（郑）</t>
  </si>
  <si>
    <t>09703021</t>
  </si>
  <si>
    <t>3-10支付张志芳工资（2.21-28）</t>
  </si>
  <si>
    <t xml:space="preserve">  </t>
  </si>
  <si>
    <t>3-10发放汝海工资及2020年度奖金（2.20-3.10）</t>
  </si>
  <si>
    <t>2021-03-17</t>
  </si>
  <si>
    <t>3-17通力2#3#36#外墙装修发票到</t>
  </si>
  <si>
    <t>JC-SY-01</t>
  </si>
  <si>
    <t>09713908</t>
  </si>
  <si>
    <t>3-17补记1月8号中城科发票到</t>
  </si>
  <si>
    <t>JC-LS-01</t>
  </si>
  <si>
    <t>北京中城科绿色建筑科技有限公司</t>
  </si>
  <si>
    <t>3-01新疆智诚25-30、32-34号楼监理费发票到</t>
  </si>
  <si>
    <t>新疆智诚工程项目管理有限公司铁门关分公司</t>
  </si>
  <si>
    <t>01101378</t>
  </si>
  <si>
    <t>2021-03-19</t>
  </si>
  <si>
    <t>3-19正杰25-28#工程款发票到（郑）</t>
  </si>
  <si>
    <t>09703024</t>
  </si>
  <si>
    <t>2021-03-26</t>
  </si>
  <si>
    <t>记 - 190</t>
  </si>
  <si>
    <t>3-24巴州理想家32、33、34外墙装修发票到</t>
  </si>
  <si>
    <t>09673906-09673912;09718937-09718940</t>
  </si>
  <si>
    <t>2021-04-08</t>
  </si>
  <si>
    <t>4-8成都金彩极舍家居发票到</t>
  </si>
  <si>
    <t>记 - 19</t>
  </si>
  <si>
    <t>4-2付正杰工程款（顾）</t>
  </si>
  <si>
    <t>09649375-09649376</t>
  </si>
  <si>
    <t>记 - 20</t>
  </si>
  <si>
    <t>4-1优替姆35#楼设计发票到</t>
  </si>
  <si>
    <t>08096020</t>
  </si>
  <si>
    <t>4-6付正杰工程款（郑）</t>
  </si>
  <si>
    <t>09649377</t>
  </si>
  <si>
    <t>记 - 27</t>
  </si>
  <si>
    <t>4-7付库尔勒航锐购材料款</t>
  </si>
  <si>
    <t>库尔勒航锐电力器材经营部</t>
  </si>
  <si>
    <t>09791593</t>
  </si>
  <si>
    <t>2021-04-13</t>
  </si>
  <si>
    <t>4-11鑫林隆35#楼装修材料发票到</t>
  </si>
  <si>
    <t>01819843</t>
  </si>
  <si>
    <t>2021-04-14</t>
  </si>
  <si>
    <t>4-13预付新疆巨安人防门款</t>
  </si>
  <si>
    <t>GG-RFCK-02</t>
  </si>
  <si>
    <t>新疆巨安新粤防护设备有限公司</t>
  </si>
  <si>
    <t>03640081</t>
  </si>
  <si>
    <t>2021-04-16</t>
  </si>
  <si>
    <t>记 - 112</t>
  </si>
  <si>
    <t>4-14预付正杰27#\29#30#32#-34#工程款（顾）</t>
  </si>
  <si>
    <t>09649380</t>
  </si>
  <si>
    <t>记 - 118</t>
  </si>
  <si>
    <t>4-13计提发放3月工资</t>
  </si>
  <si>
    <t>2021-04-21</t>
  </si>
  <si>
    <t>4-21支付新疆鑫宇恒一期二期三网合一工程款</t>
  </si>
  <si>
    <t>JC-WL-01</t>
  </si>
  <si>
    <t>新疆鑫宇恒建设工程有限公司</t>
  </si>
  <si>
    <t>09816926</t>
  </si>
  <si>
    <t>2021-04-23</t>
  </si>
  <si>
    <t>记 - 197</t>
  </si>
  <si>
    <t>4-22沁春锦苑一期户表发票到</t>
  </si>
  <si>
    <t>何艾林</t>
  </si>
  <si>
    <t>11743856</t>
  </si>
  <si>
    <t>4-23师艳莉购样板间燃气灶款</t>
  </si>
  <si>
    <t>新疆我家电器有限公司库尔勒分公司</t>
  </si>
  <si>
    <t>09778459</t>
  </si>
  <si>
    <t>4-23付舒朗样板间壁挂炉款</t>
  </si>
  <si>
    <t>其他合同-20</t>
  </si>
  <si>
    <t>巴州舒朗采暖设备有限公司</t>
  </si>
  <si>
    <t>09690961</t>
  </si>
  <si>
    <t>4-22预付正杰工程款（郑）</t>
  </si>
  <si>
    <t>09649384</t>
  </si>
  <si>
    <t>2021-04-27</t>
  </si>
  <si>
    <t>4-20成都美大厨具有限公司厨电发票到</t>
  </si>
  <si>
    <t>成都美大厨具有限公司</t>
  </si>
  <si>
    <t>2021-04-29</t>
  </si>
  <si>
    <t>记 - 244</t>
  </si>
  <si>
    <t>4-29预付通力31#及36#楼工程款</t>
  </si>
  <si>
    <t>00479443</t>
  </si>
  <si>
    <t>2021-04-30</t>
  </si>
  <si>
    <t>记 - 251</t>
  </si>
  <si>
    <t>4-20计提缴纳4月社保</t>
  </si>
  <si>
    <t>2021-05-13</t>
  </si>
  <si>
    <t>5-12付新疆天拓沁春锦苑25-30#楼竣工测绘费</t>
  </si>
  <si>
    <t>新疆天拓空间信息测绘院有限公司</t>
  </si>
  <si>
    <t>00519022</t>
  </si>
  <si>
    <t>5-10浙江群邦门业铸铝门发票到</t>
  </si>
  <si>
    <t>浙江群邦门业股份有限公司</t>
  </si>
  <si>
    <t>05923841</t>
  </si>
  <si>
    <t>2021-05-15</t>
  </si>
  <si>
    <t>记 - 77</t>
  </si>
  <si>
    <t>5-14发放安有军4月份工资</t>
  </si>
  <si>
    <t>2021-05-19</t>
  </si>
  <si>
    <t>5-18凯润商贸19-24#楼防火门发票到</t>
  </si>
  <si>
    <t>00783868-00783869</t>
  </si>
  <si>
    <t>2021-05-21</t>
  </si>
  <si>
    <t>5-20预付正杰工程款（顾）</t>
  </si>
  <si>
    <t>09649418</t>
  </si>
  <si>
    <t>记 - 136</t>
  </si>
  <si>
    <t>5-20支付巴州新矿测绘费</t>
  </si>
  <si>
    <t>巴州新矿测绘有限责任公司</t>
  </si>
  <si>
    <t>09822943</t>
  </si>
  <si>
    <t>记 - 146</t>
  </si>
  <si>
    <t>5-14计提发放4月工资</t>
  </si>
  <si>
    <t>2021-05-25</t>
  </si>
  <si>
    <t>记 - 154</t>
  </si>
  <si>
    <t>5-20计提缴纳5月社保（养老）</t>
  </si>
  <si>
    <t>2021-05-26</t>
  </si>
  <si>
    <t>5-19金牛区鑫欣弘商业3#楼装修材料发票到</t>
  </si>
  <si>
    <t>其他合同-16</t>
  </si>
  <si>
    <t>金牛区鑫欣弘建材经营部</t>
  </si>
  <si>
    <t>37248927-37248930</t>
  </si>
  <si>
    <t>5-24库尔勒超科35#楼中央空调发票到</t>
  </si>
  <si>
    <t>09710989</t>
  </si>
  <si>
    <t>5-20永绍25-30#楼指纹锁发票到</t>
  </si>
  <si>
    <t>JC-FHM-03</t>
  </si>
  <si>
    <t>09709066</t>
  </si>
  <si>
    <t>2021-05-27</t>
  </si>
  <si>
    <t>5-27预付正杰工程款（郑）</t>
  </si>
  <si>
    <t>09649448</t>
  </si>
  <si>
    <t>记 - 192</t>
  </si>
  <si>
    <t>成都创立佳发票到（3#楼装修）</t>
  </si>
  <si>
    <t>其他合同-19</t>
  </si>
  <si>
    <t>成都创立佳建材有限公司</t>
  </si>
  <si>
    <t>57294153-57294154</t>
  </si>
  <si>
    <t>2021-06-04</t>
  </si>
  <si>
    <t>6-4计提缴纳5月社保（医疗）</t>
  </si>
  <si>
    <t>2021-06-09</t>
  </si>
  <si>
    <t>记 - 37</t>
  </si>
  <si>
    <t>6-8支付巴州优源健28#楼消防水池电暖气款</t>
  </si>
  <si>
    <t>巴州优源健坤能源环保科技有限公司</t>
  </si>
  <si>
    <t>02910671</t>
  </si>
  <si>
    <t>记 - 42</t>
  </si>
  <si>
    <t>6-8支付库尔勒经济技术开发区欧晨建材经销部35#楼防火玻璃安装材料款</t>
  </si>
  <si>
    <t>库尔勒经济技术开发区欧晨建材经销部</t>
  </si>
  <si>
    <t>07100858</t>
  </si>
  <si>
    <t>2021-06-12</t>
  </si>
  <si>
    <t>6-10付大漠林海25-30#绿化款</t>
  </si>
  <si>
    <t>04237186-04237195</t>
  </si>
  <si>
    <t>记 - 74</t>
  </si>
  <si>
    <t>计提发放5月工资</t>
  </si>
  <si>
    <t>2021-06-17</t>
  </si>
  <si>
    <t>6-08预付盐城市规划市政设计35#楼消防设计款</t>
  </si>
  <si>
    <t>QQ-SJ-001</t>
  </si>
  <si>
    <t>盐城市规划市政设计院有限公司乌鲁木齐分公司</t>
  </si>
  <si>
    <t>02464080</t>
  </si>
  <si>
    <t>记 - 124</t>
  </si>
  <si>
    <t>6-17预付库尔勒市鉴衡沁春锦苑预算咨询费</t>
  </si>
  <si>
    <t>41173790-41173795;40281299-40281302</t>
  </si>
  <si>
    <t>2021-06-23</t>
  </si>
  <si>
    <t>6-22支付巴州新矿测绘费</t>
  </si>
  <si>
    <t>09822962</t>
  </si>
  <si>
    <t>2021-06-24</t>
  </si>
  <si>
    <t>6-17计提缴纳6月社保</t>
  </si>
  <si>
    <t>2021-06-26</t>
  </si>
  <si>
    <t>记 - 196</t>
  </si>
  <si>
    <t>6-24乌鲁木齐尚硕35#楼玻璃发票到</t>
  </si>
  <si>
    <t>其他合同-32</t>
  </si>
  <si>
    <t>乌鲁木齐尚硕商贸有限公司</t>
  </si>
  <si>
    <t>03960391</t>
  </si>
  <si>
    <t>2021-06-30</t>
  </si>
  <si>
    <t>记 - 228</t>
  </si>
  <si>
    <t>计提6月工资</t>
  </si>
  <si>
    <t>2021-07-07</t>
  </si>
  <si>
    <t>7-7巴州建筑施工图审查35#楼变更发票到</t>
  </si>
  <si>
    <t>巴州建筑工程施工图审查咨询有限公司</t>
  </si>
  <si>
    <t>00632159</t>
  </si>
  <si>
    <t>记 - 40</t>
  </si>
  <si>
    <t>7-7预付永绍25-30#楼指纹锁款</t>
  </si>
  <si>
    <t>00576321</t>
  </si>
  <si>
    <t>2021-07-12</t>
  </si>
  <si>
    <t>7-7付王娜运费（沁春锦苑内倒）</t>
  </si>
  <si>
    <t>王娜</t>
  </si>
  <si>
    <t>04524651</t>
  </si>
  <si>
    <t>7-09正杰27-34#楼工程款发票到（顾）</t>
  </si>
  <si>
    <t>00570619-00570620</t>
  </si>
  <si>
    <t>2021-07-13</t>
  </si>
  <si>
    <t>7-12预付成都万代围栏款</t>
  </si>
  <si>
    <t>成都万代金属制品有限公司</t>
  </si>
  <si>
    <t>051002000113</t>
  </si>
  <si>
    <t>2021-07-17</t>
  </si>
  <si>
    <t>记 - 114</t>
  </si>
  <si>
    <t>7-15大漠林海发票到</t>
  </si>
  <si>
    <t>JC-LH-14</t>
  </si>
  <si>
    <t>01921822-01921829</t>
  </si>
  <si>
    <t>7-14大漠林海25-30#绿化工程款发票到</t>
  </si>
  <si>
    <t>04237198-04237205;01921815-01921821</t>
  </si>
  <si>
    <t>7-14新疆鑫宇恒三网合一工程服务发票到</t>
  </si>
  <si>
    <t>00647049</t>
  </si>
  <si>
    <t>2021-07-19</t>
  </si>
  <si>
    <t>记 - 127</t>
  </si>
  <si>
    <t>7-19预付香柏树一期智慧小区设备采购款</t>
  </si>
  <si>
    <t>JC-QT-31</t>
  </si>
  <si>
    <t>7-15预付新疆益诚设计费</t>
  </si>
  <si>
    <t>00577642</t>
  </si>
  <si>
    <t>00577641</t>
  </si>
  <si>
    <t>00577638</t>
  </si>
  <si>
    <t>2021-07-24</t>
  </si>
  <si>
    <t>7-23计提缴纳7月社保</t>
  </si>
  <si>
    <t>2021-07-27</t>
  </si>
  <si>
    <t>记 - 160</t>
  </si>
  <si>
    <t>7-26预付中洲25-30消防工程款</t>
  </si>
  <si>
    <t>00630693</t>
  </si>
  <si>
    <t>记 - 161</t>
  </si>
  <si>
    <t>7-26预付通力1#35#楼外墙装修工程款</t>
  </si>
  <si>
    <t>00685690</t>
  </si>
  <si>
    <t>2021-07-31</t>
  </si>
  <si>
    <t>7-28四川中七35#楼消防设计发票到</t>
  </si>
  <si>
    <t>QQ-SJ-002</t>
  </si>
  <si>
    <t>四川中七建筑规划设计有限公司新疆第六分公司</t>
  </si>
  <si>
    <t>00654288</t>
  </si>
  <si>
    <t>2021-08-17</t>
  </si>
  <si>
    <t>8-17预付正杰25、26、28#楼工程款（郑）</t>
  </si>
  <si>
    <t>00646444</t>
  </si>
  <si>
    <t>2021-08-18</t>
  </si>
  <si>
    <t>8-18南天城建发票到（25-30#、32#-34#）</t>
  </si>
  <si>
    <t>JC-Q-2</t>
  </si>
  <si>
    <t>09804069</t>
  </si>
  <si>
    <t>JC-Q-1</t>
  </si>
  <si>
    <t>09804070</t>
  </si>
  <si>
    <t>2021-08-20</t>
  </si>
  <si>
    <t>记 - 141</t>
  </si>
  <si>
    <t>8-17计提缴纳8月社保</t>
  </si>
  <si>
    <t>2021-08-21</t>
  </si>
  <si>
    <t>8-19大漠林海沁春锦苑二期绿化发票到</t>
  </si>
  <si>
    <t>01921830-01921836</t>
  </si>
  <si>
    <t>2021-09-03</t>
  </si>
  <si>
    <t>9-1收到和硕县兴隆石材发票</t>
  </si>
  <si>
    <t>JC-DL-01</t>
  </si>
  <si>
    <t>和硕县兴隆石材工艺有限公司</t>
  </si>
  <si>
    <t>05628544-05628547</t>
  </si>
  <si>
    <t>2021-09-09</t>
  </si>
  <si>
    <t>记 - 35</t>
  </si>
  <si>
    <t>9-9弘信可仁一期19-24铝合金窗发票到</t>
  </si>
  <si>
    <t>00846038-00846041</t>
  </si>
  <si>
    <t>2021-09-12</t>
  </si>
  <si>
    <t>记 - 45</t>
  </si>
  <si>
    <t>9-12张璐燕前期垫付票据到（衣帽架、四件套）</t>
  </si>
  <si>
    <t>2021-09-16</t>
  </si>
  <si>
    <t>9-14坚乐美景观廊架发票到</t>
  </si>
  <si>
    <t>00740294-00740295</t>
  </si>
  <si>
    <t>记 - 125</t>
  </si>
  <si>
    <t>9-10预付弘信可仁一期二期铝合金窗款</t>
  </si>
  <si>
    <t>00846042-00846045</t>
  </si>
  <si>
    <t>J-2-2-01</t>
  </si>
  <si>
    <t>2021-09-17</t>
  </si>
  <si>
    <t>记 - 130</t>
  </si>
  <si>
    <t>9-8苏中一品3#楼装修家具发票到</t>
  </si>
  <si>
    <t>苏州中翔一品家具有限公司</t>
  </si>
  <si>
    <t>86120968-86120979</t>
  </si>
  <si>
    <t>记 - 135</t>
  </si>
  <si>
    <t>9-17支付坚乐美35#楼东侧停车棚工程款</t>
  </si>
  <si>
    <t>JC-CP-01</t>
  </si>
  <si>
    <t>00740293</t>
  </si>
  <si>
    <t>2021-09-18</t>
  </si>
  <si>
    <t>9-13计提缴纳8月社保</t>
  </si>
  <si>
    <t>2021-09-23</t>
  </si>
  <si>
    <t>9-23预付郑杰沁春锦苑25、26、28#楼工程款（郑）</t>
  </si>
  <si>
    <t>00736968</t>
  </si>
  <si>
    <t>10-9成都钰家装饰3#楼装修购灯具、墙布、窗帘等发票到</t>
  </si>
  <si>
    <t>1、成都钰纺织品家装饰有限公司；2、四川省槿木源定制家具有限公司</t>
  </si>
  <si>
    <t>10551406;11820111-11820138;11898284;63516371-63516384</t>
  </si>
  <si>
    <t>2021-10-16</t>
  </si>
  <si>
    <t>10-15支付新疆润海消防1#25-30#32-35#消防检测费</t>
  </si>
  <si>
    <t>其他合同-63</t>
  </si>
  <si>
    <t>新疆润海消防设施检测维护有限公司</t>
  </si>
  <si>
    <t>09485554</t>
  </si>
  <si>
    <t>2021-10-20</t>
  </si>
  <si>
    <t>10-19支付正杰25.26.28#楼工程款（郑）</t>
  </si>
  <si>
    <t>05787033</t>
  </si>
  <si>
    <t>记 - 96</t>
  </si>
  <si>
    <t>10-20预付正杰25、26、28#楼工程款（郑）</t>
  </si>
  <si>
    <t>05787034-05787035</t>
  </si>
  <si>
    <t>10-20支付正杰27、29、30工程款（顾）</t>
  </si>
  <si>
    <t>05787041</t>
  </si>
  <si>
    <t>10-023#楼购成都富海电器发票到</t>
  </si>
  <si>
    <t>成都富海智慧家科技有限公司</t>
  </si>
  <si>
    <t>06621586</t>
  </si>
  <si>
    <t>2021-10-23</t>
  </si>
  <si>
    <t>记 - 111</t>
  </si>
  <si>
    <t>10-22支付新疆天拓商业竣工测</t>
  </si>
  <si>
    <t>其他合同-51-3</t>
  </si>
  <si>
    <t>05820821</t>
  </si>
  <si>
    <t>其他合同-51-4</t>
  </si>
  <si>
    <t>其他合同-51-5</t>
  </si>
  <si>
    <t>2021-10-25</t>
  </si>
  <si>
    <t>10-20成华区优砖工艺品发票到</t>
  </si>
  <si>
    <t>成华区优砖建材经营部</t>
  </si>
  <si>
    <t>09758041-09758042</t>
  </si>
  <si>
    <t>2021-11-08</t>
  </si>
  <si>
    <t>记 - 39</t>
  </si>
  <si>
    <t>11-08大漠林海10月18日开具沁春锦苑设计发票到</t>
  </si>
  <si>
    <t>01939602</t>
  </si>
  <si>
    <t>2021-11-19</t>
  </si>
  <si>
    <t>11-18支付新矿1#-11#、16#17#楼勘界测绘费</t>
  </si>
  <si>
    <t>05791696</t>
  </si>
  <si>
    <t>2021-11-20</t>
  </si>
  <si>
    <t>11-19/20预付正杰沁春锦苑25-28#楼工程款（郑）</t>
  </si>
  <si>
    <t>05787124</t>
  </si>
  <si>
    <t>2021-11-22</t>
  </si>
  <si>
    <t>11-22支付常安消防检测费</t>
  </si>
  <si>
    <t>新疆常安消防技术服务有限公司</t>
  </si>
  <si>
    <t>00274258</t>
  </si>
  <si>
    <t>2021-11-24</t>
  </si>
  <si>
    <t>11-23华汇建安25-30#楼电梯及安装费发票到</t>
  </si>
  <si>
    <t>05931737</t>
  </si>
  <si>
    <t>记 - 142</t>
  </si>
  <si>
    <t>11-24新疆正杰27#29#30#楼工程款发票到（顾）</t>
  </si>
  <si>
    <t>05860506</t>
  </si>
  <si>
    <t>2021-11-29</t>
  </si>
  <si>
    <t>记 - 163</t>
  </si>
  <si>
    <t>10-12江苏鑫鸿电气设备变压器发票到</t>
  </si>
  <si>
    <t>江苏鑫鸿电气设备有限公司</t>
  </si>
  <si>
    <t>24989975</t>
  </si>
  <si>
    <t>居委会用房费用</t>
  </si>
  <si>
    <t>11-25泰丰线缆发票到</t>
  </si>
  <si>
    <t>JC-DL-03</t>
  </si>
  <si>
    <t>1300203130</t>
  </si>
  <si>
    <t>08919735</t>
  </si>
  <si>
    <t>公共配套-社区用房</t>
  </si>
  <si>
    <t>2021-11-30</t>
  </si>
  <si>
    <t>记 - 171</t>
  </si>
  <si>
    <t>11-29智诚春和与沁春锦苑25-30#监理费发票到</t>
  </si>
  <si>
    <t>00027117</t>
  </si>
  <si>
    <t>2021-12-02</t>
  </si>
  <si>
    <t>12-02支付库尔勒亿恒拓电力器材经营部零用电缆款（何永权）</t>
  </si>
  <si>
    <t>库尔勒亿恒拓点力器材经营部</t>
  </si>
  <si>
    <t>37090156-37090159</t>
  </si>
  <si>
    <t>2021-12-03</t>
  </si>
  <si>
    <t>12-02南天城建35#楼、31、36#楼天然气安装工程款发票到</t>
  </si>
  <si>
    <t>05858993</t>
  </si>
  <si>
    <t>05858994</t>
  </si>
  <si>
    <t>JC-Q-5-01</t>
  </si>
  <si>
    <t>2021-12-07</t>
  </si>
  <si>
    <t>记 - 50</t>
  </si>
  <si>
    <t>12-07预付佳联筑创沁春锦苑IBM服务费</t>
  </si>
  <si>
    <t>6500201160</t>
  </si>
  <si>
    <t>00560762</t>
  </si>
  <si>
    <t>2021-12-08</t>
  </si>
  <si>
    <t>记 - 67</t>
  </si>
  <si>
    <t>12-08支付库尔勒雨花石石材经销部大理石款</t>
  </si>
  <si>
    <t>库尔勒雨花石石材经销部</t>
  </si>
  <si>
    <t>38117156</t>
  </si>
  <si>
    <t>2021-12-11</t>
  </si>
  <si>
    <t>记 - 83</t>
  </si>
  <si>
    <t>12-09沁春锦苑18#楼看房通道搭建工程款发票到</t>
  </si>
  <si>
    <t>JC-QT-18</t>
  </si>
  <si>
    <t>00072270</t>
  </si>
  <si>
    <t>不可扣（看房通道）</t>
  </si>
  <si>
    <t>2021-12-16</t>
  </si>
  <si>
    <t>记 - 126</t>
  </si>
  <si>
    <t>12-16中洲25-34室外消防给排水工程款发票到</t>
  </si>
  <si>
    <t>05919983</t>
  </si>
  <si>
    <t>12-13领悦物业25-30#楼交房前房间清洁费</t>
  </si>
  <si>
    <t>领悦物业服务集团有限公司巴州分公司</t>
  </si>
  <si>
    <t>06008075</t>
  </si>
  <si>
    <t>12-08计提缴纳12月社保</t>
  </si>
  <si>
    <t>2021-12-18</t>
  </si>
  <si>
    <t>12-13陕西鲁班安装工程发票到</t>
  </si>
  <si>
    <t>05573196-05573200</t>
  </si>
  <si>
    <t>2021-12-23</t>
  </si>
  <si>
    <t>12-23预付正杰25-28#楼工程款（郑）</t>
  </si>
  <si>
    <t>05945482</t>
  </si>
  <si>
    <t>12-23巴州冠弘25-30#楼门斗补充装修款发票到</t>
  </si>
  <si>
    <t>JZ-QT-01</t>
  </si>
  <si>
    <t>巴州冠弘建筑装饰有限公司</t>
  </si>
  <si>
    <t>00075456</t>
  </si>
  <si>
    <t>2021-12-28</t>
  </si>
  <si>
    <t>12-28泰丰电缆发票开具</t>
  </si>
  <si>
    <t>16286243</t>
  </si>
  <si>
    <t>2021-12-29</t>
  </si>
  <si>
    <t>记 - 218</t>
  </si>
  <si>
    <t>12-29通力股份4-11、16、17#楼及幼儿园景观绿化工程发票到</t>
  </si>
  <si>
    <t>JC-LH-16-1</t>
  </si>
  <si>
    <t>02506981</t>
  </si>
  <si>
    <t>2022-01-11</t>
  </si>
  <si>
    <t>1-8库尔勒永绍一期（19-24#）发票到</t>
  </si>
  <si>
    <t>02520036</t>
  </si>
  <si>
    <t>记 - 28</t>
  </si>
  <si>
    <t>1-8永绍一期二批次（25-30#楼）指纹锁发票到冲回12月245#凭证暂估成本</t>
  </si>
  <si>
    <t>02520035</t>
  </si>
  <si>
    <t>02520037</t>
  </si>
  <si>
    <t>1-10支付正杰沁春锦苑27、29、30#楼工程款（顾）</t>
  </si>
  <si>
    <t>02510788-02510789</t>
  </si>
  <si>
    <t>2022-01-12</t>
  </si>
  <si>
    <t>1-11支付正杰沁春锦苑25、26、28#楼工程款并冲回12月246#凭证土建暂估入账（郑）</t>
  </si>
  <si>
    <t>05945496</t>
  </si>
  <si>
    <t>2022/1/13</t>
  </si>
  <si>
    <t>11-13华汇春和景苑幼儿园电梯安装发票到</t>
  </si>
  <si>
    <t>JZ-DT-04</t>
  </si>
  <si>
    <t>05931754</t>
  </si>
  <si>
    <t>2022-01-14</t>
  </si>
  <si>
    <t>1-13支付拓宇沁春锦苑电气外网设备安装款</t>
  </si>
  <si>
    <t>JC-GD-03-2</t>
  </si>
  <si>
    <t>05961102-05961104</t>
  </si>
  <si>
    <t>2022-01-15</t>
  </si>
  <si>
    <t>1-17巴州冠华25#-30#楼后花园栏杆发票到冲2021年12月242#凭证暂估入账成本</t>
  </si>
  <si>
    <t>JC-QT-03</t>
  </si>
  <si>
    <t>05997182</t>
  </si>
  <si>
    <t>2022-01-22</t>
  </si>
  <si>
    <t>记 - 100</t>
  </si>
  <si>
    <t>1-15大漠林海设计费发票到</t>
  </si>
  <si>
    <t>03939615</t>
  </si>
  <si>
    <t>2022-01-25</t>
  </si>
  <si>
    <t>记 - 102</t>
  </si>
  <si>
    <t>1-24坚乐美25-30#楼铝合金窗发票到冲2021年12月240#￥凭证暂估入账</t>
  </si>
  <si>
    <t>JZ-MC-18-02</t>
  </si>
  <si>
    <t>05760282-05760284</t>
  </si>
  <si>
    <t>记 - 103</t>
  </si>
  <si>
    <t>1-24坚乐美19-20#楼铝合金窗发票到冲2020年12月353#凭证暂估成本入账</t>
  </si>
  <si>
    <t>1-15支付香柏树沁春锦苑智慧小区平台接入费</t>
  </si>
  <si>
    <t>07708721</t>
  </si>
  <si>
    <t>1-21支付昌源水务水表安装款</t>
  </si>
  <si>
    <t>05882025</t>
  </si>
  <si>
    <t>1-25支付大漠园林景观工程款冲2021年12月244#凭证暂估成本入账</t>
  </si>
  <si>
    <t>01939616-01939621</t>
  </si>
  <si>
    <t>1-25支付鑫林隆35#楼装修材料发票</t>
  </si>
  <si>
    <t>00389090-00389091</t>
  </si>
  <si>
    <t>2022-01-31</t>
  </si>
  <si>
    <t>1-28支付杨志德运费</t>
  </si>
  <si>
    <t>杨志德</t>
  </si>
  <si>
    <t>01886461</t>
  </si>
  <si>
    <t>2022-02-25</t>
  </si>
  <si>
    <t>2-25支付方程视亮化款及广告费</t>
  </si>
  <si>
    <t>JC-LH-18-01</t>
  </si>
  <si>
    <t>00644541</t>
  </si>
  <si>
    <t>2022-03-15</t>
  </si>
  <si>
    <t>3-15农商2813支付坚乐美铝合金窗款</t>
  </si>
  <si>
    <t>02581590</t>
  </si>
  <si>
    <t>2022-04-07</t>
  </si>
  <si>
    <t>记 - 7</t>
  </si>
  <si>
    <t>4-1支付弘信可仁窗户款</t>
  </si>
  <si>
    <t>02775242</t>
  </si>
  <si>
    <t>4-7徐惠蓉前期垫付款票据到</t>
  </si>
  <si>
    <t>02568455</t>
  </si>
  <si>
    <t>02568456</t>
  </si>
  <si>
    <t>2022-05-25</t>
  </si>
  <si>
    <t>5-25冠华沁春锦苑大门、1-4#箱变、19-24#楼增加量、4#-17#楼围栏发票到</t>
  </si>
  <si>
    <t>02557903</t>
  </si>
  <si>
    <t>JC-XF-03</t>
  </si>
  <si>
    <t>02557902</t>
  </si>
  <si>
    <t>4-21付沁春锦苑幼儿园审图费</t>
  </si>
  <si>
    <t>其他合同-58</t>
  </si>
  <si>
    <t>03743406</t>
  </si>
  <si>
    <t>4-8支付沁春锦苑幼儿园红蓝线图</t>
  </si>
  <si>
    <t>03708964</t>
  </si>
  <si>
    <t>11-28通力股份工程款发票到</t>
  </si>
  <si>
    <t>09522734</t>
  </si>
  <si>
    <t>记 - 137</t>
  </si>
  <si>
    <t>5-20/21支付天拓沁春锦苑社区用房拔地定桩及红线测绘费</t>
  </si>
  <si>
    <t>00533506;00533505</t>
  </si>
  <si>
    <t>2021-06-29</t>
  </si>
  <si>
    <t>6-28幼儿园电梯发票到</t>
  </si>
  <si>
    <t>00571212</t>
  </si>
  <si>
    <t>7-19预付明德竟业污水处理设备款</t>
  </si>
  <si>
    <t>其他合同-09</t>
  </si>
  <si>
    <t>新疆明德竟业工程有限公司</t>
  </si>
  <si>
    <t>00017395-00017397;00827652-00827653</t>
  </si>
  <si>
    <t>GG-YEY-02</t>
  </si>
  <si>
    <t>00577637</t>
  </si>
  <si>
    <t>记 - 159</t>
  </si>
  <si>
    <t>7-26支付江苏中义幼儿园消防工程款</t>
  </si>
  <si>
    <t>JC-XF-01-04</t>
  </si>
  <si>
    <t>江苏中义消防工程有限公司巴州分公司</t>
  </si>
  <si>
    <t>00509963</t>
  </si>
  <si>
    <t>7-30通力集团中水土建工程发票到（曾）</t>
  </si>
  <si>
    <t>JC-LS-05</t>
  </si>
  <si>
    <t>00685692</t>
  </si>
  <si>
    <t>2021-09-15</t>
  </si>
  <si>
    <t>记 - 93</t>
  </si>
  <si>
    <t>9-14支付明德竟业污水处理设备款</t>
  </si>
  <si>
    <t>00827656-00827662</t>
  </si>
  <si>
    <t>2021-09-26</t>
  </si>
  <si>
    <t>记 - 184</t>
  </si>
  <si>
    <t>9-25通力股份工程款发票开具</t>
  </si>
  <si>
    <t>05721746</t>
  </si>
  <si>
    <t>2021-09-27</t>
  </si>
  <si>
    <t>9-27预付通力中水处理土建工程款</t>
  </si>
  <si>
    <t>05721749</t>
  </si>
  <si>
    <t>其他合同-51-6</t>
  </si>
  <si>
    <t>2021-11-15</t>
  </si>
  <si>
    <t>11-10通力股份18、21、22#楼工程款发票开具（高）</t>
  </si>
  <si>
    <t>JZ-ZT-04-02</t>
  </si>
  <si>
    <t>05821701</t>
  </si>
  <si>
    <t>记 - 123</t>
  </si>
  <si>
    <t>11-19预付智明沁春锦苑幼儿园大门亮化自行车棚工程款</t>
  </si>
  <si>
    <t>GG-YEY-01</t>
  </si>
  <si>
    <t>新疆智明建设工程有限公司</t>
  </si>
  <si>
    <t>05847795-05847796;05847797;05925836</t>
  </si>
  <si>
    <t>2021-11-25</t>
  </si>
  <si>
    <t>11-03新疆巨安人防门发票到</t>
  </si>
  <si>
    <t>04161089</t>
  </si>
  <si>
    <t>11-30通力18#21#22#楼工程款发票到（高）</t>
  </si>
  <si>
    <t>05863191</t>
  </si>
  <si>
    <t>12-08支付库尔勒天平31#楼幼儿园测绘费</t>
  </si>
  <si>
    <t>库尔勒天平房地产价格评估有限责任公司</t>
  </si>
  <si>
    <t>05922966</t>
  </si>
  <si>
    <t>12-15支付智明沁春锦苑幼儿园大门、亮化、自行车棚工程款</t>
  </si>
  <si>
    <t>05871052</t>
  </si>
  <si>
    <t>12-27智明幼儿园大门、亮化、自行车棚工程发票到</t>
  </si>
  <si>
    <t>02474033;02474034</t>
  </si>
  <si>
    <t>12-29通力股份18、21、22#楼地下人防工程发票到（高）</t>
  </si>
  <si>
    <t>05978828</t>
  </si>
  <si>
    <t>记 - 219</t>
  </si>
  <si>
    <t>12-29通力股份（曾）中水处理土建工程款发票到</t>
  </si>
  <si>
    <t>05978829</t>
  </si>
  <si>
    <t>2022-05-21</t>
  </si>
  <si>
    <t>5-19新疆云景环保春和、沁春锦苑地埋式垃圾站发票到</t>
  </si>
  <si>
    <t>JC-QT-33-02</t>
  </si>
  <si>
    <t>新疆云景环保科技有限公司</t>
  </si>
  <si>
    <t>03624382-03624384</t>
  </si>
  <si>
    <t>2022-05-24</t>
  </si>
  <si>
    <t>5-24智明幼儿园决算新增工程量发票到</t>
  </si>
  <si>
    <t>02474052</t>
  </si>
  <si>
    <t>2022-06-13</t>
  </si>
  <si>
    <t>6-13通力股份中水处理土建工程发票到冲2021年12月238#凭证暂估入账</t>
  </si>
  <si>
    <t>05060216</t>
  </si>
  <si>
    <t>6-13通力股份地下人防工程款发票到冲2021年4月217#凭证暂估成本入账</t>
  </si>
  <si>
    <t>05060220</t>
  </si>
  <si>
    <t>6-13通力股份31#楼（幼儿园）36#楼工程款发票到冲2021年4月216#凭证暂估成本入账</t>
  </si>
  <si>
    <t>05060221</t>
  </si>
  <si>
    <t>2022-06-14</t>
  </si>
  <si>
    <t>6-14支付鑫林隆35#楼装修款</t>
  </si>
  <si>
    <t>01640683-01640685</t>
  </si>
  <si>
    <t>2022-06-16</t>
  </si>
  <si>
    <t>环卫工程支出</t>
  </si>
  <si>
    <t>6-15预付唐山通宝停车设备有限公司机械式停车设备款</t>
  </si>
  <si>
    <t>JC-TCC-04</t>
  </si>
  <si>
    <t>唐山通宝停车设备有限公司</t>
  </si>
  <si>
    <t>05766493</t>
  </si>
  <si>
    <t>公共-机械车库</t>
  </si>
  <si>
    <t>2022-06-23</t>
  </si>
  <si>
    <t>6-22正杰27、29、30、32-34号楼工程款发票到冲2021年12月246#凭证暂估成本入账</t>
  </si>
  <si>
    <t>05010602</t>
  </si>
  <si>
    <t>7-07鑫林隆35#楼装修发票到</t>
  </si>
  <si>
    <t>01640709-01640711</t>
  </si>
  <si>
    <t>2022-07-27</t>
  </si>
  <si>
    <t>7-27通力18、21、22#楼工程款发票开具（高）</t>
  </si>
  <si>
    <t>05060231</t>
  </si>
  <si>
    <t>2022-09-30</t>
  </si>
  <si>
    <t>8-4沁春锦苑围栏一期发票到</t>
  </si>
  <si>
    <t>JC-LH-09</t>
  </si>
  <si>
    <t>00078909</t>
  </si>
  <si>
    <t>2022-12-08</t>
  </si>
  <si>
    <t>记 - 6</t>
  </si>
  <si>
    <t>12-05正杰工程款发票到（37#楼）</t>
  </si>
  <si>
    <t>GG-SQ-01</t>
  </si>
  <si>
    <t>05010735</t>
  </si>
  <si>
    <t>2022-12-20</t>
  </si>
  <si>
    <t>记 - 38</t>
  </si>
  <si>
    <t>12-19江苏中义工程款发票到</t>
  </si>
  <si>
    <t>JC-XF-01-07</t>
  </si>
  <si>
    <t>04956892-04956897;09398001-09398006</t>
  </si>
  <si>
    <t>记 - 53</t>
  </si>
  <si>
    <t>12-21通力（高建立）地下人防工程款发票到</t>
  </si>
  <si>
    <t>05250474</t>
  </si>
  <si>
    <t>2022/12/27</t>
  </si>
  <si>
    <t>12-27青橄榄发票到开具</t>
  </si>
  <si>
    <t>JC-LH-18</t>
  </si>
  <si>
    <t>05368717</t>
  </si>
  <si>
    <t>2023/1/31</t>
  </si>
  <si>
    <t>记54</t>
  </si>
  <si>
    <t>1-10新疆华汇电梯刷卡设备发票到</t>
  </si>
  <si>
    <t>JZ-DT-02-1</t>
  </si>
  <si>
    <t>09470321</t>
  </si>
  <si>
    <t>2023/4/30</t>
  </si>
  <si>
    <t>记95</t>
  </si>
  <si>
    <t>4-30调2013年3月15#凭证缴纳城市配套费4547867.58元，其中玫瑰三期冲减518829.57元，余额4029038.01元已于后期开发沁春锦苑及春和景苑项目中在缴纳配套费时逐步冲减，现补充账务处理</t>
  </si>
  <si>
    <t>库尔勒市城乡规划管理局</t>
  </si>
  <si>
    <t>6914362671</t>
  </si>
  <si>
    <t>2023/4/23</t>
  </si>
  <si>
    <t>记76</t>
  </si>
  <si>
    <t>4-19大漠林海一期景观工程款发票到</t>
  </si>
  <si>
    <t>05601175-05601182</t>
  </si>
  <si>
    <t>2023/5/18</t>
  </si>
  <si>
    <t>记34</t>
  </si>
  <si>
    <t>5-17正杰沁春锦苑一期20#24#二期25#28#工程款发票到（郑）</t>
  </si>
  <si>
    <t>06441137</t>
  </si>
  <si>
    <t>2023/2/21</t>
  </si>
  <si>
    <t>记45</t>
  </si>
  <si>
    <t>2-16通力建设集团35#楼工程款发票到（孟）</t>
  </si>
  <si>
    <t>09426916</t>
  </si>
  <si>
    <t>2023/7/13</t>
  </si>
  <si>
    <t>记24</t>
  </si>
  <si>
    <t>7-13支付通力建设集团1#、35#楼工程款</t>
  </si>
  <si>
    <t>06542340</t>
  </si>
  <si>
    <t>JZ-DT-02-2</t>
  </si>
  <si>
    <t>2023/4/7</t>
  </si>
  <si>
    <t>记18</t>
  </si>
  <si>
    <t>4-6支付理想家26#28#\30#门斗款</t>
  </si>
  <si>
    <t>00588465</t>
  </si>
  <si>
    <t>06441136</t>
  </si>
  <si>
    <t>2023/6/7</t>
  </si>
  <si>
    <t>记12</t>
  </si>
  <si>
    <t>6-7大漠林海景观绿化发票到</t>
  </si>
  <si>
    <t>JC-LH-13</t>
  </si>
  <si>
    <t>04719171-04719180</t>
  </si>
  <si>
    <t>2023/1/30</t>
  </si>
  <si>
    <t>记33</t>
  </si>
  <si>
    <t>1-17支付大漠林海一期二批次景观绿化工程款发票到冲2022年12月88#凭证暂估</t>
  </si>
  <si>
    <t>01939624</t>
  </si>
  <si>
    <t>记77</t>
  </si>
  <si>
    <t>4-20大漠林海一期二批次绿化工程款发票到</t>
  </si>
  <si>
    <t>05601183</t>
  </si>
  <si>
    <t>5-18支付正杰沁春锦苑工程款（顾）</t>
  </si>
  <si>
    <t>06441138</t>
  </si>
  <si>
    <t>2023/1/16</t>
  </si>
  <si>
    <t>记16</t>
  </si>
  <si>
    <t>1-11支付江苏中义二期三期给排水、消防工程款</t>
  </si>
  <si>
    <t>JC-XF-01-02</t>
  </si>
  <si>
    <t>09398017-09398020</t>
  </si>
  <si>
    <t>记49</t>
  </si>
  <si>
    <t>2-16通力建设沁春锦苑31#36#楼工程款发票到（邓）</t>
  </si>
  <si>
    <t>09426920</t>
  </si>
  <si>
    <t>2023/3/7</t>
  </si>
  <si>
    <t>3-7支付河北逸航新诺集成房屋有限公司折叠箱房款</t>
  </si>
  <si>
    <t>JC-QT-30</t>
  </si>
  <si>
    <t>河北逸航新诺集成房屋有限公司</t>
  </si>
  <si>
    <t>02559576</t>
  </si>
  <si>
    <t>2023/4/8</t>
  </si>
  <si>
    <t>记26</t>
  </si>
  <si>
    <t>4-7支付巴州青橄榄沁春锦苑驻车器工程款</t>
  </si>
  <si>
    <t>JC-TCC-01</t>
  </si>
  <si>
    <t>05368721</t>
  </si>
  <si>
    <t>2023/4/14</t>
  </si>
  <si>
    <t>记46</t>
  </si>
  <si>
    <t>4-11支付中义沁春锦苑给排水、消防工程款</t>
  </si>
  <si>
    <t>09548273-09548277</t>
  </si>
  <si>
    <t>4-11支付坚乐美4#6#8#楼门窗工程款</t>
  </si>
  <si>
    <t>JZ-MC-06-01</t>
  </si>
  <si>
    <t>09418882-09418885</t>
  </si>
  <si>
    <t>记25</t>
  </si>
  <si>
    <t>7-13沁春锦苑37#楼社区用房发票到</t>
  </si>
  <si>
    <t>JZ-ZT-04-01</t>
  </si>
  <si>
    <t>06542342</t>
  </si>
  <si>
    <t>2023/7/20</t>
  </si>
  <si>
    <t>记48</t>
  </si>
  <si>
    <t>7-20支付新疆华汇沁春锦苑37#楼电梯款</t>
  </si>
  <si>
    <t>06583791</t>
  </si>
  <si>
    <t>2023/4/28</t>
  </si>
  <si>
    <t>记92</t>
  </si>
  <si>
    <t>4-28预付新疆胡杨线缆制造有限公司线缆款</t>
  </si>
  <si>
    <t>JC-DL-06</t>
  </si>
  <si>
    <t>新疆胡杨线缆制造有限公司</t>
  </si>
  <si>
    <t>05924655</t>
  </si>
  <si>
    <t>记96</t>
  </si>
  <si>
    <t>4-24巨安人防门发票到</t>
  </si>
  <si>
    <t>01770479-01770480</t>
  </si>
  <si>
    <t>记47</t>
  </si>
  <si>
    <t>2-16新疆通力建设中水处理土建工程款发票到</t>
  </si>
  <si>
    <t>09426918</t>
  </si>
  <si>
    <t>记44</t>
  </si>
  <si>
    <t>5-19支付唐山通宝机械停车设备款</t>
  </si>
  <si>
    <t>JZ-SY-01-02</t>
  </si>
  <si>
    <t>2023/8/15</t>
  </si>
  <si>
    <t>记28</t>
  </si>
  <si>
    <t>8-14支付拓宇人防车库移动电站设备采购安装工程款</t>
  </si>
  <si>
    <t>其他合同-62</t>
  </si>
  <si>
    <t>06518812</t>
  </si>
  <si>
    <t>2023/8/17</t>
  </si>
  <si>
    <t>记35</t>
  </si>
  <si>
    <t>8-16支付坚乐美人防车库雨棚工程款</t>
  </si>
  <si>
    <t>GG-RFCK-01</t>
  </si>
  <si>
    <t>06681399</t>
  </si>
  <si>
    <t>2023/8/19</t>
  </si>
  <si>
    <t>8-19支付巨安人防门款</t>
  </si>
  <si>
    <t>01777930</t>
  </si>
  <si>
    <t>01777929</t>
  </si>
  <si>
    <t>2023/8/24</t>
  </si>
  <si>
    <t>记57</t>
  </si>
  <si>
    <t>8-24支付天平沁春锦苑地下车库及人防策绘费</t>
  </si>
  <si>
    <t>06556963</t>
  </si>
  <si>
    <t>2023/9/4</t>
  </si>
  <si>
    <t>记5</t>
  </si>
  <si>
    <t>9-1支付河南省人防沁春锦苑地下室设计费</t>
  </si>
  <si>
    <t>07677492</t>
  </si>
  <si>
    <t>2023/9/11</t>
  </si>
  <si>
    <t>记20</t>
  </si>
  <si>
    <t>9-11支付精诚所至幼儿园室外工程款</t>
  </si>
  <si>
    <t>JZ-YEY-01</t>
  </si>
  <si>
    <t>新疆精诚所至装饰工程有限责任公司</t>
  </si>
  <si>
    <t>6500211130</t>
  </si>
  <si>
    <t>00055403</t>
  </si>
  <si>
    <t>2023/9/20</t>
  </si>
  <si>
    <t>9-16支付拓宇人防车库移动电站设备安装工程款</t>
  </si>
  <si>
    <t>01660133</t>
  </si>
  <si>
    <t>2023/10/18</t>
  </si>
  <si>
    <t>记31</t>
  </si>
  <si>
    <t>10-17支付通力建设社区用房（37#楼）工程款（高）</t>
  </si>
  <si>
    <t>01587005</t>
  </si>
  <si>
    <t>10-18支付巴州理想家32、33、34#楼外墙装修工程款</t>
  </si>
  <si>
    <t>00588466</t>
  </si>
  <si>
    <t>2023/10/19</t>
  </si>
  <si>
    <t>记39</t>
  </si>
  <si>
    <t>10-19支付新疆巨安人防门工程款</t>
  </si>
  <si>
    <t>01412494</t>
  </si>
  <si>
    <t>01412493</t>
  </si>
  <si>
    <t>记40</t>
  </si>
  <si>
    <t>10-19支付巴州方程视人防地下车库标志牌、快速门工程款</t>
  </si>
  <si>
    <t>JC-QT-17</t>
  </si>
  <si>
    <t>00703944</t>
  </si>
  <si>
    <t>2023/10/31</t>
  </si>
  <si>
    <t>记82</t>
  </si>
  <si>
    <t>10-30支付新疆天拓37#楼竣工测量费</t>
  </si>
  <si>
    <t>其他合同-51-10</t>
  </si>
  <si>
    <t>库尔勒天拓勘察测绘院有限公司</t>
  </si>
  <si>
    <t>01681090</t>
  </si>
  <si>
    <t>2023/11/3</t>
  </si>
  <si>
    <t>记7</t>
  </si>
  <si>
    <t>11-2支付37#楼测绘费</t>
  </si>
  <si>
    <t>01661354</t>
  </si>
  <si>
    <t>2023/11/17</t>
  </si>
  <si>
    <t>记23</t>
  </si>
  <si>
    <t>11-15支付通力建设（高）社区用房工程款</t>
  </si>
  <si>
    <t>01587015</t>
  </si>
  <si>
    <t>2023/11/22</t>
  </si>
  <si>
    <t>11-22支付河南省人防沁春锦苑防空地下室建筑设计费</t>
  </si>
  <si>
    <t>6500231130</t>
  </si>
  <si>
    <t>02743338</t>
  </si>
  <si>
    <t>2023/11/23</t>
  </si>
  <si>
    <t>记42</t>
  </si>
  <si>
    <t>11-23华汇37#楼电梯安装费发票到</t>
  </si>
  <si>
    <t>00693118</t>
  </si>
  <si>
    <t>2023/11/28</t>
  </si>
  <si>
    <t>记51</t>
  </si>
  <si>
    <t>11-28调2022年1月45#凭证华汇幼儿园电梯安装发票到冲减暂估多冲减0.01元</t>
  </si>
  <si>
    <t>2023/12/15</t>
  </si>
  <si>
    <t>记22</t>
  </si>
  <si>
    <t>12-14支付通力建设（高建立）37#楼社区用房工程款</t>
  </si>
  <si>
    <t>6500233130</t>
  </si>
  <si>
    <t>00803637</t>
  </si>
  <si>
    <t>12-15支付新疆智诚37#楼及人防监理费</t>
  </si>
  <si>
    <t>JZ-JL-04-02</t>
  </si>
  <si>
    <t>23652000000009402418</t>
  </si>
  <si>
    <t>JZ-JL-04-03</t>
  </si>
  <si>
    <t>12-15支付唐山通宝机械停车设备款</t>
  </si>
  <si>
    <t>653100232130</t>
  </si>
  <si>
    <t>21920767</t>
  </si>
  <si>
    <t>12-15支付坚乐美人防玻璃雨棚工程款</t>
  </si>
  <si>
    <t>23652000000009569203</t>
  </si>
  <si>
    <t>2023/12/22</t>
  </si>
  <si>
    <t>12-27南天城建沁春锦苑社区用房37#楼天然气安装工程款发票到</t>
  </si>
  <si>
    <t>JC-Q-11</t>
  </si>
  <si>
    <t>00805610</t>
  </si>
  <si>
    <t>2023/12/26</t>
  </si>
  <si>
    <t>记37</t>
  </si>
  <si>
    <t>12-25支付大漠林海沁春锦苑设计费</t>
  </si>
  <si>
    <t>23652000000010892734</t>
  </si>
  <si>
    <t>记38</t>
  </si>
  <si>
    <t>12-22唐山通宝机械停车位发票到</t>
  </si>
  <si>
    <t>1300232130</t>
  </si>
  <si>
    <t>21931032</t>
  </si>
  <si>
    <t>2023/12/27</t>
  </si>
  <si>
    <t>12-27支付冠华12-15、38、18、21-22#楼、31#楼窗户款及后花园围栏制作款</t>
  </si>
  <si>
    <t>JC-QT-21-01</t>
  </si>
  <si>
    <t>23652000000012438975</t>
  </si>
  <si>
    <t>2023/12/28</t>
  </si>
  <si>
    <t>12-28支付中七建筑机械式停车位基础设计费</t>
  </si>
  <si>
    <t>JC-TCC-03</t>
  </si>
  <si>
    <t>00776472</t>
  </si>
  <si>
    <t>2024/1/19</t>
  </si>
  <si>
    <t>记21</t>
  </si>
  <si>
    <t>1-16支付巴州卓晟沁春锦苑地面停车线、道路标线、人防、楼梯间环氧树脂漆施工工程款</t>
  </si>
  <si>
    <t>JC-DL-04-01</t>
  </si>
  <si>
    <t>巴州卓晟环保科技有限公司（李欢欢1899960）</t>
  </si>
  <si>
    <t>24652000000005881695</t>
  </si>
  <si>
    <t>JC-DL-04-02</t>
  </si>
  <si>
    <t>2024/1/22</t>
  </si>
  <si>
    <t>1-22支付新疆开拓设计沁春锦苑一期、二期项目设计费</t>
  </si>
  <si>
    <t>06552633</t>
  </si>
  <si>
    <t>1-22支付新疆开拓设计沁春锦苑一期、二期、三期项目设计费</t>
  </si>
  <si>
    <t>Q-SJ-3-01</t>
  </si>
  <si>
    <t>06552639-06552640</t>
  </si>
  <si>
    <t>06552635</t>
  </si>
  <si>
    <t>06552636</t>
  </si>
  <si>
    <t>2024/3/15</t>
  </si>
  <si>
    <t>3-6中义工程款发票到（新增合同金额）</t>
  </si>
  <si>
    <t>24652000000012003607</t>
  </si>
  <si>
    <t>JC-XF-01-03</t>
  </si>
  <si>
    <t>调整地下室成本至其他类型房地产</t>
  </si>
  <si>
    <t>2024/5/14</t>
  </si>
  <si>
    <t>5-14支付通力建设31#36#楼工程尾款（邓）</t>
  </si>
  <si>
    <t>24652000000024459746</t>
  </si>
  <si>
    <t>记 - 243</t>
  </si>
  <si>
    <t>10-22坚乐美吕合金窗发票到</t>
  </si>
  <si>
    <t>03958136</t>
  </si>
  <si>
    <t>2024/4/24</t>
  </si>
  <si>
    <t>4-24计提缴纳2013年3月25日缴纳的配套设施费相应契税</t>
  </si>
  <si>
    <t>完税凭证</t>
  </si>
  <si>
    <t>365286240400066001</t>
  </si>
  <si>
    <t>公共配套设施</t>
  </si>
  <si>
    <t>2024/4/28</t>
  </si>
  <si>
    <t>4-16唐山通宝停车设备有限公司安装费发票到</t>
  </si>
  <si>
    <t>24132000000043613587</t>
  </si>
  <si>
    <t>2021-05-18</t>
  </si>
  <si>
    <t>5-18新疆和禹发票到</t>
  </si>
  <si>
    <t>02610011</t>
  </si>
  <si>
    <t>11-13预付巴州昱人计算机服务数字门票信息费</t>
  </si>
  <si>
    <t>JC-MP-03</t>
  </si>
  <si>
    <t>05851059</t>
  </si>
  <si>
    <t>2021-08-24</t>
  </si>
  <si>
    <t>8-24支付水木堂35#楼顶灯更换（消防验收）</t>
  </si>
  <si>
    <t>其他合同-001</t>
  </si>
  <si>
    <t>00664476</t>
  </si>
  <si>
    <t>2023/11/21</t>
  </si>
  <si>
    <t>记36</t>
  </si>
  <si>
    <t>11-21徐惠蓉报出图费（1#楼、35#楼）</t>
  </si>
  <si>
    <t>23652000000002200000</t>
  </si>
  <si>
    <t>2021-08-11</t>
  </si>
  <si>
    <t>8-11预付新疆唯想文化沁春锦苑商业园林绿化款</t>
  </si>
  <si>
    <t>JC-LH-19</t>
  </si>
  <si>
    <t>新疆唯想文化发展有限责任公司</t>
  </si>
  <si>
    <t>33042131</t>
  </si>
  <si>
    <t>4-1青橄榄3#楼处道闸发票到</t>
  </si>
  <si>
    <t>05368722</t>
  </si>
  <si>
    <t>记41</t>
  </si>
  <si>
    <t>10-19支付方程视沁春锦苑小区围栏制作款</t>
  </si>
  <si>
    <t>JC-QT-16</t>
  </si>
  <si>
    <t>00703943</t>
  </si>
  <si>
    <t>02557901</t>
  </si>
  <si>
    <t>全小区分摊-地埋式垃圾站</t>
  </si>
  <si>
    <t>2022-7-19</t>
  </si>
  <si>
    <t>记-19</t>
  </si>
  <si>
    <t>7-15苏尚灭蚊灯（40台）发票到</t>
  </si>
  <si>
    <t>零星-01</t>
  </si>
  <si>
    <t>苏州尚科新能源有限公司</t>
  </si>
  <si>
    <t>14599473</t>
  </si>
  <si>
    <t>2022-06-10</t>
  </si>
  <si>
    <t>6-10股份4-11、16-17、31#楼园林景观、道路照明工程款发票到（杜奇志）</t>
  </si>
  <si>
    <t>JC-YL-02-01</t>
  </si>
  <si>
    <t>02581072</t>
  </si>
  <si>
    <t>2024/5/16</t>
  </si>
  <si>
    <t>5-16基安岩土沁春锦苑勘察费发票到</t>
  </si>
  <si>
    <t>Q-SC-1-01</t>
  </si>
  <si>
    <t>24652000000024955074</t>
  </si>
  <si>
    <t>24652000000024992958</t>
  </si>
  <si>
    <t>24652000000024955152</t>
  </si>
  <si>
    <t>记 - 204</t>
  </si>
  <si>
    <t>9-14预付巴州智诚三期监理费（12#-15#）</t>
  </si>
  <si>
    <t>JZ-JL-05-01</t>
  </si>
  <si>
    <t>00197810</t>
  </si>
  <si>
    <t>2021-05-31</t>
  </si>
  <si>
    <t>5-26泰丰线缆发票到</t>
  </si>
  <si>
    <t>08918932</t>
  </si>
  <si>
    <t>沁春锦苑1#、35#、大门工程款</t>
  </si>
  <si>
    <t>05219655</t>
  </si>
  <si>
    <t>01538473</t>
  </si>
  <si>
    <t>12-17南天城建天然气安装工程款发票到</t>
  </si>
  <si>
    <t>JC-Q-4</t>
  </si>
  <si>
    <t>05859157</t>
  </si>
  <si>
    <t>记 - 162</t>
  </si>
  <si>
    <t>2-27通力股份1#35#楼外墙装修发票到</t>
  </si>
  <si>
    <t>09713907</t>
  </si>
  <si>
    <t>8-27银行存款日记账SGRJZ1444沁春锦苑1#、35#大门外墙装修款工程款发票到（刘建军）</t>
  </si>
  <si>
    <t>24652000000049558544</t>
  </si>
  <si>
    <t>8-27银行存款日记账SGRJZ1444沁春锦苑1#、35#大门外墙装修款工程款发票到（法院调解新增刘建军）</t>
  </si>
  <si>
    <t>8-27银行存款日记账SGRJZ1485沁春锦苑（1#19#20#-34#35#楼）室外消防、给排水工程款发票到</t>
  </si>
  <si>
    <t>24652000000048174620</t>
  </si>
  <si>
    <t>JC-XF-02-01</t>
  </si>
  <si>
    <t>8-26银行存款日记账SGRJZ1488沁春锦苑（1#32#33#34#室内消防）工程款发票到</t>
  </si>
  <si>
    <t>JC-XF-1</t>
  </si>
  <si>
    <t>24652000000048164550</t>
  </si>
  <si>
    <t>2023/4/18</t>
  </si>
  <si>
    <t>记66</t>
  </si>
  <si>
    <t>4-18支付新疆精诚所至装饰公司1#楼改造工程款</t>
  </si>
  <si>
    <t>JC-QT-09</t>
  </si>
  <si>
    <t>00055400</t>
  </si>
  <si>
    <t>2023/11/16</t>
  </si>
  <si>
    <t>记17</t>
  </si>
  <si>
    <t>11-13支付巴州冠弘1#楼装修改造款</t>
  </si>
  <si>
    <t>JZ-QT-06</t>
  </si>
  <si>
    <t>23652000000001297535</t>
  </si>
  <si>
    <t>记27</t>
  </si>
  <si>
    <t>12-15支付巴州冠弘1#楼工程改造款</t>
  </si>
  <si>
    <t>23652000000009223467</t>
  </si>
  <si>
    <t>2024/5/15</t>
  </si>
  <si>
    <t>5-14支付库尔勒刘世春37#楼社区用房壁挂炉款</t>
  </si>
  <si>
    <t>GG-SQ-02</t>
  </si>
  <si>
    <t>24652000000027335492</t>
  </si>
  <si>
    <t>2021-03-25</t>
  </si>
  <si>
    <t>记 - 176</t>
  </si>
  <si>
    <t>3-18计提缴纳3月社保</t>
  </si>
  <si>
    <t>2021-08-12</t>
  </si>
  <si>
    <t>8-11计提发放7月工资</t>
  </si>
  <si>
    <t>9-10计提发放8月工资</t>
  </si>
  <si>
    <t>2021-10-13</t>
  </si>
  <si>
    <t>10-12计提发放9月工资</t>
  </si>
  <si>
    <t>2021-10-21</t>
  </si>
  <si>
    <t>10-21计提缴纳10月社保</t>
  </si>
  <si>
    <t>2021-11-10</t>
  </si>
  <si>
    <t>12-10计提发放11月工资</t>
  </si>
  <si>
    <t>1-12计提发放12月工资</t>
  </si>
  <si>
    <t>1-15计提缴纳1月社保</t>
  </si>
  <si>
    <t>2022-02-14</t>
  </si>
  <si>
    <t>记 - 14</t>
  </si>
  <si>
    <t>2-14计提发放1月工资</t>
  </si>
  <si>
    <t>2022-02-21</t>
  </si>
  <si>
    <t>2-16计提缴纳2月社保</t>
  </si>
  <si>
    <t>2022-03-11</t>
  </si>
  <si>
    <t>3-10计提发放2月工资</t>
  </si>
  <si>
    <t>2022-03-28</t>
  </si>
  <si>
    <t>记 - 144</t>
  </si>
  <si>
    <t>3-11计提缴纳3月社保</t>
  </si>
  <si>
    <t>2022-04-12</t>
  </si>
  <si>
    <t>4-12计提3月工资</t>
  </si>
  <si>
    <t>2022-04-15</t>
  </si>
  <si>
    <t>4-15计提缴纳4月社保</t>
  </si>
  <si>
    <t>2022-05-13</t>
  </si>
  <si>
    <t>5-13计提4月工资</t>
  </si>
  <si>
    <t>2022-05-16</t>
  </si>
  <si>
    <t>5-13计提缴纳5月社保</t>
  </si>
  <si>
    <t>记 - 43</t>
  </si>
  <si>
    <t>6-10计提发放5月工资</t>
  </si>
  <si>
    <t>6-13计提缴纳6月社保</t>
  </si>
  <si>
    <t>2022-06-30</t>
  </si>
  <si>
    <t>6-30计提6月工资</t>
  </si>
  <si>
    <t>2022-07-15</t>
  </si>
  <si>
    <t>7-14计提发放6月工资</t>
  </si>
  <si>
    <t>2022-07-19</t>
  </si>
  <si>
    <t>7-18计提缴纳7月社保</t>
  </si>
  <si>
    <t>8-10计提发放7月工资</t>
  </si>
  <si>
    <t>8-15计提缴纳8月社保</t>
  </si>
  <si>
    <t>9-14计提发放8月工资</t>
  </si>
  <si>
    <t>9-19计提缴纳9月社保</t>
  </si>
  <si>
    <t>计提9月工资</t>
  </si>
  <si>
    <t>2022-11-29</t>
  </si>
  <si>
    <t>记 - 18</t>
  </si>
  <si>
    <t>11-10计提缴纳11月社保</t>
  </si>
  <si>
    <t>记 - 3</t>
  </si>
  <si>
    <t>2023/7/12</t>
  </si>
  <si>
    <t>7-11计提发放6月工资</t>
  </si>
  <si>
    <t>2023/8/10</t>
  </si>
  <si>
    <t>记15</t>
  </si>
  <si>
    <t>2023/8/26</t>
  </si>
  <si>
    <t>记59</t>
  </si>
  <si>
    <t>8-26计提发放7月工资</t>
  </si>
  <si>
    <t>2024/11/9</t>
  </si>
  <si>
    <t>记 - 009</t>
  </si>
  <si>
    <t>24652020000067653120</t>
  </si>
  <si>
    <r>
      <rPr>
        <sz val="16"/>
        <color rgb="FF000000"/>
        <rFont val="方正小标宋简体"/>
        <charset val="134"/>
      </rPr>
      <t>T23220</t>
    </r>
    <r>
      <rPr>
        <sz val="16"/>
        <color rgb="FF000000"/>
        <rFont val="宋体"/>
        <charset val="134"/>
      </rPr>
      <t>附表</t>
    </r>
    <r>
      <rPr>
        <sz val="16"/>
        <color rgb="FF000000"/>
        <rFont val="Calibri"/>
        <charset val="134"/>
      </rPr>
      <t>8-</t>
    </r>
    <r>
      <rPr>
        <sz val="16"/>
        <color rgb="FF000000"/>
        <rFont val="宋体"/>
        <charset val="134"/>
      </rPr>
      <t>合同明细采集底稿</t>
    </r>
  </si>
  <si>
    <t>*合同编号</t>
  </si>
  <si>
    <t>*合同名称</t>
  </si>
  <si>
    <t>*收款单位</t>
  </si>
  <si>
    <t>合同签订日期</t>
  </si>
  <si>
    <t>结算金额</t>
  </si>
  <si>
    <t>*关联关系（是否）</t>
  </si>
  <si>
    <t>*甲方供材
（是否）</t>
  </si>
  <si>
    <t>*不同项目分摊
（是否）</t>
  </si>
  <si>
    <t>项目间共同成本费用分摊信息</t>
  </si>
  <si>
    <t>分期合同分摊方法</t>
  </si>
  <si>
    <t>分摊至本期项目扣除比例</t>
  </si>
  <si>
    <t>申报准予扣除的记账金额</t>
  </si>
  <si>
    <t>前期累计
分摊金额</t>
  </si>
  <si>
    <t>本期项目
扣除金额</t>
  </si>
  <si>
    <t>剩余
待摊金额</t>
  </si>
  <si>
    <t>共同成本费用应当分摊的项目名称（下拉选择）</t>
  </si>
  <si>
    <t>16=13-14-15</t>
  </si>
  <si>
    <t>项目1</t>
  </si>
  <si>
    <t>项目2</t>
  </si>
  <si>
    <t>项目3</t>
  </si>
  <si>
    <t>项目4</t>
  </si>
  <si>
    <t>项目5</t>
  </si>
  <si>
    <t>项目6</t>
  </si>
  <si>
    <t>项目7</t>
  </si>
  <si>
    <t>项目8</t>
  </si>
  <si>
    <t>项目9</t>
  </si>
  <si>
    <t>项目10</t>
  </si>
  <si>
    <t>沁春锦苑1#35#、大门楼施工协议（1#.35#）</t>
  </si>
  <si>
    <t>建设工程合同</t>
  </si>
  <si>
    <t>新疆通力建设集团股份有限公司（孟）</t>
  </si>
  <si>
    <t>否</t>
  </si>
  <si>
    <t>请填写</t>
  </si>
  <si>
    <t>沁春锦苑25、26、28#施工协议</t>
  </si>
  <si>
    <t>新疆正杰建筑集团有限公司（郑青峰）</t>
  </si>
  <si>
    <t>安装服务</t>
  </si>
  <si>
    <t>其他合同</t>
  </si>
  <si>
    <t>沁春景苑幼儿园室外工程</t>
  </si>
  <si>
    <t>新疆精诚所至装饰工程有限责任公司（金克）</t>
  </si>
  <si>
    <t>19#23#承揽合同（铝合金窗）</t>
  </si>
  <si>
    <t>买卖合同</t>
  </si>
  <si>
    <t>新疆弘信可仁建筑装饰工程有限责任公司</t>
  </si>
  <si>
    <t>25#26#27#34#断桥铝合金窗工程</t>
  </si>
  <si>
    <t>沁春锦苑一期地下室钢质门（19-24#）</t>
  </si>
  <si>
    <t>库尔勒永绍商贸有限公司（项邵于）</t>
  </si>
  <si>
    <t>25#-30#电梯销售安装合同</t>
  </si>
  <si>
    <t>新疆华汇建安机械设备有限公司（许林）</t>
  </si>
  <si>
    <t>一期大门两侧人员通行系统</t>
  </si>
  <si>
    <t>电梯销售安装合同19-24#</t>
  </si>
  <si>
    <t>新疆华汇建安机械设备有限公司许林（新疆双星建设集团有限责任公司）</t>
  </si>
  <si>
    <t>幼儿园电梯销售安装合同（31#楼）</t>
  </si>
  <si>
    <t>承揽合同（铝合金窗28.29.30）</t>
  </si>
  <si>
    <t>库尔勒坚乐美建筑工程有限责任公司（郑长银）</t>
  </si>
  <si>
    <t>承揽合同（铝合金窗32.33）</t>
  </si>
  <si>
    <t>沁春锦苑19、20、23、24号楼防火防盗门</t>
  </si>
  <si>
    <t>32-34号楼天然气设计费</t>
  </si>
  <si>
    <t>技术合同</t>
  </si>
  <si>
    <t>水土保持方案编制合同</t>
  </si>
  <si>
    <t>新疆和禹源生态工程咨询有限公司</t>
  </si>
  <si>
    <t>测绘合同书1#2#3#35#36#测绘</t>
  </si>
  <si>
    <t>Q-SJ-7</t>
  </si>
  <si>
    <t>11#17#2.3.36#楼设计费</t>
  </si>
  <si>
    <t>新疆益诚开拓空间规划建筑设计研究院有限公司</t>
  </si>
  <si>
    <t>建设工程造价咨询合同</t>
  </si>
  <si>
    <t>库尔勒市鉴衡工程造价咨询工作室（钟燕（652801196909011642）</t>
  </si>
  <si>
    <t>测绘合同书（19#-24#）</t>
  </si>
  <si>
    <t>建设工程勘察合同（1#35#，19-24#楼）19-24#</t>
  </si>
  <si>
    <t>25-34#建设工程设计合同（民用建设工程设计合同）25#-30#、32#-34</t>
  </si>
  <si>
    <t>36#楼审图费、室外装饰（刘建军）审图费</t>
  </si>
  <si>
    <t>巴州建筑工程施工图设计文件审查中心</t>
  </si>
  <si>
    <t>2020/06/1</t>
  </si>
  <si>
    <t>测绘合同书（32#33#34#）</t>
  </si>
  <si>
    <t>测绘合同书（25#-30#）</t>
  </si>
  <si>
    <t>建设工程设计合同（19-24#、1#35#、大门、值班室）</t>
  </si>
  <si>
    <t>幼儿园建设工程设计合同（民用建设工程设计合同）</t>
  </si>
  <si>
    <t>沁春锦苑样板房（20-1-702）装修</t>
  </si>
  <si>
    <t>沁春锦苑20#24#楼门斗装修</t>
  </si>
  <si>
    <t>新疆巴州金辉煌装饰工程有限责任公司（金克）</t>
  </si>
  <si>
    <t>沁春锦苑19#23#楼门斗装修</t>
  </si>
  <si>
    <t>沁春锦苑25#27#29#楼门斗装修</t>
  </si>
  <si>
    <t>沁春锦苑32#33#34#楼外墙装修</t>
  </si>
  <si>
    <t>巴州理想家建筑装饰有限公司（倪）</t>
  </si>
  <si>
    <t>沁春锦苑19#20#23#24#楼吊顶隔墙装修合同</t>
  </si>
  <si>
    <t>极舍定制（样板间）</t>
  </si>
  <si>
    <t>购销合同</t>
  </si>
  <si>
    <t>成华区优砖建材经营部（成华区美尔凯特建材经销部）</t>
  </si>
  <si>
    <t>成华区美尔凯特建材经销部</t>
  </si>
  <si>
    <t>卫浴款</t>
  </si>
  <si>
    <t>装饰装修工程承包合同</t>
  </si>
  <si>
    <t>乌鲁木齐鑫林隆装饰材料有限公司（刘品全）</t>
  </si>
  <si>
    <t>承揽合同（铝合金窗120.24#）</t>
  </si>
  <si>
    <t>19#-24#35#天然气安装工程委托建设管理协议书</t>
  </si>
  <si>
    <t>31#36#楼天然气安装工程</t>
  </si>
  <si>
    <t>35 号楼消防改造及装修设计项目</t>
  </si>
  <si>
    <t>四川中七建筑规划设计有限公司</t>
  </si>
  <si>
    <t>沁春锦苑塑胶跑道及游乐设施采购合同</t>
  </si>
  <si>
    <t>电线电缆（绿）</t>
  </si>
  <si>
    <t>附属亮化设施合同</t>
  </si>
  <si>
    <t>建设工程设计合同（民用建设工程设计合同）</t>
  </si>
  <si>
    <t>河南省人防建筑设计院有限公司新疆分公司</t>
  </si>
  <si>
    <t>其他分摊方法</t>
  </si>
  <si>
    <t>沁春锦苑项目人防门购置18#-21#</t>
  </si>
  <si>
    <t>新疆巨安新粤防护设备有限公司（张照平18167948637）</t>
  </si>
  <si>
    <t>沁春锦苑人防车库防雨棚安装工程</t>
  </si>
  <si>
    <t>沁春锦苑幼儿园大门、亮化、自行车棚工程合同</t>
  </si>
  <si>
    <t>37#楼社区用房</t>
  </si>
  <si>
    <t>新疆正杰建筑集团有限公司（张志勇）</t>
  </si>
  <si>
    <t>沁春锦苑大门铝版合同</t>
  </si>
  <si>
    <t>19#20#23、24楼中间干挂石材</t>
  </si>
  <si>
    <t>沁春锦苑楼19#20#23#24#施工协议</t>
  </si>
  <si>
    <t>新疆正杰建筑集团有限公司（顾永祥）</t>
  </si>
  <si>
    <t>建设工程监理合同</t>
  </si>
  <si>
    <t>巴州智诚工程项目管理服务有限公司（朱金桥）</t>
  </si>
  <si>
    <t>巴州智诚工程项目管理服务有限公司（杜天刚）</t>
  </si>
  <si>
    <t>沁春锦苑一期管网施工合同（19-24、32/33.34)</t>
  </si>
  <si>
    <t>乌鲁木齐大漠林海绿化有限责任公司（蔚晓芳）</t>
  </si>
  <si>
    <t>沁春锦苑一期园林绿化工程（19-24、32/33.34)</t>
  </si>
  <si>
    <t>沁春锦苑一期园林硬质景观施工合同（19-24、32/33.34)</t>
  </si>
  <si>
    <t>一期、二期、三期住宅楼电梯刷卡设备安装改造合同</t>
  </si>
  <si>
    <t>沁春锦苑2#3#36#楼外墙装修合同（36#）</t>
  </si>
  <si>
    <t>新疆通力建设集团股份有限公司（倪）</t>
  </si>
  <si>
    <t>电缆采购合同-公共社区、幼儿园</t>
  </si>
  <si>
    <t xml:space="preserve"> 20#-24#东侧围挡制作</t>
  </si>
  <si>
    <t>巴州方程视广告有限公司（刘亭）</t>
  </si>
  <si>
    <t>场地平整零星工程</t>
  </si>
  <si>
    <t>1#楼天然气安装工程</t>
  </si>
  <si>
    <t>消防通道大门制作安装</t>
  </si>
  <si>
    <t>沁春锦苑升降横移类机械式停车设备销售合同</t>
  </si>
  <si>
    <t>沁春锦苑35#楼东侧停车棚安装合同</t>
  </si>
  <si>
    <t>沁春锦苑地面停车线、道路标线、人防楼梯间环氧树脂工程</t>
  </si>
  <si>
    <t>电缆采购合同-一期</t>
  </si>
  <si>
    <t>电气外网供货安装合同</t>
  </si>
  <si>
    <t>巴州鑫磊机电设备开关有限责任公司、新疆创昊电力建设工程有限公司巴州分公司</t>
  </si>
  <si>
    <t>（石材）材料购销合同</t>
  </si>
  <si>
    <t>和硕县兴隆石材工艺有限责任公司（黄金烁）</t>
  </si>
  <si>
    <t>逸航折叠方采购合同</t>
  </si>
  <si>
    <t>沁春锦苑灯布，门牌，标识牌制作及安装费</t>
  </si>
  <si>
    <t>沁春锦苑小区围挡制作</t>
  </si>
  <si>
    <t>承揽合同</t>
  </si>
  <si>
    <t>一体化预制泵站加工定作合同</t>
  </si>
  <si>
    <t>沁春锦苑20、25-27、29、30#楼7+1露台不锈钢围栏安装合同</t>
  </si>
  <si>
    <t>沁春锦苑19#20#23#24#楼监控系统安装</t>
  </si>
  <si>
    <t>美的智能锁购销合同</t>
  </si>
  <si>
    <t>沁春锦苑35#楼监控系统安装</t>
  </si>
  <si>
    <t>巴州青橄榄电子科技有限公司（党曌）</t>
  </si>
  <si>
    <t>沁春锦苑一期智慧小区设备采购合同</t>
  </si>
  <si>
    <t>沁春景苑喷雾造景采购合同</t>
  </si>
  <si>
    <t>成都锦胜雾森环保科技有限公司</t>
  </si>
  <si>
    <t>专业建设工程设计合同</t>
  </si>
  <si>
    <t>雕塑工程合同</t>
  </si>
  <si>
    <t>沁春锦苑19#20#23#24#楼可视对讲系统安装</t>
  </si>
  <si>
    <t>新疆众泰永盛建设工程有限责任公司</t>
  </si>
  <si>
    <t>沁春锦苑一期、二期电梯监控及五方对讲安装工程合同</t>
  </si>
  <si>
    <t>沁春锦苑一期二批次25#-30#楼楼宇对讲</t>
  </si>
  <si>
    <t>产品定制合同</t>
  </si>
  <si>
    <t>建设工程施工合同12-15#楼38#楼、31#楼幼儿园（幼儿园—）</t>
  </si>
  <si>
    <t>新疆通力建设集团股份有限公司（顾）</t>
  </si>
  <si>
    <t>建设工程施工合同12-15#楼38#楼、31#楼.36#幼儿园（36#楼）</t>
  </si>
  <si>
    <t>沁春锦苑35#楼壁挂炉</t>
  </si>
  <si>
    <t>样板间装修</t>
  </si>
  <si>
    <t>沁春锦苑施工用电线路安装合同</t>
  </si>
  <si>
    <t>规划设计合同书</t>
  </si>
  <si>
    <t>上海联创建筑设计有限公司新疆分公司</t>
  </si>
  <si>
    <t>装修设计合同（35#）</t>
  </si>
  <si>
    <t>沁春锦苑小区一体化污水处理设备购销</t>
  </si>
  <si>
    <t>1#、25-30#、32-35#</t>
  </si>
  <si>
    <t>新疆润海消防设施检测维护有限公司（高兴祯）</t>
  </si>
  <si>
    <t>35#楼配电箱及消防供电安装</t>
  </si>
  <si>
    <t>材料销售合同</t>
  </si>
  <si>
    <t>沁春锦苑大字制作合同</t>
  </si>
  <si>
    <t>沁春锦苑小区景观轴亮化工程合同</t>
  </si>
  <si>
    <t>JC-XF-01</t>
  </si>
  <si>
    <t>二期、三期给排水、消防工程施工合同--大合同</t>
  </si>
  <si>
    <t>江苏中义消防工程有限公司巴州分公司（巩红卫）</t>
  </si>
  <si>
    <t>二期、三期给排水、消防工程施工合同--36#</t>
  </si>
  <si>
    <t>二期、三期给排水、消防工程施工合同-社区用房</t>
  </si>
  <si>
    <t>二期、三期给排水、消防工程施工合同-幼儿园</t>
  </si>
  <si>
    <t>二期、三期给排水、消防工程施工合同-人防</t>
  </si>
  <si>
    <t>电缆（景观雾化使用）</t>
  </si>
  <si>
    <t>新疆云景环保科技有限公司(13999983055)</t>
  </si>
  <si>
    <t>沁春锦苑35#楼一楼装修合同+沙盘底座（27000）</t>
  </si>
  <si>
    <t>新疆星期天装饰工程有限公司（刘建军）</t>
  </si>
  <si>
    <t>沁春锦苑35#楼屋面琉璃瓦工程</t>
  </si>
  <si>
    <t>沁春锦苑室外管网设计</t>
  </si>
  <si>
    <t>库尔勒花锦集商业街美陈</t>
  </si>
  <si>
    <t>沁春锦苑一期、二期、三期三网合一FTTH工程施工合同（绿）</t>
  </si>
  <si>
    <t>新疆鑫宇恒建设工程有限公司（蒋华）</t>
  </si>
  <si>
    <t>土石方、垃圾</t>
  </si>
  <si>
    <t>运输合同</t>
  </si>
  <si>
    <t>沁春锦苑（住宅部分）技术服务合同书</t>
  </si>
  <si>
    <t>手工填写分摊比例</t>
  </si>
  <si>
    <t>沁园春锦BIM咨询服务协议</t>
  </si>
  <si>
    <t>2020/09/1</t>
  </si>
  <si>
    <t>沁园春锦建设用地土壤氡水平检测</t>
  </si>
  <si>
    <t>核工业二一六大队</t>
  </si>
  <si>
    <t>沁春锦苑沁春景苑绿色建筑心机指标申报材料</t>
  </si>
  <si>
    <t>沁春锦苑驻车器</t>
  </si>
  <si>
    <t>沁春锦苑19#楼隔墙装修合同</t>
  </si>
  <si>
    <t>JC-QT-25</t>
  </si>
  <si>
    <t>沁春锦苑地下车库标识牌、快速门采购及安装工程</t>
  </si>
  <si>
    <t>沁春锦苑25#-30#号楼防火防盗门</t>
  </si>
  <si>
    <t>32#-34#天然气安装工程委托建设管理协议书</t>
  </si>
  <si>
    <t>25-30#天然气安装工程委托建设管理协议书</t>
  </si>
  <si>
    <t>（1#32#33#34#室内消防）</t>
  </si>
  <si>
    <t>新疆中洲建设工程有限责任公司（巩红卫）</t>
  </si>
  <si>
    <t>沁春锦苑临时用电及高压开闭所迁移改造合同</t>
  </si>
  <si>
    <t>新疆拓宇电力建设工程有限公司（何永权）</t>
  </si>
  <si>
    <t>沁春锦苑19#-30#楼栋牌、单元牌、楼层牌、户室牌制作安装合同</t>
  </si>
  <si>
    <t>沁春锦苑1#32#33#34#35#、大门亮化工程合同</t>
  </si>
  <si>
    <t>沁春锦苑一期二批次景观绿化（25-30#）+提升附属合同</t>
  </si>
  <si>
    <t>25-30#楼进户门智能锁购销安装合同</t>
  </si>
  <si>
    <t>25#-30#楼后花园围栏制作</t>
  </si>
  <si>
    <t>Q-CH-6</t>
  </si>
  <si>
    <t>测绘合同书地下人防车库测绘</t>
  </si>
  <si>
    <t>装修购木楼梯（样板间）</t>
  </si>
  <si>
    <t>库尔勒市杜鹃路施工合同</t>
  </si>
  <si>
    <t>张强（652829198305200755）</t>
  </si>
  <si>
    <t>机械租赁费（挖掘机）</t>
  </si>
  <si>
    <t>租赁合同</t>
  </si>
  <si>
    <t>1#19#20#-34#35#)室外-1#.32-35#</t>
  </si>
  <si>
    <t>1#19#20#-34#35#)室外</t>
  </si>
  <si>
    <t>12-15、18-22#、38#建设工程设计合同（民用建设工程设计合同）-37#楼</t>
  </si>
  <si>
    <t>沁春锦苑三期人防工程审图费</t>
  </si>
  <si>
    <t>新疆新城建工程设计审查有限公司</t>
  </si>
  <si>
    <t>4-11、16、17#楼31#楼景观绿化（幼儿园）</t>
  </si>
  <si>
    <t>新疆通力建设集团股份有限公司（蔚晓芳）</t>
  </si>
  <si>
    <t>沁春锦苑1#35#、大门楼施工协议（大门#）</t>
  </si>
  <si>
    <t>沁春锦苑1#35#楼大门外墙装修合同</t>
  </si>
  <si>
    <t>新疆通力建设集团股份有限公司（刘建军）</t>
  </si>
  <si>
    <t>沁春锦苑18#、21#、22#楼、37#社区、地下车库及人防部分建设工程（37#社区）</t>
  </si>
  <si>
    <t>新疆通力建设集团股份有限公司（高）</t>
  </si>
  <si>
    <t>沁春锦苑18#、21#、22#楼、37#社区、地下车库及人防部分建设工程（地下人防）</t>
  </si>
  <si>
    <t>沁春锦苑4-11#16#17#楼31#楼园林景观、道路及停车位、铺装、景观照明工程</t>
  </si>
  <si>
    <t>新疆通力建设集团股份有限公司（杜奇志）</t>
  </si>
  <si>
    <t>沁春锦苑中水处理土建、挡墙、警卫室‘铺装工程</t>
  </si>
  <si>
    <t>新疆通力建设集团股份有限公司（曾建国）</t>
  </si>
  <si>
    <t>35#楼竣工测</t>
  </si>
  <si>
    <t>32-34#楼竣工测</t>
  </si>
  <si>
    <t>2#3#36#楼竣工测</t>
  </si>
  <si>
    <t>31#楼竣工测</t>
  </si>
  <si>
    <t>19#20#23#24#竣工测量</t>
  </si>
  <si>
    <t>新疆天拓空间信息测绘有限公司</t>
  </si>
  <si>
    <t>37#楼竣工测</t>
  </si>
  <si>
    <t>钢槽等</t>
  </si>
  <si>
    <t>电气外网供货安装合同（4#-17#31#-36#、12#-38#）36#</t>
  </si>
  <si>
    <t>沁春锦苑人防车库移动电站设备采购安装工程安装合同</t>
  </si>
  <si>
    <t>新疆申光建设工程项目管理有限公司巴州分公司</t>
  </si>
  <si>
    <t>37#天然气安装工程</t>
  </si>
  <si>
    <t>35#1#警卫室、消防控制室空气检测（刘品全、孟凡勇、刘建军）</t>
  </si>
  <si>
    <t>新疆梨城新创检测服务有限公司</t>
  </si>
  <si>
    <t>25#26#27#34#断桥铝合金窗工程-34#楼</t>
  </si>
  <si>
    <t>供水管道安装（自来水接口）</t>
  </si>
  <si>
    <t>装修设计合同</t>
  </si>
  <si>
    <t>沁春锦苑35#楼防火玻璃制作及安装</t>
  </si>
  <si>
    <t>新疆消防工程施工合同</t>
  </si>
  <si>
    <t>乌鲁木齐久安消防有限公司巴州分公司</t>
  </si>
  <si>
    <t>沁春景苑人防室外线缆采购合同</t>
  </si>
  <si>
    <t>沁园春景机械师停车位基础设计合同</t>
  </si>
  <si>
    <t>35#楼软装</t>
  </si>
  <si>
    <t>PE管300*117米、110*1434米、闸阀110*1个</t>
  </si>
  <si>
    <t>新增产品合同</t>
  </si>
  <si>
    <t>路林林（土方拉运）</t>
  </si>
  <si>
    <t>土方拉运</t>
  </si>
  <si>
    <t>机械租赁费</t>
  </si>
  <si>
    <t>库尔勒忠华建筑工程机械设备租赁部</t>
  </si>
  <si>
    <t>彩钢板购销及安装合同</t>
  </si>
  <si>
    <t>库尔勒徐保中彩钢厂</t>
  </si>
  <si>
    <t>25-29号楼红、蓝线图</t>
  </si>
  <si>
    <t>一期景观混凝土</t>
  </si>
  <si>
    <t>购PVC管等、井盖</t>
  </si>
  <si>
    <t>沁春锦苑2#楼临时路口封闭</t>
  </si>
  <si>
    <t>库尔勒疆里广告设计室</t>
  </si>
  <si>
    <t>空调设备安装</t>
  </si>
  <si>
    <t>沁春锦苑4#6#8#11#16#31#、36#楼铝合金门窗-幼儿园</t>
  </si>
  <si>
    <t>JZ-MC-06-01-1</t>
  </si>
  <si>
    <t>沁春锦苑大门钢结构工程</t>
  </si>
  <si>
    <t>沁春锦苑小区景观廊架工程</t>
  </si>
  <si>
    <t>电 缆线</t>
  </si>
  <si>
    <t>购双面胶等</t>
  </si>
  <si>
    <t>沁春锦苑塑木条</t>
  </si>
  <si>
    <t>沁春锦苑35#中央空调</t>
  </si>
  <si>
    <t>库尔勒爱德利电器经销部</t>
  </si>
  <si>
    <t>镀锌矩管</t>
  </si>
  <si>
    <t>金牛区鑫欣弘建材经销部</t>
  </si>
  <si>
    <t>何银昌（土方拉运）</t>
  </si>
  <si>
    <t>定制柜体</t>
  </si>
  <si>
    <t>材料款-美缝施工</t>
  </si>
  <si>
    <t>巴州智诚工程项目管理服务有限公司</t>
  </si>
  <si>
    <t>沁春锦苑绿色建筑环评噪音监测费</t>
  </si>
  <si>
    <t>巴州永诚环境检测技术服务有限公司</t>
  </si>
  <si>
    <t>沁春锦苑二期施工临时用电线路安装合同</t>
  </si>
  <si>
    <t>JC-GD-03-8</t>
  </si>
  <si>
    <t>电气外网供货安装合同（4#-17#31#-36#、12#-38#）3#</t>
  </si>
  <si>
    <t>巴州鑫磊机电设备开关有限责任公司（张国宏）</t>
  </si>
  <si>
    <t>一期铁皮围栏工程</t>
  </si>
  <si>
    <t>沁春锦苑35#楼楼顶灯管更换合同</t>
  </si>
  <si>
    <t>巴州水木堂建筑装饰有限公司（倪）</t>
  </si>
  <si>
    <t>土石方外运</t>
  </si>
  <si>
    <t>沁春锦苑26#28#30#楼门斗装修</t>
  </si>
  <si>
    <t>沁春锦苑路岩石</t>
  </si>
  <si>
    <t>钢塑管</t>
  </si>
  <si>
    <t>巴州锦林家政服务有限责任公司</t>
  </si>
  <si>
    <t>19#20#23#24#、25-30#、1#、大门审图费</t>
  </si>
  <si>
    <t>沁春锦苑幼儿园审图费</t>
  </si>
  <si>
    <t>一期消防工程</t>
  </si>
  <si>
    <t>巴州建邦建筑工程有限公司</t>
  </si>
  <si>
    <t>建设工程勘察合同（32#33#34#、25#-30#）</t>
  </si>
  <si>
    <t>建设工程勘察合同（32#33#34#）</t>
  </si>
  <si>
    <t>35#楼电缆维修</t>
  </si>
  <si>
    <t>巴州胡锦诚林商贸有限公司</t>
  </si>
  <si>
    <t>12#-15#38#、18#21#后花园围栏制作安装、31#楼防盗窗安装-幼儿园</t>
  </si>
  <si>
    <t>沁春锦苑19#20#23#24#楼后花园围栏制作</t>
  </si>
  <si>
    <t>沁春锦苑25-30#楼门斗装修补充工程施工合同</t>
  </si>
  <si>
    <t>巴州冠弘建筑装饰有限公司（倪大伟）</t>
  </si>
  <si>
    <t>沁春锦苑施工围挡安装</t>
  </si>
  <si>
    <t>沁春锦苑亮化及商业新增亮化</t>
  </si>
  <si>
    <t>沁春锦苑小区灭蚊灯（40个）</t>
  </si>
  <si>
    <t>沁春锦苑小区商业新增亮化工程</t>
  </si>
  <si>
    <t>JC-LH-08</t>
  </si>
  <si>
    <t>沁春锦苑小区亮化工程</t>
  </si>
  <si>
    <t>建设工程设计合同（专业建设工程）</t>
  </si>
  <si>
    <t>地名数字门牌制作合同</t>
  </si>
  <si>
    <t>地名数字门牌制作合同-住宅</t>
  </si>
  <si>
    <t>37#社区用房壁挂炉</t>
  </si>
  <si>
    <t>巴州建新公路维护有限公司</t>
  </si>
  <si>
    <t>产权转移书据</t>
  </si>
  <si>
    <t>1#楼改造施工协议</t>
  </si>
  <si>
    <t>沁春锦苑1#商业楼改造工程，为固定总价合同。不含税价为108910.89元，税款暂定为1089.11元。</t>
  </si>
  <si>
    <t>无合同直接填列-02</t>
  </si>
  <si>
    <t>无合同-16</t>
  </si>
  <si>
    <t>JZ-MC-06-02</t>
  </si>
  <si>
    <t>JC-Q-5-02</t>
  </si>
  <si>
    <t>JC-GD-03-9</t>
  </si>
  <si>
    <t>JC-XF-01-06</t>
  </si>
  <si>
    <t>楼号</t>
  </si>
  <si>
    <t>核算项目</t>
  </si>
  <si>
    <t>商铺套数</t>
  </si>
  <si>
    <t>住宅户数</t>
  </si>
  <si>
    <t>地下室户数</t>
  </si>
  <si>
    <t>住宅面积</t>
  </si>
  <si>
    <t>地下室面积</t>
  </si>
  <si>
    <t>商铺面积</t>
  </si>
  <si>
    <t>测绘总面积</t>
  </si>
  <si>
    <t>差额</t>
  </si>
  <si>
    <t>差异原因</t>
  </si>
  <si>
    <t>公共配套面积</t>
  </si>
  <si>
    <t>不予清算面积</t>
  </si>
  <si>
    <t>全小区分摊比例</t>
  </si>
  <si>
    <t>住宅之间分摊比例</t>
  </si>
  <si>
    <t>土地的分摊比例</t>
  </si>
  <si>
    <t>19#</t>
  </si>
  <si>
    <t>沁园春锦一期</t>
  </si>
  <si>
    <t>比例</t>
  </si>
  <si>
    <t>20#</t>
  </si>
  <si>
    <t>一期占地面积</t>
  </si>
  <si>
    <t>23#</t>
  </si>
  <si>
    <t>二期占地面积</t>
  </si>
  <si>
    <t>24#</t>
  </si>
  <si>
    <t>三期占地面积</t>
  </si>
  <si>
    <t>25#</t>
  </si>
  <si>
    <t>沁园春锦二期</t>
  </si>
  <si>
    <t>26#</t>
  </si>
  <si>
    <t>玫瑰二期</t>
  </si>
  <si>
    <t>27#</t>
  </si>
  <si>
    <t>玫瑰三期</t>
  </si>
  <si>
    <t>28#</t>
  </si>
  <si>
    <t>顶楼水箱</t>
  </si>
  <si>
    <t>玫瑰庄园应分摊拆迁安置</t>
  </si>
  <si>
    <t>29#</t>
  </si>
  <si>
    <t>30#</t>
  </si>
  <si>
    <t>一期住宅小计</t>
  </si>
  <si>
    <t>32#</t>
  </si>
  <si>
    <t>警卫室（保安室）</t>
  </si>
  <si>
    <t>27.14的警卫室，标注是公告区域</t>
  </si>
  <si>
    <t>33#</t>
  </si>
  <si>
    <t>2层</t>
  </si>
  <si>
    <t>34#</t>
  </si>
  <si>
    <t>35#</t>
  </si>
  <si>
    <t>人防车库的分摊比例（其他分摊方法）</t>
  </si>
  <si>
    <t>1#</t>
  </si>
  <si>
    <t>配建面积</t>
  </si>
  <si>
    <t>分摊比例</t>
  </si>
  <si>
    <t>一期商业小计</t>
  </si>
  <si>
    <t>36#</t>
  </si>
  <si>
    <t>沁园春锦三期</t>
  </si>
  <si>
    <t>2#</t>
  </si>
  <si>
    <t>3#</t>
  </si>
  <si>
    <t>消防控制室</t>
  </si>
  <si>
    <t>38.8，消防控制室</t>
  </si>
  <si>
    <t>二期商业小计</t>
  </si>
  <si>
    <t>.</t>
  </si>
  <si>
    <t>一期小计</t>
  </si>
  <si>
    <t>4#</t>
  </si>
  <si>
    <t>5#</t>
  </si>
  <si>
    <t>6#</t>
  </si>
  <si>
    <t>7#</t>
  </si>
  <si>
    <t>8#</t>
  </si>
  <si>
    <t>9#</t>
  </si>
  <si>
    <t>10#</t>
  </si>
  <si>
    <t>11#</t>
  </si>
  <si>
    <t>16#</t>
  </si>
  <si>
    <t>17#</t>
  </si>
  <si>
    <t>二期住宅小计</t>
  </si>
  <si>
    <t>31#</t>
  </si>
  <si>
    <t>沁园春锦四期</t>
  </si>
  <si>
    <t>幼儿园-确认无单位接受</t>
  </si>
  <si>
    <t>37#</t>
  </si>
  <si>
    <t>沁园春锦五期</t>
  </si>
  <si>
    <t>社区用房，移交已办理</t>
  </si>
  <si>
    <t>人防部分</t>
  </si>
  <si>
    <t>人防验收合同已取得</t>
  </si>
  <si>
    <t>二期小计</t>
  </si>
  <si>
    <t>公共配套小计</t>
  </si>
  <si>
    <t>13#</t>
  </si>
  <si>
    <t>12#</t>
  </si>
  <si>
    <t>14#</t>
  </si>
  <si>
    <t>15#</t>
  </si>
  <si>
    <t>18#</t>
  </si>
  <si>
    <t>38#</t>
  </si>
  <si>
    <t>21#</t>
  </si>
  <si>
    <t>顶部公共水箱</t>
  </si>
  <si>
    <t>顶楼水箱公共区</t>
  </si>
  <si>
    <t>22#</t>
  </si>
  <si>
    <t>三期小计</t>
  </si>
  <si>
    <t>可售小计</t>
  </si>
  <si>
    <t>社区用房</t>
  </si>
  <si>
    <t xml:space="preserve"> </t>
  </si>
  <si>
    <r>
      <rPr>
        <sz val="16"/>
        <rFont val="方正小标宋简体"/>
        <charset val="134"/>
      </rPr>
      <t>T30000</t>
    </r>
    <r>
      <rPr>
        <sz val="16"/>
        <rFont val="Microsoft YaHei UI"/>
        <charset val="134"/>
      </rPr>
      <t>工程造价采集表</t>
    </r>
  </si>
  <si>
    <t>清算项目造价信息</t>
  </si>
  <si>
    <t>数据来源</t>
  </si>
  <si>
    <t>分类</t>
  </si>
  <si>
    <t>拓展字段1</t>
  </si>
  <si>
    <t>拓展字段2</t>
  </si>
  <si>
    <t>拓展字段3</t>
  </si>
  <si>
    <t>拓展字段4</t>
  </si>
  <si>
    <t>拓展字段5</t>
  </si>
  <si>
    <t>拓展字段6</t>
  </si>
  <si>
    <t>拓展字段7</t>
  </si>
  <si>
    <t>拓展字段8</t>
  </si>
  <si>
    <t>拓展字段9</t>
  </si>
  <si>
    <t>拓展字段10</t>
  </si>
  <si>
    <t>拓展字段11</t>
  </si>
  <si>
    <t>填报数据</t>
  </si>
  <si>
    <t>单位</t>
  </si>
  <si>
    <t>㎡</t>
  </si>
  <si>
    <t>数量</t>
  </si>
  <si>
    <t>本项目扣除金额</t>
  </si>
  <si>
    <t>单位扣除金额</t>
  </si>
  <si>
    <t>主体建筑基础造价信息</t>
  </si>
  <si>
    <t>楼栋类型</t>
  </si>
  <si>
    <t>房屋结构</t>
  </si>
  <si>
    <t>地质结构</t>
  </si>
  <si>
    <t>桩基类型</t>
  </si>
  <si>
    <t>交付标准</t>
  </si>
  <si>
    <t>外立面类型</t>
  </si>
  <si>
    <t>地上层数</t>
  </si>
  <si>
    <t>地下层数</t>
  </si>
  <si>
    <t>地上建筑面积</t>
  </si>
  <si>
    <t>地下建筑面积</t>
  </si>
  <si>
    <t>其中：人防设施面积</t>
  </si>
  <si>
    <t>总建筑面积</t>
  </si>
  <si>
    <t>地上总层高（m)</t>
  </si>
  <si>
    <t>开工日期</t>
  </si>
  <si>
    <t>竣工日期</t>
  </si>
  <si>
    <t>-1层</t>
  </si>
  <si>
    <t>-2层</t>
  </si>
  <si>
    <t>-3层及以下</t>
  </si>
  <si>
    <t>取得土地使用权所支付的金额</t>
  </si>
  <si>
    <t>房地产开发费用</t>
  </si>
  <si>
    <t>凭据类型</t>
  </si>
  <si>
    <t>二分法</t>
  </si>
  <si>
    <t>费用计算扣除方法</t>
  </si>
  <si>
    <t>支付的土地出让金额</t>
  </si>
  <si>
    <t>土地征用费用</t>
  </si>
  <si>
    <t>桩基础工程费用</t>
  </si>
  <si>
    <t>利息支出</t>
  </si>
  <si>
    <t>占地面积法</t>
  </si>
  <si>
    <t>砖混</t>
  </si>
  <si>
    <t>均质地质</t>
  </si>
  <si>
    <t>天然基础</t>
  </si>
  <si>
    <t>精装交付</t>
  </si>
  <si>
    <t>标准外立面</t>
  </si>
  <si>
    <t>支付的地价款金额</t>
  </si>
  <si>
    <t>耕地占用税</t>
  </si>
  <si>
    <t>职工福利费</t>
  </si>
  <si>
    <t>总建筑面积法</t>
  </si>
  <si>
    <t>不可加计</t>
  </si>
  <si>
    <t>商业楼</t>
  </si>
  <si>
    <t>框架</t>
  </si>
  <si>
    <t>淤泥地质</t>
  </si>
  <si>
    <t>预制管桩</t>
  </si>
  <si>
    <t>简装交付</t>
  </si>
  <si>
    <t>玻璃幕墙</t>
  </si>
  <si>
    <t>其他合理方法</t>
  </si>
  <si>
    <t>可售建筑面积法（二分法）</t>
  </si>
  <si>
    <t>人工填写</t>
  </si>
  <si>
    <t>测绘总建筑面积法</t>
  </si>
  <si>
    <t>交纳的有关税费</t>
  </si>
  <si>
    <t>劳动力安置费</t>
  </si>
  <si>
    <t>项目可行性研究费用</t>
  </si>
  <si>
    <t>会所费用</t>
  </si>
  <si>
    <t>折旧费</t>
  </si>
  <si>
    <t>商业裙楼</t>
  </si>
  <si>
    <t>框架剪力墙</t>
  </si>
  <si>
    <t>岩溶地质</t>
  </si>
  <si>
    <t>旋挖桩</t>
  </si>
  <si>
    <t>毛坯交付</t>
  </si>
  <si>
    <t>干挂石材</t>
  </si>
  <si>
    <t>安置动迁用房支出</t>
  </si>
  <si>
    <t>非机动车库（场）费用</t>
  </si>
  <si>
    <t>修理费</t>
  </si>
  <si>
    <t>营业税发票</t>
  </si>
  <si>
    <t>计容建筑面积法</t>
  </si>
  <si>
    <t>独栋别墅</t>
  </si>
  <si>
    <t>钢混</t>
  </si>
  <si>
    <t>其他地质</t>
  </si>
  <si>
    <t>钻（冲）孔桩</t>
  </si>
  <si>
    <t>其他外立面</t>
  </si>
  <si>
    <t>地质费用</t>
  </si>
  <si>
    <t>办公费</t>
  </si>
  <si>
    <t>层高系数法</t>
  </si>
  <si>
    <t>联排别墅</t>
  </si>
  <si>
    <t>全钢</t>
  </si>
  <si>
    <t>其他类型桩基</t>
  </si>
  <si>
    <t>其他土地征用及拆迁补偿费</t>
  </si>
  <si>
    <t>排洪工程支出</t>
  </si>
  <si>
    <t>物业管理场所费用</t>
  </si>
  <si>
    <t>配套设施</t>
  </si>
  <si>
    <t>预制装配</t>
  </si>
  <si>
    <t>居委会用房</t>
  </si>
  <si>
    <t>变电站费用</t>
  </si>
  <si>
    <t>劳动保护费</t>
  </si>
  <si>
    <t>未取得凭据</t>
  </si>
  <si>
    <t>借款合同</t>
  </si>
  <si>
    <t>其他类型楼栋</t>
  </si>
  <si>
    <t>派出所用房</t>
  </si>
  <si>
    <t>热力站费用</t>
  </si>
  <si>
    <t>周转房摊销费</t>
  </si>
  <si>
    <t>融资租赁合同</t>
  </si>
  <si>
    <t>会所</t>
  </si>
  <si>
    <t>水厂费用</t>
  </si>
  <si>
    <t>非机动车库（场）</t>
  </si>
  <si>
    <t>文体场馆费用</t>
  </si>
  <si>
    <t>保管合同</t>
  </si>
  <si>
    <t>地下人防设施</t>
  </si>
  <si>
    <t>学校费用</t>
  </si>
  <si>
    <t>仓储合同</t>
  </si>
  <si>
    <t>物业管理场所</t>
  </si>
  <si>
    <t>财产保险合同</t>
  </si>
  <si>
    <t>变电站</t>
  </si>
  <si>
    <t>托儿所费用</t>
  </si>
  <si>
    <t>热力站</t>
  </si>
  <si>
    <t>医院费用</t>
  </si>
  <si>
    <t>水厂</t>
  </si>
  <si>
    <t>邮电通讯费用</t>
  </si>
  <si>
    <t>文体场馆</t>
  </si>
  <si>
    <t>学校</t>
  </si>
  <si>
    <t>托儿所</t>
  </si>
  <si>
    <t>医院</t>
  </si>
  <si>
    <t>邮电通讯</t>
  </si>
</sst>
</file>

<file path=xl/styles.xml><?xml version="1.0" encoding="utf-8"?>
<styleSheet xmlns="http://schemas.openxmlformats.org/spreadsheetml/2006/main" xmlns:mc="http://schemas.openxmlformats.org/markup-compatibility/2006" xmlns:xr9="http://schemas.microsoft.com/office/spreadsheetml/2016/revision9" mc:Ignorable="xr9">
  <numFmts count="1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Red]\(0.00\)"/>
    <numFmt numFmtId="178" formatCode="_ * #,##0_ ;_ * \-#,##0_ ;_ * &quot;-&quot;??_ ;_ @_ "/>
    <numFmt numFmtId="179" formatCode="#,##0.00_ "/>
    <numFmt numFmtId="180" formatCode="0.000%"/>
    <numFmt numFmtId="181" formatCode="#,##0_);[Red]\(#,##0\)"/>
    <numFmt numFmtId="182" formatCode="0.00_ "/>
    <numFmt numFmtId="183" formatCode="##\-#\-###"/>
    <numFmt numFmtId="184" formatCode="yyyy\-mm\-dd"/>
    <numFmt numFmtId="185" formatCode="0.0000%"/>
    <numFmt numFmtId="186" formatCode="0.000000%"/>
  </numFmts>
  <fonts count="85">
    <font>
      <sz val="14"/>
      <color theme="1"/>
      <name val="宋体"/>
      <charset val="134"/>
    </font>
    <font>
      <sz val="10"/>
      <name val="宋体"/>
      <charset val="134"/>
      <scheme val="minor"/>
    </font>
    <font>
      <sz val="10"/>
      <color rgb="FF7030A0"/>
      <name val="宋体"/>
      <charset val="134"/>
      <scheme val="minor"/>
    </font>
    <font>
      <b/>
      <sz val="10"/>
      <name val="宋体"/>
      <charset val="134"/>
      <scheme val="minor"/>
    </font>
    <font>
      <sz val="10"/>
      <color theme="1"/>
      <name val="宋体"/>
      <charset val="134"/>
      <scheme val="minor"/>
    </font>
    <font>
      <sz val="10"/>
      <name val="宋体"/>
      <charset val="134"/>
    </font>
    <font>
      <b/>
      <sz val="10"/>
      <name val="宋体"/>
      <charset val="134"/>
    </font>
    <font>
      <b/>
      <sz val="12"/>
      <name val="宋体"/>
      <charset val="134"/>
    </font>
    <font>
      <sz val="12"/>
      <name val="宋体"/>
      <charset val="134"/>
    </font>
    <font>
      <sz val="16"/>
      <name val="方正小标宋简体"/>
      <charset val="134"/>
    </font>
    <font>
      <b/>
      <sz val="10"/>
      <color theme="1"/>
      <name val="宋体"/>
      <charset val="134"/>
      <scheme val="minor"/>
    </font>
    <font>
      <sz val="10"/>
      <color rgb="FFFF0000"/>
      <name val="宋体"/>
      <charset val="134"/>
      <scheme val="minor"/>
    </font>
    <font>
      <sz val="11"/>
      <name val="宋体"/>
      <charset val="134"/>
    </font>
    <font>
      <sz val="16"/>
      <color rgb="FF000000"/>
      <name val="方正小标宋简体"/>
      <charset val="134"/>
    </font>
    <font>
      <sz val="11"/>
      <color rgb="FF000000"/>
      <name val="Times New Roman"/>
      <charset val="134"/>
    </font>
    <font>
      <b/>
      <sz val="11"/>
      <name val="宋体"/>
      <charset val="134"/>
    </font>
    <font>
      <sz val="10"/>
      <color indexed="8"/>
      <name val="宋体"/>
      <charset val="134"/>
    </font>
    <font>
      <sz val="8"/>
      <name val="宋体"/>
      <charset val="134"/>
    </font>
    <font>
      <b/>
      <sz val="11"/>
      <color rgb="FF000000"/>
      <name val="宋体-简"/>
      <charset val="134"/>
    </font>
    <font>
      <sz val="11"/>
      <name val="宋体"/>
      <charset val="134"/>
      <scheme val="minor"/>
    </font>
    <font>
      <b/>
      <sz val="10"/>
      <color theme="1"/>
      <name val="宋体"/>
      <charset val="134"/>
    </font>
    <font>
      <b/>
      <sz val="10"/>
      <color rgb="FF000000"/>
      <name val="宋体"/>
      <charset val="134"/>
    </font>
    <font>
      <sz val="11"/>
      <color indexed="8"/>
      <name val="宋体"/>
      <charset val="134"/>
      <scheme val="minor"/>
    </font>
    <font>
      <sz val="10"/>
      <color theme="1"/>
      <name val="宋体"/>
      <charset val="134"/>
    </font>
    <font>
      <sz val="9"/>
      <color theme="1"/>
      <name val="宋体"/>
      <charset val="134"/>
      <scheme val="minor"/>
    </font>
    <font>
      <sz val="11"/>
      <color rgb="FF000000"/>
      <name val="宋体"/>
      <charset val="134"/>
      <scheme val="minor"/>
    </font>
    <font>
      <sz val="11"/>
      <color rgb="FF000000"/>
      <name val="宋体"/>
      <charset val="134"/>
    </font>
    <font>
      <sz val="11"/>
      <color theme="1"/>
      <name val="宋体"/>
      <charset val="134"/>
      <scheme val="minor"/>
    </font>
    <font>
      <sz val="9"/>
      <color rgb="FF000000"/>
      <name val="宋体"/>
      <charset val="134"/>
    </font>
    <font>
      <sz val="9"/>
      <color rgb="FF000000"/>
      <name val="宋体"/>
      <charset val="134"/>
      <scheme val="minor"/>
    </font>
    <font>
      <sz val="11"/>
      <name val="Times New Roman"/>
      <charset val="134"/>
    </font>
    <font>
      <b/>
      <sz val="9"/>
      <name val="宋体"/>
      <charset val="134"/>
    </font>
    <font>
      <sz val="14"/>
      <name val="方正小标宋简体"/>
      <charset val="134"/>
    </font>
    <font>
      <sz val="12"/>
      <color theme="1"/>
      <name val="宋体"/>
      <charset val="134"/>
      <scheme val="minor"/>
    </font>
    <font>
      <sz val="10"/>
      <color theme="4"/>
      <name val="宋体"/>
      <charset val="134"/>
    </font>
    <font>
      <sz val="12"/>
      <color theme="1"/>
      <name val="宋体"/>
      <charset val="134"/>
    </font>
    <font>
      <sz val="10"/>
      <color rgb="FF000000"/>
      <name val="宋体"/>
      <charset val="134"/>
    </font>
    <font>
      <sz val="12"/>
      <color rgb="FF000000"/>
      <name val="宋体"/>
      <charset val="134"/>
    </font>
    <font>
      <b/>
      <sz val="11"/>
      <color rgb="FF000000"/>
      <name val="Times New Roman"/>
      <charset val="134"/>
    </font>
    <font>
      <sz val="16"/>
      <color indexed="8"/>
      <name val="方正小标宋简体"/>
      <charset val="134"/>
    </font>
    <font>
      <b/>
      <sz val="10"/>
      <color indexed="8"/>
      <name val="宋体"/>
      <charset val="134"/>
    </font>
    <font>
      <b/>
      <sz val="11"/>
      <color indexed="8"/>
      <name val="宋体"/>
      <charset val="134"/>
    </font>
    <font>
      <b/>
      <sz val="12"/>
      <name val="Times New Roman"/>
      <charset val="134"/>
    </font>
    <font>
      <sz val="12"/>
      <color rgb="FFFF0000"/>
      <name val="宋体"/>
      <charset val="134"/>
    </font>
    <font>
      <sz val="20"/>
      <name val="方正小标宋简体"/>
      <charset val="134"/>
    </font>
    <font>
      <sz val="14"/>
      <name val="宋体"/>
      <charset val="134"/>
    </font>
    <font>
      <sz val="14"/>
      <color indexed="8"/>
      <name val="宋体"/>
      <charset val="134"/>
    </font>
    <font>
      <b/>
      <sz val="14"/>
      <color indexed="8"/>
      <name val="宋体"/>
      <charset val="134"/>
    </font>
    <font>
      <sz val="14"/>
      <color rgb="FF232323"/>
      <name val="宋体"/>
      <charset val="134"/>
    </font>
    <font>
      <b/>
      <sz val="12"/>
      <color theme="1"/>
      <name val="宋体"/>
      <charset val="134"/>
    </font>
    <font>
      <sz val="26"/>
      <color theme="1"/>
      <name val="方正小标宋简体"/>
      <charset val="134"/>
    </font>
    <font>
      <sz val="20"/>
      <color theme="1"/>
      <name val="宋体"/>
      <charset val="134"/>
    </font>
    <font>
      <b/>
      <sz val="14"/>
      <color theme="1"/>
      <name val="宋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6"/>
      <name val="Microsoft YaHei UI"/>
      <charset val="134"/>
    </font>
    <font>
      <sz val="26"/>
      <color theme="1"/>
      <name val="微软雅黑"/>
      <charset val="134"/>
    </font>
    <font>
      <sz val="16"/>
      <name val="微软雅黑"/>
      <charset val="134"/>
    </font>
    <font>
      <sz val="16"/>
      <color rgb="FF000000"/>
      <name val="微软雅黑"/>
      <charset val="134"/>
    </font>
    <font>
      <sz val="16"/>
      <color rgb="FF000000"/>
      <name val="宋体"/>
      <charset val="134"/>
    </font>
    <font>
      <sz val="16"/>
      <color rgb="FF000000"/>
      <name val="Calibri"/>
      <charset val="134"/>
    </font>
    <font>
      <sz val="14"/>
      <color theme="1"/>
      <name val="Times New Roman"/>
      <charset val="134"/>
    </font>
    <font>
      <sz val="14"/>
      <name val="微软雅黑"/>
      <charset val="134"/>
    </font>
    <font>
      <sz val="20"/>
      <name val="微软雅黑"/>
      <charset val="134"/>
    </font>
    <font>
      <b/>
      <sz val="9"/>
      <name val="宋体"/>
      <charset val="134"/>
    </font>
    <font>
      <sz val="9"/>
      <name val="宋体"/>
      <charset val="134"/>
    </font>
  </fonts>
  <fills count="42">
    <fill>
      <patternFill patternType="none"/>
    </fill>
    <fill>
      <patternFill patternType="gray125"/>
    </fill>
    <fill>
      <patternFill patternType="solid">
        <fgColor theme="0" tint="-0.149937437055574"/>
        <bgColor indexed="64"/>
      </patternFill>
    </fill>
    <fill>
      <patternFill patternType="solid">
        <fgColor theme="0" tint="-0.149906918546098"/>
        <bgColor indexed="64"/>
      </patternFill>
    </fill>
    <fill>
      <patternFill patternType="solid">
        <fgColor theme="0"/>
        <bgColor indexed="64"/>
      </patternFill>
    </fill>
    <fill>
      <patternFill patternType="solid">
        <fgColor theme="0" tint="-0.14996795556505"/>
        <bgColor indexed="64"/>
      </patternFill>
    </fill>
    <fill>
      <patternFill patternType="solid">
        <fgColor theme="2" tint="-0.249977111117893"/>
        <bgColor indexed="64"/>
      </patternFill>
    </fill>
    <fill>
      <patternFill patternType="solid">
        <fgColor rgb="FFFFFF00"/>
        <bgColor indexed="64"/>
      </patternFill>
    </fill>
    <fill>
      <patternFill patternType="solid">
        <fgColor rgb="FF00B0F0"/>
        <bgColor indexed="64"/>
      </patternFill>
    </fill>
    <fill>
      <patternFill patternType="solid">
        <fgColor theme="0" tint="-0.249977111117893"/>
        <bgColor indexed="64"/>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diagonalUp="1">
      <left style="thin">
        <color auto="1"/>
      </left>
      <right style="thin">
        <color auto="1"/>
      </right>
      <top style="thin">
        <color auto="1"/>
      </top>
      <bottom style="thin">
        <color auto="1"/>
      </bottom>
      <diagonal style="thin">
        <color auto="1"/>
      </diagonal>
    </border>
    <border>
      <left style="medium">
        <color rgb="FF000000"/>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5">
    <xf numFmtId="0" fontId="0" fillId="0" borderId="0">
      <alignment vertical="center"/>
    </xf>
    <xf numFmtId="43" fontId="8" fillId="0" borderId="0" applyFont="0" applyFill="0" applyBorder="0" applyAlignment="0" applyProtection="0">
      <alignment vertical="center"/>
    </xf>
    <xf numFmtId="44" fontId="27" fillId="0" borderId="0" applyFont="0" applyFill="0" applyBorder="0" applyAlignment="0" applyProtection="0">
      <alignment vertical="center"/>
    </xf>
    <xf numFmtId="9" fontId="8"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27" fillId="11" borderId="11" applyNumberFormat="0" applyFont="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12" applyNumberFormat="0" applyFill="0" applyAlignment="0" applyProtection="0">
      <alignment vertical="center"/>
    </xf>
    <xf numFmtId="0" fontId="60" fillId="0" borderId="12" applyNumberFormat="0" applyFill="0" applyAlignment="0" applyProtection="0">
      <alignment vertical="center"/>
    </xf>
    <xf numFmtId="0" fontId="61" fillId="0" borderId="13" applyNumberFormat="0" applyFill="0" applyAlignment="0" applyProtection="0">
      <alignment vertical="center"/>
    </xf>
    <xf numFmtId="0" fontId="61" fillId="0" borderId="0" applyNumberFormat="0" applyFill="0" applyBorder="0" applyAlignment="0" applyProtection="0">
      <alignment vertical="center"/>
    </xf>
    <xf numFmtId="0" fontId="62" fillId="12" borderId="14" applyNumberFormat="0" applyAlignment="0" applyProtection="0">
      <alignment vertical="center"/>
    </xf>
    <xf numFmtId="0" fontId="63" fillId="13" borderId="15" applyNumberFormat="0" applyAlignment="0" applyProtection="0">
      <alignment vertical="center"/>
    </xf>
    <xf numFmtId="0" fontId="64" fillId="13" borderId="14" applyNumberFormat="0" applyAlignment="0" applyProtection="0">
      <alignment vertical="center"/>
    </xf>
    <xf numFmtId="0" fontId="65" fillId="14" borderId="16" applyNumberFormat="0" applyAlignment="0" applyProtection="0">
      <alignment vertical="center"/>
    </xf>
    <xf numFmtId="0" fontId="66" fillId="0" borderId="17" applyNumberFormat="0" applyFill="0" applyAlignment="0" applyProtection="0">
      <alignment vertical="center"/>
    </xf>
    <xf numFmtId="0" fontId="67" fillId="0" borderId="18" applyNumberFormat="0" applyFill="0" applyAlignment="0" applyProtection="0">
      <alignment vertical="center"/>
    </xf>
    <xf numFmtId="0" fontId="68" fillId="15" borderId="0" applyNumberFormat="0" applyBorder="0" applyAlignment="0" applyProtection="0">
      <alignment vertical="center"/>
    </xf>
    <xf numFmtId="0" fontId="69" fillId="16" borderId="0" applyNumberFormat="0" applyBorder="0" applyAlignment="0" applyProtection="0">
      <alignment vertical="center"/>
    </xf>
    <xf numFmtId="0" fontId="70" fillId="17" borderId="0" applyNumberFormat="0" applyBorder="0" applyAlignment="0" applyProtection="0">
      <alignment vertical="center"/>
    </xf>
    <xf numFmtId="0" fontId="71" fillId="18" borderId="0" applyNumberFormat="0" applyBorder="0" applyAlignment="0" applyProtection="0">
      <alignment vertical="center"/>
    </xf>
    <xf numFmtId="0" fontId="72" fillId="19" borderId="0" applyNumberFormat="0" applyBorder="0" applyAlignment="0" applyProtection="0">
      <alignment vertical="center"/>
    </xf>
    <xf numFmtId="0" fontId="72" fillId="20" borderId="0" applyNumberFormat="0" applyBorder="0" applyAlignment="0" applyProtection="0">
      <alignment vertical="center"/>
    </xf>
    <xf numFmtId="0" fontId="71" fillId="21" borderId="0" applyNumberFormat="0" applyBorder="0" applyAlignment="0" applyProtection="0">
      <alignment vertical="center"/>
    </xf>
    <xf numFmtId="0" fontId="71" fillId="22" borderId="0" applyNumberFormat="0" applyBorder="0" applyAlignment="0" applyProtection="0">
      <alignment vertical="center"/>
    </xf>
    <xf numFmtId="0" fontId="72" fillId="23" borderId="0" applyNumberFormat="0" applyBorder="0" applyAlignment="0" applyProtection="0">
      <alignment vertical="center"/>
    </xf>
    <xf numFmtId="0" fontId="72" fillId="24" borderId="0" applyNumberFormat="0" applyBorder="0" applyAlignment="0" applyProtection="0">
      <alignment vertical="center"/>
    </xf>
    <xf numFmtId="0" fontId="71" fillId="25" borderId="0" applyNumberFormat="0" applyBorder="0" applyAlignment="0" applyProtection="0">
      <alignment vertical="center"/>
    </xf>
    <xf numFmtId="0" fontId="71" fillId="26" borderId="0" applyNumberFormat="0" applyBorder="0" applyAlignment="0" applyProtection="0">
      <alignment vertical="center"/>
    </xf>
    <xf numFmtId="0" fontId="72" fillId="27" borderId="0" applyNumberFormat="0" applyBorder="0" applyAlignment="0" applyProtection="0">
      <alignment vertical="center"/>
    </xf>
    <xf numFmtId="0" fontId="72" fillId="28" borderId="0" applyNumberFormat="0" applyBorder="0" applyAlignment="0" applyProtection="0">
      <alignment vertical="center"/>
    </xf>
    <xf numFmtId="0" fontId="71" fillId="29" borderId="0" applyNumberFormat="0" applyBorder="0" applyAlignment="0" applyProtection="0">
      <alignment vertical="center"/>
    </xf>
    <xf numFmtId="0" fontId="71" fillId="30" borderId="0" applyNumberFormat="0" applyBorder="0" applyAlignment="0" applyProtection="0">
      <alignment vertical="center"/>
    </xf>
    <xf numFmtId="0" fontId="72" fillId="31" borderId="0" applyNumberFormat="0" applyBorder="0" applyAlignment="0" applyProtection="0">
      <alignment vertical="center"/>
    </xf>
    <xf numFmtId="0" fontId="72" fillId="32" borderId="0" applyNumberFormat="0" applyBorder="0" applyAlignment="0" applyProtection="0">
      <alignment vertical="center"/>
    </xf>
    <xf numFmtId="0" fontId="71" fillId="33" borderId="0" applyNumberFormat="0" applyBorder="0" applyAlignment="0" applyProtection="0">
      <alignment vertical="center"/>
    </xf>
    <xf numFmtId="0" fontId="71" fillId="34" borderId="0" applyNumberFormat="0" applyBorder="0" applyAlignment="0" applyProtection="0">
      <alignment vertical="center"/>
    </xf>
    <xf numFmtId="0" fontId="72" fillId="35" borderId="0" applyNumberFormat="0" applyBorder="0" applyAlignment="0" applyProtection="0">
      <alignment vertical="center"/>
    </xf>
    <xf numFmtId="0" fontId="72" fillId="36" borderId="0" applyNumberFormat="0" applyBorder="0" applyAlignment="0" applyProtection="0">
      <alignment vertical="center"/>
    </xf>
    <xf numFmtId="0" fontId="71" fillId="37" borderId="0" applyNumberFormat="0" applyBorder="0" applyAlignment="0" applyProtection="0">
      <alignment vertical="center"/>
    </xf>
    <xf numFmtId="0" fontId="71" fillId="38" borderId="0" applyNumberFormat="0" applyBorder="0" applyAlignment="0" applyProtection="0">
      <alignment vertical="center"/>
    </xf>
    <xf numFmtId="0" fontId="72" fillId="39" borderId="0" applyNumberFormat="0" applyBorder="0" applyAlignment="0" applyProtection="0">
      <alignment vertical="center"/>
    </xf>
    <xf numFmtId="0" fontId="72" fillId="40" borderId="0" applyNumberFormat="0" applyBorder="0" applyAlignment="0" applyProtection="0">
      <alignment vertical="center"/>
    </xf>
    <xf numFmtId="0" fontId="71" fillId="41" borderId="0" applyNumberFormat="0" applyBorder="0" applyAlignment="0" applyProtection="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8" fillId="0" borderId="0">
      <alignment vertical="center"/>
    </xf>
    <xf numFmtId="0" fontId="73" fillId="0" borderId="0">
      <alignment vertical="center"/>
    </xf>
    <xf numFmtId="0" fontId="8" fillId="0" borderId="0">
      <alignment vertical="center"/>
    </xf>
    <xf numFmtId="0" fontId="73" fillId="0" borderId="0">
      <alignment vertical="center"/>
    </xf>
    <xf numFmtId="0" fontId="73" fillId="0" borderId="0">
      <alignment vertical="center"/>
    </xf>
    <xf numFmtId="0" fontId="73" fillId="0" borderId="0">
      <alignment vertical="center"/>
    </xf>
    <xf numFmtId="0" fontId="8" fillId="0" borderId="0"/>
    <xf numFmtId="0" fontId="73" fillId="0" borderId="0">
      <alignment vertical="center"/>
    </xf>
    <xf numFmtId="0" fontId="73" fillId="0" borderId="0">
      <alignment vertical="center"/>
    </xf>
    <xf numFmtId="0" fontId="73" fillId="0" borderId="0">
      <alignment vertical="center"/>
    </xf>
    <xf numFmtId="0" fontId="8"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8" fillId="0" borderId="0"/>
  </cellStyleXfs>
  <cellXfs count="535">
    <xf numFmtId="4" fontId="0" fillId="0" borderId="1" xfId="0" applyNumberFormat="1"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60" applyFont="1" applyBorder="1" applyAlignment="1">
      <alignment horizontal="center" vertical="center"/>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3" fillId="3" borderId="1" xfId="0" applyFont="1" applyFill="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wrapText="1"/>
    </xf>
    <xf numFmtId="0" fontId="5" fillId="0" borderId="0" xfId="56" applyFont="1" applyAlignment="1">
      <alignment vertical="center" wrapText="1"/>
    </xf>
    <xf numFmtId="0" fontId="6" fillId="0" borderId="0" xfId="56" applyFont="1" applyAlignment="1">
      <alignment vertical="center" wrapText="1"/>
    </xf>
    <xf numFmtId="0" fontId="7" fillId="0" borderId="0" xfId="56" applyFont="1">
      <alignment vertical="center"/>
    </xf>
    <xf numFmtId="0" fontId="6" fillId="0" borderId="0" xfId="56" applyFont="1" applyAlignment="1">
      <alignment horizontal="center" vertical="center" wrapText="1"/>
    </xf>
    <xf numFmtId="0" fontId="5" fillId="0" borderId="0" xfId="56" applyFont="1" applyAlignment="1">
      <alignment horizontal="center" vertical="center" wrapText="1"/>
    </xf>
    <xf numFmtId="43" fontId="5" fillId="0" borderId="0" xfId="1" applyFont="1" applyAlignment="1">
      <alignment horizontal="center" vertical="center" wrapText="1"/>
    </xf>
    <xf numFmtId="176" fontId="5" fillId="0" borderId="0" xfId="56" applyNumberFormat="1" applyFont="1" applyAlignment="1">
      <alignment vertical="center" wrapText="1"/>
    </xf>
    <xf numFmtId="176" fontId="5" fillId="0" borderId="0" xfId="56" applyNumberFormat="1" applyFont="1" applyAlignment="1">
      <alignment horizontal="center" vertical="center" wrapText="1"/>
    </xf>
    <xf numFmtId="0" fontId="8" fillId="0" borderId="0" xfId="56">
      <alignment vertical="center"/>
    </xf>
    <xf numFmtId="0" fontId="9" fillId="0" borderId="0" xfId="56" applyFont="1" applyAlignment="1">
      <alignment horizontal="center" vertical="center" wrapText="1"/>
    </xf>
    <xf numFmtId="0" fontId="5" fillId="0" borderId="4" xfId="56" applyFont="1" applyBorder="1" applyAlignment="1">
      <alignment horizontal="center" vertical="center" wrapText="1"/>
    </xf>
    <xf numFmtId="0" fontId="6" fillId="2" borderId="3" xfId="56" applyFont="1" applyFill="1" applyBorder="1" applyAlignment="1">
      <alignment horizontal="center" vertical="center" wrapText="1"/>
    </xf>
    <xf numFmtId="0" fontId="6" fillId="2" borderId="5" xfId="56" applyFont="1" applyFill="1" applyBorder="1" applyAlignment="1">
      <alignment horizontal="center" vertical="center" wrapText="1"/>
    </xf>
    <xf numFmtId="0" fontId="3" fillId="2" borderId="1" xfId="56" applyFont="1" applyFill="1" applyBorder="1" applyAlignment="1">
      <alignment horizontal="center" vertical="center"/>
    </xf>
    <xf numFmtId="0" fontId="3" fillId="2" borderId="6" xfId="56" applyFont="1" applyFill="1" applyBorder="1" applyAlignment="1">
      <alignment horizontal="center" vertical="center" wrapText="1"/>
    </xf>
    <xf numFmtId="0" fontId="3" fillId="2" borderId="1" xfId="56" applyFont="1" applyFill="1" applyBorder="1" applyAlignment="1">
      <alignment horizontal="center" vertical="center" wrapText="1"/>
    </xf>
    <xf numFmtId="0" fontId="3" fillId="2" borderId="7" xfId="56" applyFont="1" applyFill="1" applyBorder="1" applyAlignment="1">
      <alignment horizontal="center" vertical="center" wrapText="1"/>
    </xf>
    <xf numFmtId="0" fontId="3" fillId="2" borderId="8" xfId="56" applyFont="1" applyFill="1" applyBorder="1" applyAlignment="1">
      <alignment horizontal="center" vertical="center" wrapText="1"/>
    </xf>
    <xf numFmtId="0" fontId="6" fillId="4" borderId="1" xfId="56" applyFont="1" applyFill="1" applyBorder="1" applyAlignment="1">
      <alignment horizontal="center" vertical="center" wrapText="1"/>
    </xf>
    <xf numFmtId="0" fontId="1" fillId="4" borderId="1" xfId="56" applyFont="1" applyFill="1" applyBorder="1" applyAlignment="1">
      <alignment horizontal="center" vertical="center" wrapText="1"/>
    </xf>
    <xf numFmtId="43" fontId="1" fillId="4" borderId="1" xfId="1" applyFont="1" applyFill="1" applyBorder="1" applyAlignment="1">
      <alignment horizontal="center" vertical="center" wrapText="1"/>
    </xf>
    <xf numFmtId="0" fontId="1" fillId="4" borderId="1" xfId="1" applyNumberFormat="1" applyFont="1" applyFill="1" applyBorder="1" applyAlignment="1">
      <alignment horizontal="center" vertical="center" wrapText="1"/>
    </xf>
    <xf numFmtId="43" fontId="1" fillId="4" borderId="1" xfId="1" applyFont="1" applyFill="1" applyBorder="1" applyAlignment="1">
      <alignment vertical="center" wrapText="1"/>
    </xf>
    <xf numFmtId="0" fontId="3" fillId="5" borderId="1" xfId="56" applyFont="1" applyFill="1" applyBorder="1" applyAlignment="1">
      <alignment horizontal="center" vertical="center" wrapText="1"/>
    </xf>
    <xf numFmtId="176" fontId="10" fillId="5" borderId="1" xfId="56" applyNumberFormat="1" applyFont="1" applyFill="1" applyBorder="1" applyAlignment="1">
      <alignment horizontal="center" vertical="center" wrapText="1"/>
    </xf>
    <xf numFmtId="49" fontId="1" fillId="4" borderId="1" xfId="56" applyNumberFormat="1" applyFont="1" applyFill="1" applyBorder="1" applyAlignment="1">
      <alignment horizontal="center" vertical="center" wrapText="1"/>
    </xf>
    <xf numFmtId="0" fontId="5" fillId="4" borderId="1" xfId="0" applyFont="1" applyFill="1" applyBorder="1" applyAlignment="1">
      <alignment vertical="center" wrapText="1"/>
    </xf>
    <xf numFmtId="0" fontId="1" fillId="4" borderId="1" xfId="56" applyFont="1" applyFill="1" applyBorder="1" applyAlignment="1">
      <alignment vertical="center" wrapText="1"/>
    </xf>
    <xf numFmtId="176" fontId="11" fillId="4" borderId="1" xfId="56" applyNumberFormat="1" applyFont="1" applyFill="1" applyBorder="1" applyAlignment="1">
      <alignment vertical="center" wrapText="1"/>
    </xf>
    <xf numFmtId="0" fontId="5" fillId="4" borderId="1" xfId="56" applyFont="1" applyFill="1" applyBorder="1" applyAlignment="1">
      <alignment vertical="center" wrapText="1"/>
    </xf>
    <xf numFmtId="176" fontId="1" fillId="4" borderId="1" xfId="56" applyNumberFormat="1" applyFont="1" applyFill="1" applyBorder="1" applyAlignment="1">
      <alignment vertical="center" wrapText="1"/>
    </xf>
    <xf numFmtId="177" fontId="3" fillId="2" borderId="1" xfId="56" applyNumberFormat="1" applyFont="1" applyFill="1" applyBorder="1" applyAlignment="1">
      <alignment horizontal="center" vertical="center" wrapText="1"/>
    </xf>
    <xf numFmtId="49" fontId="3" fillId="5" borderId="1" xfId="56" applyNumberFormat="1" applyFont="1" applyFill="1" applyBorder="1" applyAlignment="1">
      <alignment horizontal="center" vertical="center" wrapText="1"/>
    </xf>
    <xf numFmtId="178" fontId="1" fillId="4" borderId="1" xfId="1" applyNumberFormat="1" applyFont="1" applyFill="1" applyBorder="1" applyAlignment="1">
      <alignment horizontal="center" vertical="center" wrapText="1"/>
    </xf>
    <xf numFmtId="0" fontId="3" fillId="5" borderId="6" xfId="56" applyFont="1" applyFill="1" applyBorder="1" applyAlignment="1">
      <alignment horizontal="center" vertical="center" wrapText="1"/>
    </xf>
    <xf numFmtId="176" fontId="3" fillId="5" borderId="1" xfId="56" applyNumberFormat="1" applyFont="1" applyFill="1" applyBorder="1" applyAlignment="1">
      <alignment horizontal="center" vertical="center" wrapText="1"/>
    </xf>
    <xf numFmtId="0" fontId="3" fillId="5" borderId="8" xfId="56" applyFont="1" applyFill="1" applyBorder="1" applyAlignment="1">
      <alignment horizontal="center" vertical="center" wrapText="1"/>
    </xf>
    <xf numFmtId="0" fontId="8" fillId="0" borderId="0" xfId="0" applyFont="1" applyFill="1" applyBorder="1" applyAlignment="1">
      <alignment vertical="center"/>
    </xf>
    <xf numFmtId="179" fontId="8" fillId="0" borderId="0" xfId="0" applyNumberFormat="1" applyFont="1" applyFill="1" applyBorder="1" applyAlignment="1">
      <alignment vertical="center"/>
    </xf>
    <xf numFmtId="43" fontId="8" fillId="0" borderId="0" xfId="0" applyNumberFormat="1" applyFont="1" applyFill="1" applyBorder="1" applyAlignment="1">
      <alignment vertical="center"/>
    </xf>
    <xf numFmtId="10" fontId="8" fillId="0" borderId="0" xfId="3" applyNumberFormat="1" applyFont="1">
      <alignment vertical="center"/>
    </xf>
    <xf numFmtId="0" fontId="8" fillId="0" borderId="1" xfId="0" applyFont="1" applyFill="1" applyBorder="1" applyAlignment="1">
      <alignment vertical="center"/>
    </xf>
    <xf numFmtId="179" fontId="8" fillId="0" borderId="1" xfId="0" applyNumberFormat="1" applyFont="1" applyFill="1" applyBorder="1" applyAlignment="1">
      <alignment vertical="center"/>
    </xf>
    <xf numFmtId="0" fontId="8" fillId="6" borderId="3" xfId="0" applyFont="1" applyFill="1" applyBorder="1" applyAlignment="1">
      <alignment horizontal="center" vertical="center"/>
    </xf>
    <xf numFmtId="0" fontId="8" fillId="6" borderId="2" xfId="0" applyFont="1" applyFill="1" applyBorder="1" applyAlignment="1">
      <alignment horizontal="center" vertical="center"/>
    </xf>
    <xf numFmtId="0" fontId="8" fillId="6" borderId="1" xfId="0" applyFont="1" applyFill="1" applyBorder="1" applyAlignment="1">
      <alignment vertical="center"/>
    </xf>
    <xf numFmtId="43" fontId="8" fillId="6" borderId="1" xfId="0" applyNumberFormat="1" applyFont="1" applyFill="1" applyBorder="1" applyAlignment="1">
      <alignment vertical="center"/>
    </xf>
    <xf numFmtId="179" fontId="8" fillId="6" borderId="1" xfId="0" applyNumberFormat="1" applyFont="1" applyFill="1" applyBorder="1" applyAlignment="1">
      <alignment vertical="center"/>
    </xf>
    <xf numFmtId="0" fontId="8" fillId="7" borderId="1" xfId="0" applyFont="1" applyFill="1" applyBorder="1" applyAlignment="1">
      <alignment vertical="center"/>
    </xf>
    <xf numFmtId="0" fontId="8" fillId="0" borderId="3" xfId="0" applyFont="1" applyFill="1" applyBorder="1" applyAlignment="1">
      <alignment vertical="center"/>
    </xf>
    <xf numFmtId="0" fontId="8" fillId="7" borderId="2" xfId="0" applyFont="1" applyFill="1" applyBorder="1" applyAlignment="1">
      <alignment vertical="center"/>
    </xf>
    <xf numFmtId="10" fontId="8" fillId="0" borderId="0" xfId="3" applyNumberFormat="1" applyFont="1" applyFill="1" applyBorder="1" applyAlignment="1">
      <alignment vertical="center"/>
    </xf>
    <xf numFmtId="43" fontId="8" fillId="0" borderId="1" xfId="0" applyNumberFormat="1" applyFont="1" applyFill="1" applyBorder="1" applyAlignment="1">
      <alignment vertical="center"/>
    </xf>
    <xf numFmtId="43" fontId="8" fillId="7" borderId="1" xfId="0" applyNumberFormat="1" applyFont="1" applyFill="1" applyBorder="1" applyAlignment="1">
      <alignment vertical="center"/>
    </xf>
    <xf numFmtId="10" fontId="8" fillId="6" borderId="1" xfId="3" applyNumberFormat="1" applyFont="1" applyFill="1" applyBorder="1">
      <alignment vertical="center"/>
    </xf>
    <xf numFmtId="0" fontId="8" fillId="0" borderId="3" xfId="0" applyFont="1" applyFill="1" applyBorder="1" applyAlignment="1">
      <alignment horizontal="center" vertical="center"/>
    </xf>
    <xf numFmtId="10" fontId="8" fillId="6" borderId="1" xfId="3" applyNumberFormat="1" applyFont="1" applyFill="1" applyBorder="1" applyAlignment="1">
      <alignment vertical="center"/>
    </xf>
    <xf numFmtId="0" fontId="8" fillId="0" borderId="1" xfId="0" applyFont="1" applyFill="1" applyBorder="1" applyAlignment="1">
      <alignment horizontal="center" vertical="center"/>
    </xf>
    <xf numFmtId="43" fontId="8" fillId="6" borderId="1" xfId="3" applyNumberFormat="1" applyFont="1" applyFill="1" applyBorder="1">
      <alignment vertical="center"/>
    </xf>
    <xf numFmtId="10" fontId="8" fillId="0" borderId="1" xfId="3" applyNumberFormat="1" applyFont="1" applyFill="1" applyBorder="1">
      <alignment vertical="center"/>
    </xf>
    <xf numFmtId="10" fontId="8" fillId="0" borderId="1" xfId="3" applyNumberFormat="1" applyFont="1" applyFill="1" applyBorder="1" applyAlignment="1">
      <alignment vertical="center"/>
    </xf>
    <xf numFmtId="0" fontId="8" fillId="0" borderId="5" xfId="0" applyFont="1" applyFill="1" applyBorder="1" applyAlignment="1">
      <alignment horizontal="center" vertical="center"/>
    </xf>
    <xf numFmtId="0" fontId="8" fillId="0" borderId="2" xfId="0" applyFont="1" applyFill="1" applyBorder="1" applyAlignment="1">
      <alignment horizontal="center" vertical="center"/>
    </xf>
    <xf numFmtId="9" fontId="8" fillId="0" borderId="1" xfId="3" applyFont="1" applyFill="1" applyBorder="1" applyAlignment="1">
      <alignment vertical="center"/>
    </xf>
    <xf numFmtId="10" fontId="8" fillId="0" borderId="1" xfId="3" applyNumberFormat="1" applyFont="1" applyFill="1" applyBorder="1" applyAlignment="1" applyProtection="1">
      <alignment vertical="center"/>
    </xf>
    <xf numFmtId="180" fontId="8" fillId="0" borderId="1" xfId="3" applyNumberFormat="1" applyFont="1" applyFill="1" applyBorder="1" applyAlignment="1">
      <alignment vertical="center"/>
    </xf>
    <xf numFmtId="10" fontId="8" fillId="7" borderId="1" xfId="3" applyNumberFormat="1" applyFont="1" applyFill="1" applyBorder="1" applyAlignment="1">
      <alignment vertical="center"/>
    </xf>
    <xf numFmtId="0" fontId="8" fillId="7" borderId="0" xfId="0" applyFont="1" applyFill="1" applyBorder="1" applyAlignment="1">
      <alignment vertical="center"/>
    </xf>
    <xf numFmtId="4" fontId="12" fillId="0" borderId="1" xfId="0" applyNumberFormat="1" applyFont="1" applyFill="1" applyBorder="1" applyAlignment="1">
      <alignment horizontal="center" vertical="center" wrapText="1"/>
    </xf>
    <xf numFmtId="0" fontId="8" fillId="0" borderId="0" xfId="0" applyFont="1" applyFill="1" applyAlignment="1">
      <alignment horizontal="center" vertical="center"/>
    </xf>
    <xf numFmtId="0" fontId="8" fillId="0" borderId="0" xfId="0" applyFont="1" applyFill="1" applyAlignment="1">
      <alignment horizontal="center" vertical="center" wrapText="1"/>
    </xf>
    <xf numFmtId="4" fontId="0" fillId="0" borderId="1" xfId="0" applyNumberFormat="1" applyFont="1" applyFill="1" applyBorder="1" applyAlignment="1">
      <alignment horizontal="center" vertical="center" wrapText="1"/>
    </xf>
    <xf numFmtId="43" fontId="8" fillId="0" borderId="0" xfId="1" applyFont="1" applyFill="1" applyAlignment="1">
      <alignment vertical="center"/>
    </xf>
    <xf numFmtId="0" fontId="13" fillId="0" borderId="0" xfId="0" applyFont="1" applyFill="1" applyAlignment="1">
      <alignment horizontal="center" vertical="center"/>
    </xf>
    <xf numFmtId="0" fontId="14" fillId="0" borderId="0" xfId="0" applyFont="1" applyFill="1" applyAlignment="1">
      <alignment horizontal="center"/>
    </xf>
    <xf numFmtId="49" fontId="15"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shrinkToFit="1"/>
    </xf>
    <xf numFmtId="0" fontId="12" fillId="0" borderId="1" xfId="74" applyFont="1" applyFill="1" applyBorder="1" applyAlignment="1" applyProtection="1">
      <alignment vertical="center" shrinkToFit="1"/>
      <protection locked="0"/>
    </xf>
    <xf numFmtId="0" fontId="12" fillId="0" borderId="1" xfId="0" applyFont="1" applyFill="1" applyBorder="1" applyAlignment="1">
      <alignment horizontal="left" vertical="center" wrapText="1"/>
    </xf>
    <xf numFmtId="181" fontId="12" fillId="0" borderId="1" xfId="74" applyNumberFormat="1" applyFont="1" applyFill="1" applyBorder="1" applyAlignment="1">
      <alignment horizontal="left" vertical="center" shrinkToFit="1"/>
    </xf>
    <xf numFmtId="176" fontId="12" fillId="0" borderId="1" xfId="74" applyNumberFormat="1" applyFont="1" applyFill="1" applyBorder="1" applyAlignment="1">
      <alignment horizontal="right" vertical="center" shrinkToFit="1"/>
    </xf>
    <xf numFmtId="43" fontId="12" fillId="0" borderId="1" xfId="1" applyFont="1" applyFill="1" applyBorder="1" applyAlignment="1">
      <alignment vertical="center" shrinkToFit="1"/>
    </xf>
    <xf numFmtId="43" fontId="12" fillId="0" borderId="1" xfId="1" applyFont="1" applyFill="1" applyBorder="1" applyAlignment="1">
      <alignment vertical="center"/>
    </xf>
    <xf numFmtId="0" fontId="12" fillId="0" borderId="1" xfId="74" applyFont="1" applyFill="1" applyBorder="1" applyAlignment="1">
      <alignment vertical="center" shrinkToFit="1"/>
    </xf>
    <xf numFmtId="0" fontId="12" fillId="0" borderId="1" xfId="74" applyFont="1" applyFill="1" applyBorder="1" applyAlignment="1">
      <alignment horizontal="left" vertical="center" shrinkToFit="1"/>
    </xf>
    <xf numFmtId="0" fontId="12" fillId="0" borderId="1" xfId="74" applyFont="1" applyFill="1" applyBorder="1" applyAlignment="1" applyProtection="1">
      <alignment horizontal="left" vertical="center" shrinkToFit="1"/>
      <protection locked="0"/>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shrinkToFit="1"/>
    </xf>
    <xf numFmtId="0" fontId="17" fillId="0" borderId="1" xfId="74" applyFont="1" applyFill="1" applyBorder="1" applyAlignment="1">
      <alignment horizontal="left" vertical="center" shrinkToFit="1"/>
    </xf>
    <xf numFmtId="176" fontId="17" fillId="0" borderId="1" xfId="74" applyNumberFormat="1" applyFont="1" applyFill="1" applyBorder="1" applyAlignment="1">
      <alignment horizontal="right" vertical="center" shrinkToFit="1"/>
    </xf>
    <xf numFmtId="43" fontId="17" fillId="0" borderId="1" xfId="1" applyFont="1" applyFill="1" applyBorder="1" applyAlignment="1">
      <alignment vertical="center" shrinkToFit="1"/>
    </xf>
    <xf numFmtId="43" fontId="5" fillId="0" borderId="1" xfId="1" applyFont="1" applyFill="1" applyBorder="1" applyAlignment="1">
      <alignment vertical="center"/>
    </xf>
    <xf numFmtId="49" fontId="12" fillId="0" borderId="1" xfId="74" applyNumberFormat="1" applyFont="1" applyFill="1" applyBorder="1" applyAlignment="1">
      <alignment horizontal="right" vertical="center" shrinkToFit="1"/>
    </xf>
    <xf numFmtId="14" fontId="12" fillId="0" borderId="1" xfId="74" applyNumberFormat="1" applyFont="1" applyFill="1" applyBorder="1" applyAlignment="1">
      <alignment horizontal="right" vertical="center" shrinkToFit="1"/>
    </xf>
    <xf numFmtId="49" fontId="18" fillId="0" borderId="1" xfId="0" applyNumberFormat="1" applyFont="1" applyFill="1" applyBorder="1" applyAlignment="1">
      <alignment horizontal="center" vertical="center"/>
    </xf>
    <xf numFmtId="49" fontId="15" fillId="0" borderId="1" xfId="1" applyNumberFormat="1" applyFont="1" applyFill="1" applyBorder="1" applyAlignment="1">
      <alignment horizontal="center" vertical="center" wrapText="1"/>
    </xf>
    <xf numFmtId="49" fontId="15" fillId="0" borderId="1" xfId="3" applyNumberFormat="1" applyFont="1" applyFill="1" applyBorder="1" applyAlignment="1">
      <alignment horizontal="center" vertical="center" wrapText="1"/>
    </xf>
    <xf numFmtId="10" fontId="12" fillId="0" borderId="1" xfId="3" applyNumberFormat="1" applyFont="1" applyFill="1" applyBorder="1" applyAlignment="1">
      <alignment horizontal="center" vertical="center" wrapText="1"/>
    </xf>
    <xf numFmtId="43" fontId="12" fillId="0" borderId="1" xfId="1" applyFont="1" applyFill="1" applyBorder="1">
      <alignment vertical="center"/>
    </xf>
    <xf numFmtId="0" fontId="5" fillId="0" borderId="1" xfId="0" applyFont="1" applyFill="1" applyBorder="1" applyAlignment="1">
      <alignment horizontal="center" vertical="center"/>
    </xf>
    <xf numFmtId="43" fontId="5" fillId="0" borderId="1" xfId="1" applyFont="1" applyFill="1" applyBorder="1">
      <alignment vertical="center"/>
    </xf>
    <xf numFmtId="0" fontId="15" fillId="0" borderId="1" xfId="1" applyNumberFormat="1" applyFont="1" applyFill="1" applyBorder="1" applyAlignment="1">
      <alignment horizontal="center" vertical="center" wrapText="1"/>
    </xf>
    <xf numFmtId="43" fontId="12" fillId="0" borderId="1" xfId="0" applyNumberFormat="1" applyFont="1" applyFill="1" applyBorder="1">
      <alignment vertical="center"/>
    </xf>
    <xf numFmtId="0" fontId="12" fillId="0" borderId="1" xfId="0" applyFont="1" applyFill="1" applyBorder="1">
      <alignment vertical="center"/>
    </xf>
    <xf numFmtId="43" fontId="5" fillId="0" borderId="1" xfId="0" applyNumberFormat="1" applyFont="1" applyFill="1" applyBorder="1">
      <alignment vertical="center"/>
    </xf>
    <xf numFmtId="0" fontId="5" fillId="0" borderId="1" xfId="0" applyFont="1" applyFill="1" applyBorder="1">
      <alignment vertical="center"/>
    </xf>
    <xf numFmtId="49" fontId="12" fillId="0" borderId="1" xfId="74" applyNumberFormat="1" applyFont="1" applyFill="1" applyBorder="1" applyAlignment="1">
      <alignment horizontal="left" vertical="center" shrinkToFit="1"/>
    </xf>
    <xf numFmtId="0" fontId="12" fillId="0" borderId="1" xfId="74" applyFont="1" applyFill="1" applyBorder="1" applyAlignment="1" applyProtection="1">
      <alignment horizontal="left" vertical="center" wrapText="1"/>
      <protection locked="0"/>
    </xf>
    <xf numFmtId="0" fontId="19" fillId="0" borderId="1" xfId="0" applyFont="1" applyFill="1" applyBorder="1" applyAlignment="1" applyProtection="1">
      <alignment vertical="center"/>
      <protection locked="0"/>
    </xf>
    <xf numFmtId="49" fontId="12" fillId="0" borderId="1" xfId="60" applyNumberFormat="1" applyFont="1" applyFill="1" applyBorder="1" applyAlignment="1">
      <alignment horizontal="left" vertical="center" wrapText="1"/>
    </xf>
    <xf numFmtId="0" fontId="12" fillId="0" borderId="1" xfId="0" applyFont="1" applyFill="1" applyBorder="1" applyAlignment="1">
      <alignment vertical="center"/>
    </xf>
    <xf numFmtId="43" fontId="12" fillId="0" borderId="1" xfId="1" applyNumberFormat="1" applyFont="1" applyFill="1" applyBorder="1" applyAlignment="1">
      <alignment vertical="center" shrinkToFit="1"/>
    </xf>
    <xf numFmtId="49" fontId="5" fillId="0" borderId="1" xfId="60" applyNumberFormat="1" applyFont="1" applyFill="1" applyBorder="1" applyAlignment="1">
      <alignment horizontal="left" vertical="center" wrapText="1"/>
    </xf>
    <xf numFmtId="0" fontId="8" fillId="0" borderId="0" xfId="56" applyFill="1">
      <alignment vertical="center"/>
    </xf>
    <xf numFmtId="0" fontId="5" fillId="0" borderId="0" xfId="56" applyFont="1" applyFill="1">
      <alignment vertical="center"/>
    </xf>
    <xf numFmtId="0" fontId="8" fillId="0" borderId="0" xfId="56" applyFill="1" applyAlignment="1">
      <alignment horizontal="center" vertical="center" wrapText="1"/>
    </xf>
    <xf numFmtId="0" fontId="8" fillId="0" borderId="0" xfId="56" applyFill="1" applyAlignment="1">
      <alignment horizontal="left" vertical="center" wrapText="1"/>
    </xf>
    <xf numFmtId="0" fontId="19" fillId="0" borderId="0" xfId="56" applyFont="1" applyFill="1">
      <alignment vertical="center"/>
    </xf>
    <xf numFmtId="0" fontId="19" fillId="8" borderId="0" xfId="56" applyFont="1" applyFill="1">
      <alignment vertical="center"/>
    </xf>
    <xf numFmtId="0" fontId="8" fillId="0" borderId="0" xfId="56" applyFill="1" applyAlignment="1">
      <alignment horizontal="center" vertical="center"/>
    </xf>
    <xf numFmtId="43" fontId="8" fillId="0" borderId="0" xfId="1" applyFont="1" applyFill="1" applyBorder="1" applyAlignment="1" applyProtection="1">
      <alignment vertical="center"/>
    </xf>
    <xf numFmtId="10" fontId="8" fillId="0" borderId="0" xfId="3" applyNumberFormat="1" applyFont="1" applyFill="1" applyBorder="1" applyAlignment="1" applyProtection="1">
      <alignment vertical="center"/>
    </xf>
    <xf numFmtId="43" fontId="8" fillId="0" borderId="0" xfId="1" applyNumberFormat="1" applyFont="1" applyFill="1" applyBorder="1" applyAlignment="1" applyProtection="1">
      <alignment horizontal="right" vertical="center"/>
    </xf>
    <xf numFmtId="0" fontId="9" fillId="0" borderId="0" xfId="0" applyFont="1" applyFill="1" applyAlignment="1">
      <alignment horizontal="center" vertical="center"/>
    </xf>
    <xf numFmtId="0" fontId="12" fillId="0" borderId="0" xfId="60" applyFont="1" applyFill="1" applyAlignment="1">
      <alignment horizontal="center" vertical="center"/>
    </xf>
    <xf numFmtId="0" fontId="6" fillId="0" borderId="6" xfId="60" applyFont="1" applyFill="1" applyBorder="1" applyAlignment="1">
      <alignment vertical="center" wrapText="1"/>
    </xf>
    <xf numFmtId="0" fontId="6" fillId="0" borderId="1" xfId="60" applyFont="1" applyFill="1" applyBorder="1" applyAlignment="1">
      <alignment horizontal="center" vertical="center" wrapText="1"/>
    </xf>
    <xf numFmtId="0" fontId="6" fillId="0" borderId="1" xfId="60" applyFont="1" applyFill="1" applyBorder="1" applyAlignment="1">
      <alignment vertical="center" wrapText="1"/>
    </xf>
    <xf numFmtId="0" fontId="20" fillId="0" borderId="1" xfId="60" applyFont="1" applyFill="1" applyBorder="1" applyAlignment="1">
      <alignment vertical="center" wrapText="1"/>
    </xf>
    <xf numFmtId="49" fontId="6" fillId="0" borderId="1" xfId="60" applyNumberFormat="1" applyFont="1" applyFill="1" applyBorder="1" applyAlignment="1">
      <alignment horizontal="center" vertical="center" wrapText="1"/>
    </xf>
    <xf numFmtId="49" fontId="21" fillId="0" borderId="1" xfId="0" applyNumberFormat="1" applyFont="1" applyFill="1" applyBorder="1" applyAlignment="1">
      <alignment horizontal="center" vertical="center" wrapText="1"/>
    </xf>
    <xf numFmtId="49" fontId="21" fillId="0" borderId="1" xfId="0" applyNumberFormat="1" applyFont="1" applyFill="1" applyBorder="1" applyAlignment="1">
      <alignment vertical="center" wrapText="1"/>
    </xf>
    <xf numFmtId="0" fontId="6" fillId="2" borderId="8" xfId="60" applyFont="1" applyFill="1" applyBorder="1" applyAlignment="1">
      <alignment vertical="center" wrapText="1"/>
    </xf>
    <xf numFmtId="49" fontId="6" fillId="2" borderId="1" xfId="60" applyNumberFormat="1" applyFont="1" applyFill="1" applyBorder="1" applyAlignment="1">
      <alignment horizontal="center" vertical="center" wrapText="1"/>
    </xf>
    <xf numFmtId="49" fontId="6" fillId="2" borderId="1" xfId="60" applyNumberFormat="1" applyFont="1" applyFill="1" applyBorder="1" applyAlignment="1">
      <alignment vertical="center" wrapText="1"/>
    </xf>
    <xf numFmtId="0" fontId="19" fillId="0" borderId="1" xfId="60" applyFont="1" applyFill="1" applyBorder="1" applyAlignment="1">
      <alignment horizontal="center" vertical="center" wrapText="1"/>
    </xf>
    <xf numFmtId="14" fontId="19" fillId="0" borderId="1" xfId="0" applyNumberFormat="1" applyFont="1" applyFill="1" applyBorder="1" applyAlignment="1" applyProtection="1">
      <alignment horizontal="left" vertical="center"/>
      <protection locked="0"/>
    </xf>
    <xf numFmtId="0" fontId="19" fillId="0" borderId="1" xfId="0" applyFont="1" applyFill="1" applyBorder="1" applyAlignment="1" applyProtection="1">
      <alignment horizontal="left" vertical="center"/>
      <protection locked="0"/>
    </xf>
    <xf numFmtId="0" fontId="19" fillId="0" borderId="1" xfId="60" applyFont="1" applyFill="1" applyBorder="1" applyAlignment="1">
      <alignment vertical="center" wrapText="1"/>
    </xf>
    <xf numFmtId="0" fontId="19" fillId="0" borderId="1" xfId="0" applyFont="1" applyFill="1" applyBorder="1" applyAlignment="1">
      <alignment vertical="center" wrapText="1"/>
    </xf>
    <xf numFmtId="49" fontId="19" fillId="0" borderId="1" xfId="0" applyNumberFormat="1" applyFont="1" applyFill="1" applyBorder="1" applyAlignment="1">
      <alignment horizontal="left" vertical="center" wrapText="1"/>
    </xf>
    <xf numFmtId="49" fontId="19" fillId="0" borderId="1" xfId="60" applyNumberFormat="1" applyFont="1" applyFill="1" applyBorder="1" applyAlignment="1">
      <alignment horizontal="left" vertical="center" wrapText="1"/>
    </xf>
    <xf numFmtId="0" fontId="19" fillId="0" borderId="1" xfId="60" applyFont="1" applyFill="1" applyBorder="1" applyAlignment="1">
      <alignment horizontal="left" vertical="center" wrapText="1"/>
    </xf>
    <xf numFmtId="0" fontId="19" fillId="0" borderId="1" xfId="0" applyFont="1" applyFill="1" applyBorder="1" applyAlignment="1">
      <alignment horizontal="justify" vertical="center" wrapText="1"/>
    </xf>
    <xf numFmtId="0" fontId="19" fillId="0" borderId="1" xfId="0" applyFont="1" applyFill="1" applyBorder="1" applyAlignment="1" applyProtection="1">
      <alignment vertical="center" wrapText="1"/>
      <protection locked="0"/>
    </xf>
    <xf numFmtId="49" fontId="19" fillId="0" borderId="1" xfId="0" applyNumberFormat="1" applyFont="1" applyFill="1" applyBorder="1" applyAlignment="1" applyProtection="1">
      <alignment horizontal="left" vertical="center"/>
      <protection locked="0"/>
    </xf>
    <xf numFmtId="43" fontId="6" fillId="0" borderId="1" xfId="1" applyFont="1" applyFill="1" applyBorder="1" applyAlignment="1" applyProtection="1">
      <alignment horizontal="center" vertical="center" wrapText="1"/>
    </xf>
    <xf numFmtId="43" fontId="21" fillId="0" borderId="1" xfId="1" applyFont="1" applyFill="1" applyBorder="1" applyAlignment="1" applyProtection="1">
      <alignment horizontal="center" vertical="center" wrapText="1"/>
    </xf>
    <xf numFmtId="43" fontId="6" fillId="2" borderId="1" xfId="1" applyFont="1" applyFill="1" applyBorder="1" applyAlignment="1" applyProtection="1">
      <alignment horizontal="center" vertical="center" wrapText="1"/>
    </xf>
    <xf numFmtId="49" fontId="6" fillId="2" borderId="1" xfId="1" applyNumberFormat="1" applyFont="1" applyFill="1" applyBorder="1" applyAlignment="1" applyProtection="1">
      <alignment horizontal="center" vertical="center" wrapText="1"/>
    </xf>
    <xf numFmtId="0" fontId="19" fillId="0" borderId="1" xfId="0" applyFont="1" applyFill="1" applyBorder="1" applyAlignment="1">
      <alignment horizontal="left" vertical="center" wrapText="1"/>
    </xf>
    <xf numFmtId="49" fontId="19" fillId="0" borderId="1" xfId="0" applyNumberFormat="1" applyFont="1" applyFill="1" applyBorder="1" applyAlignment="1">
      <alignment horizontal="left" vertical="center"/>
    </xf>
    <xf numFmtId="43" fontId="19" fillId="0" borderId="1" xfId="1" applyFont="1" applyFill="1" applyBorder="1" applyAlignment="1" applyProtection="1">
      <alignment horizontal="left" vertical="center" wrapText="1"/>
    </xf>
    <xf numFmtId="49" fontId="19" fillId="0" borderId="8" xfId="0" applyNumberFormat="1" applyFont="1" applyFill="1" applyBorder="1" applyAlignment="1">
      <alignment horizontal="left" vertical="center"/>
    </xf>
    <xf numFmtId="0" fontId="19" fillId="0" borderId="1" xfId="0" applyFont="1" applyFill="1" applyBorder="1" applyAlignment="1">
      <alignment horizontal="left" vertical="center"/>
    </xf>
    <xf numFmtId="43" fontId="9" fillId="0" borderId="0" xfId="0" applyNumberFormat="1" applyFont="1" applyFill="1" applyAlignment="1">
      <alignment horizontal="center" vertical="center"/>
    </xf>
    <xf numFmtId="43" fontId="12" fillId="0" borderId="0" xfId="60" applyNumberFormat="1" applyFont="1" applyFill="1" applyAlignment="1">
      <alignment horizontal="center" vertical="center"/>
    </xf>
    <xf numFmtId="10" fontId="6" fillId="0" borderId="1" xfId="3" applyNumberFormat="1" applyFont="1" applyFill="1" applyBorder="1" applyAlignment="1" applyProtection="1">
      <alignment horizontal="center" vertical="center" wrapText="1"/>
    </xf>
    <xf numFmtId="43" fontId="6" fillId="0" borderId="1" xfId="6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43" fontId="21" fillId="0" borderId="1" xfId="1" applyNumberFormat="1" applyFont="1" applyFill="1" applyBorder="1" applyAlignment="1" applyProtection="1">
      <alignment horizontal="center" vertical="center" wrapText="1"/>
    </xf>
    <xf numFmtId="10" fontId="6" fillId="2" borderId="1" xfId="3" applyNumberFormat="1" applyFont="1" applyFill="1" applyBorder="1" applyAlignment="1" applyProtection="1">
      <alignment horizontal="center" vertical="center" wrapText="1"/>
    </xf>
    <xf numFmtId="43" fontId="6" fillId="2" borderId="1" xfId="1" applyNumberFormat="1" applyFont="1" applyFill="1" applyBorder="1" applyAlignment="1" applyProtection="1">
      <alignment horizontal="center" vertical="center" wrapText="1"/>
    </xf>
    <xf numFmtId="10" fontId="19" fillId="0" borderId="1" xfId="3" applyNumberFormat="1" applyFont="1" applyFill="1" applyBorder="1" applyAlignment="1" applyProtection="1">
      <alignment horizontal="left" vertical="center" wrapText="1"/>
    </xf>
    <xf numFmtId="0" fontId="19" fillId="0" borderId="1" xfId="60" applyFont="1" applyFill="1" applyBorder="1" applyAlignment="1" applyProtection="1">
      <alignment horizontal="left" vertical="center" wrapText="1"/>
      <protection locked="0"/>
    </xf>
    <xf numFmtId="43" fontId="19" fillId="0" borderId="1" xfId="1" applyFont="1" applyFill="1" applyBorder="1" applyAlignment="1" applyProtection="1">
      <alignment horizontal="right" vertical="center" wrapText="1"/>
      <protection locked="0"/>
    </xf>
    <xf numFmtId="0" fontId="19" fillId="0" borderId="1" xfId="1" applyNumberFormat="1" applyFont="1" applyFill="1" applyBorder="1" applyAlignment="1" applyProtection="1">
      <alignment horizontal="right" vertical="center" wrapText="1"/>
      <protection locked="0"/>
    </xf>
    <xf numFmtId="43" fontId="19" fillId="0" borderId="1" xfId="1" applyNumberFormat="1" applyFont="1" applyFill="1" applyBorder="1" applyAlignment="1" applyProtection="1">
      <alignment horizontal="right" vertical="center" wrapText="1"/>
      <protection locked="0"/>
    </xf>
    <xf numFmtId="0" fontId="19" fillId="0" borderId="1" xfId="0" applyFont="1" applyFill="1" applyBorder="1" applyAlignment="1">
      <alignment horizontal="center" vertical="center" wrapText="1"/>
    </xf>
    <xf numFmtId="0" fontId="19" fillId="0" borderId="1" xfId="56" applyFont="1" applyFill="1" applyBorder="1" applyAlignment="1">
      <alignment horizontal="left" vertical="center" wrapText="1"/>
    </xf>
    <xf numFmtId="10" fontId="19" fillId="0" borderId="0" xfId="56" applyNumberFormat="1" applyFont="1" applyFill="1">
      <alignment vertical="center"/>
    </xf>
    <xf numFmtId="0" fontId="19" fillId="0" borderId="1" xfId="0" applyFont="1" applyFill="1" applyBorder="1" applyAlignment="1">
      <alignment horizontal="center" vertical="center" shrinkToFit="1"/>
    </xf>
    <xf numFmtId="0" fontId="19" fillId="0" borderId="1" xfId="0" applyFont="1" applyFill="1" applyBorder="1" applyAlignment="1">
      <alignment vertical="center"/>
    </xf>
    <xf numFmtId="179" fontId="19" fillId="0" borderId="1" xfId="0" applyNumberFormat="1" applyFont="1" applyFill="1" applyBorder="1" applyAlignment="1">
      <alignment vertical="center"/>
    </xf>
    <xf numFmtId="49" fontId="19" fillId="0" borderId="1" xfId="0" applyNumberFormat="1" applyFont="1" applyFill="1" applyBorder="1" applyAlignment="1">
      <alignment vertical="center" wrapText="1"/>
    </xf>
    <xf numFmtId="0" fontId="19" fillId="0" borderId="1" xfId="74" applyFont="1" applyFill="1" applyBorder="1" applyAlignment="1">
      <alignment horizontal="left" vertical="center" shrinkToFit="1"/>
    </xf>
    <xf numFmtId="49" fontId="19" fillId="0" borderId="0" xfId="0" applyNumberFormat="1" applyFont="1" applyFill="1" applyBorder="1" applyAlignment="1">
      <alignment horizontal="left" vertical="center"/>
    </xf>
    <xf numFmtId="43" fontId="19" fillId="7" borderId="1" xfId="1" applyNumberFormat="1" applyFont="1" applyFill="1" applyBorder="1" applyAlignment="1" applyProtection="1">
      <alignment horizontal="right" vertical="center" wrapText="1"/>
      <protection locked="0"/>
    </xf>
    <xf numFmtId="0" fontId="19" fillId="8" borderId="1" xfId="60" applyFont="1" applyFill="1" applyBorder="1" applyAlignment="1">
      <alignment horizontal="center" vertical="center" wrapText="1"/>
    </xf>
    <xf numFmtId="49" fontId="19" fillId="8" borderId="1" xfId="0" applyNumberFormat="1" applyFont="1" applyFill="1" applyBorder="1" applyAlignment="1">
      <alignment horizontal="left" vertical="center"/>
    </xf>
    <xf numFmtId="0" fontId="19" fillId="8" borderId="1" xfId="60" applyFont="1" applyFill="1" applyBorder="1" applyAlignment="1">
      <alignment horizontal="left" vertical="center" wrapText="1"/>
    </xf>
    <xf numFmtId="0" fontId="19" fillId="8" borderId="1" xfId="0" applyFont="1" applyFill="1" applyBorder="1" applyAlignment="1">
      <alignment horizontal="justify" vertical="center" wrapText="1"/>
    </xf>
    <xf numFmtId="49" fontId="19" fillId="8" borderId="1" xfId="0" applyNumberFormat="1" applyFont="1" applyFill="1" applyBorder="1" applyAlignment="1">
      <alignment vertical="center" wrapText="1"/>
    </xf>
    <xf numFmtId="49" fontId="19" fillId="8" borderId="1" xfId="60" applyNumberFormat="1" applyFont="1" applyFill="1" applyBorder="1" applyAlignment="1">
      <alignment horizontal="left" vertical="center" wrapText="1"/>
    </xf>
    <xf numFmtId="0" fontId="19" fillId="8" borderId="1" xfId="0" applyFont="1" applyFill="1" applyBorder="1" applyAlignment="1">
      <alignment horizontal="left" vertical="center" wrapText="1"/>
    </xf>
    <xf numFmtId="0" fontId="19" fillId="8" borderId="1" xfId="0" applyFont="1" applyFill="1" applyBorder="1" applyAlignment="1">
      <alignment vertical="center"/>
    </xf>
    <xf numFmtId="43" fontId="19" fillId="8" borderId="1" xfId="1" applyFont="1" applyFill="1" applyBorder="1" applyAlignment="1" applyProtection="1">
      <alignment horizontal="left" vertical="center" wrapText="1"/>
    </xf>
    <xf numFmtId="10" fontId="19" fillId="8" borderId="1" xfId="3" applyNumberFormat="1" applyFont="1" applyFill="1" applyBorder="1" applyAlignment="1" applyProtection="1">
      <alignment horizontal="left" vertical="center" wrapText="1"/>
    </xf>
    <xf numFmtId="0" fontId="19" fillId="8" borderId="1" xfId="60" applyFont="1" applyFill="1" applyBorder="1" applyAlignment="1" applyProtection="1">
      <alignment horizontal="left" vertical="center" wrapText="1"/>
      <protection locked="0"/>
    </xf>
    <xf numFmtId="43" fontId="19" fillId="8" borderId="1" xfId="1" applyFont="1" applyFill="1" applyBorder="1" applyAlignment="1" applyProtection="1">
      <alignment horizontal="right" vertical="center" wrapText="1"/>
      <protection locked="0"/>
    </xf>
    <xf numFmtId="0" fontId="19" fillId="8" borderId="1" xfId="0" applyFont="1" applyFill="1" applyBorder="1" applyAlignment="1">
      <alignment horizontal="center" vertical="center" wrapText="1"/>
    </xf>
    <xf numFmtId="0" fontId="19" fillId="8" borderId="1" xfId="56" applyFont="1" applyFill="1" applyBorder="1" applyAlignment="1">
      <alignment horizontal="left" vertical="center" wrapText="1"/>
    </xf>
    <xf numFmtId="0" fontId="19" fillId="8" borderId="1" xfId="0" applyFont="1" applyFill="1" applyBorder="1" applyAlignment="1">
      <alignment horizontal="left" vertical="center"/>
    </xf>
    <xf numFmtId="49" fontId="19" fillId="8" borderId="8" xfId="0" applyNumberFormat="1" applyFont="1" applyFill="1" applyBorder="1" applyAlignment="1">
      <alignment horizontal="left" vertical="center"/>
    </xf>
    <xf numFmtId="49" fontId="19" fillId="0" borderId="1" xfId="0" applyNumberFormat="1" applyFont="1" applyFill="1" applyBorder="1" applyAlignment="1">
      <alignment vertical="center"/>
    </xf>
    <xf numFmtId="0" fontId="19" fillId="0" borderId="0" xfId="0" applyFont="1" applyFill="1" applyBorder="1" applyAlignment="1">
      <alignment vertical="center"/>
    </xf>
    <xf numFmtId="0" fontId="19" fillId="0" borderId="0" xfId="0" applyFont="1" applyFill="1" applyBorder="1" applyAlignment="1">
      <alignment horizontal="left" vertical="center"/>
    </xf>
    <xf numFmtId="3" fontId="19" fillId="0" borderId="1" xfId="0" applyNumberFormat="1" applyFont="1" applyFill="1" applyBorder="1" applyAlignment="1">
      <alignment horizontal="left"/>
    </xf>
    <xf numFmtId="0" fontId="19" fillId="0" borderId="0" xfId="0" applyFont="1" applyFill="1" applyBorder="1" applyAlignment="1">
      <alignment vertical="center" wrapText="1"/>
    </xf>
    <xf numFmtId="176" fontId="19" fillId="0" borderId="1" xfId="60" applyNumberFormat="1" applyFont="1" applyFill="1" applyBorder="1" applyAlignment="1">
      <alignment horizontal="left" vertical="center" wrapText="1"/>
    </xf>
    <xf numFmtId="3" fontId="19" fillId="0" borderId="1" xfId="0" applyNumberFormat="1" applyFont="1" applyFill="1" applyBorder="1" applyAlignment="1">
      <alignment horizontal="center"/>
    </xf>
    <xf numFmtId="0" fontId="19" fillId="0" borderId="1" xfId="0" applyFont="1" applyFill="1" applyBorder="1" applyAlignment="1">
      <alignment horizontal="left" vertical="center" shrinkToFit="1"/>
    </xf>
    <xf numFmtId="0" fontId="19" fillId="0" borderId="0" xfId="0" applyFont="1" applyFill="1" applyBorder="1" applyAlignment="1">
      <alignment horizontal="right" vertical="center"/>
    </xf>
    <xf numFmtId="0" fontId="19" fillId="0" borderId="1" xfId="74" applyFont="1" applyFill="1" applyBorder="1" applyAlignment="1">
      <alignment horizontal="left" vertical="center" wrapText="1"/>
    </xf>
    <xf numFmtId="179" fontId="19" fillId="0" borderId="1" xfId="0" applyNumberFormat="1" applyFont="1" applyFill="1" applyBorder="1" applyAlignment="1">
      <alignment vertical="center" wrapText="1"/>
    </xf>
    <xf numFmtId="43" fontId="19" fillId="0" borderId="1" xfId="1" applyFont="1" applyFill="1" applyBorder="1" applyAlignment="1">
      <alignment vertical="center" shrinkToFit="1"/>
    </xf>
    <xf numFmtId="182" fontId="19" fillId="0" borderId="2" xfId="0" applyNumberFormat="1" applyFont="1" applyFill="1" applyBorder="1" applyAlignment="1">
      <alignment vertical="center" wrapText="1"/>
    </xf>
    <xf numFmtId="0" fontId="5" fillId="0" borderId="1" xfId="60" applyFont="1" applyFill="1" applyBorder="1" applyAlignment="1">
      <alignment horizontal="center" vertical="center" wrapText="1"/>
    </xf>
    <xf numFmtId="49" fontId="12" fillId="8" borderId="1" xfId="0" applyNumberFormat="1" applyFont="1" applyFill="1" applyBorder="1" applyAlignment="1">
      <alignment horizontal="left" vertical="center"/>
    </xf>
    <xf numFmtId="49" fontId="12" fillId="8" borderId="1" xfId="0" applyNumberFormat="1" applyFont="1" applyFill="1" applyBorder="1" applyAlignment="1">
      <alignment vertical="center"/>
    </xf>
    <xf numFmtId="0" fontId="5" fillId="0" borderId="1" xfId="60" applyFont="1" applyFill="1" applyBorder="1" applyAlignment="1">
      <alignment vertical="center" wrapText="1"/>
    </xf>
    <xf numFmtId="0" fontId="5" fillId="0" borderId="1" xfId="0" applyFont="1" applyFill="1" applyBorder="1" applyAlignment="1">
      <alignment vertical="center" wrapText="1"/>
    </xf>
    <xf numFmtId="49" fontId="12" fillId="8" borderId="1" xfId="0" applyNumberFormat="1" applyFont="1" applyFill="1" applyBorder="1" applyAlignment="1">
      <alignment vertical="center" wrapText="1"/>
    </xf>
    <xf numFmtId="0" fontId="5" fillId="0" borderId="1" xfId="60" applyFont="1" applyFill="1" applyBorder="1" applyAlignment="1">
      <alignment horizontal="left" vertical="center" wrapText="1"/>
    </xf>
    <xf numFmtId="0" fontId="22" fillId="8" borderId="1" xfId="0" applyFont="1" applyFill="1" applyBorder="1" applyAlignment="1">
      <alignment vertical="center" wrapText="1"/>
    </xf>
    <xf numFmtId="4" fontId="19" fillId="0" borderId="1" xfId="0" applyNumberFormat="1" applyFont="1" applyFill="1" applyBorder="1" applyAlignment="1"/>
    <xf numFmtId="0" fontId="16" fillId="0" borderId="1" xfId="0" applyFont="1" applyFill="1" applyBorder="1" applyAlignment="1">
      <alignment horizontal="left" vertical="center" wrapText="1"/>
    </xf>
    <xf numFmtId="4" fontId="22" fillId="0" borderId="1" xfId="0" applyNumberFormat="1" applyFont="1" applyFill="1" applyBorder="1" applyAlignment="1"/>
    <xf numFmtId="43" fontId="5" fillId="0" borderId="1" xfId="1" applyFont="1" applyFill="1" applyBorder="1" applyAlignment="1" applyProtection="1">
      <alignment horizontal="left" vertical="center" wrapText="1"/>
    </xf>
    <xf numFmtId="179" fontId="12" fillId="8" borderId="1" xfId="0" applyNumberFormat="1" applyFont="1" applyFill="1" applyBorder="1" applyAlignment="1">
      <alignment vertical="center"/>
    </xf>
    <xf numFmtId="4" fontId="22" fillId="8" borderId="1" xfId="0" applyNumberFormat="1" applyFont="1" applyFill="1" applyBorder="1" applyAlignment="1"/>
    <xf numFmtId="182" fontId="19" fillId="0" borderId="1" xfId="0" applyNumberFormat="1" applyFont="1" applyFill="1" applyBorder="1" applyAlignment="1">
      <alignment vertical="center"/>
    </xf>
    <xf numFmtId="182" fontId="19" fillId="0" borderId="1" xfId="0" applyNumberFormat="1" applyFont="1" applyFill="1" applyBorder="1" applyAlignment="1">
      <alignment vertical="center" wrapText="1"/>
    </xf>
    <xf numFmtId="0" fontId="4" fillId="0" borderId="0" xfId="0" applyFont="1" applyAlignment="1"/>
    <xf numFmtId="0" fontId="23" fillId="0" borderId="0" xfId="0" applyFont="1" applyAlignment="1"/>
    <xf numFmtId="49" fontId="23" fillId="0" borderId="0" xfId="0" applyNumberFormat="1" applyFont="1" applyAlignment="1"/>
    <xf numFmtId="0" fontId="24" fillId="0" borderId="0" xfId="0" applyFont="1" applyAlignment="1">
      <alignment wrapText="1"/>
    </xf>
    <xf numFmtId="0" fontId="19" fillId="0" borderId="0" xfId="0" applyFont="1" applyFill="1" applyAlignment="1">
      <alignment vertical="center" wrapText="1"/>
    </xf>
    <xf numFmtId="0" fontId="19" fillId="0" borderId="0" xfId="0" applyFont="1" applyFill="1" applyAlignment="1">
      <alignment vertical="center"/>
    </xf>
    <xf numFmtId="0" fontId="25" fillId="0" borderId="0" xfId="0" applyFont="1" applyAlignment="1"/>
    <xf numFmtId="0" fontId="26" fillId="0" borderId="0" xfId="0" applyFont="1" applyAlignment="1"/>
    <xf numFmtId="43" fontId="25" fillId="0" borderId="0" xfId="1" applyFont="1" applyFill="1" applyBorder="1" applyAlignment="1"/>
    <xf numFmtId="49" fontId="25" fillId="0" borderId="0" xfId="0" applyNumberFormat="1" applyFont="1" applyAlignment="1"/>
    <xf numFmtId="0" fontId="25" fillId="0" borderId="0" xfId="0" applyFont="1" applyAlignment="1">
      <alignment horizontal="right"/>
    </xf>
    <xf numFmtId="43" fontId="25" fillId="0" borderId="0" xfId="1" applyNumberFormat="1" applyFont="1" applyFill="1" applyBorder="1" applyAlignment="1"/>
    <xf numFmtId="0" fontId="27" fillId="0" borderId="0" xfId="0" applyFont="1" applyAlignment="1"/>
    <xf numFmtId="0" fontId="13" fillId="0" borderId="0" xfId="0" applyFont="1" applyAlignment="1">
      <alignment horizontal="center"/>
    </xf>
    <xf numFmtId="0" fontId="14" fillId="0" borderId="0" xfId="0" applyFont="1" applyAlignment="1">
      <alignment horizontal="center"/>
    </xf>
    <xf numFmtId="182" fontId="21" fillId="2" borderId="6" xfId="0" applyNumberFormat="1" applyFont="1" applyFill="1" applyBorder="1" applyAlignment="1">
      <alignment horizontal="center" vertical="center" wrapText="1"/>
    </xf>
    <xf numFmtId="182" fontId="21" fillId="2" borderId="1" xfId="0" applyNumberFormat="1" applyFont="1" applyFill="1" applyBorder="1" applyAlignment="1">
      <alignment horizontal="center" vertical="center" wrapText="1"/>
    </xf>
    <xf numFmtId="182" fontId="21" fillId="9" borderId="1" xfId="0" applyNumberFormat="1" applyFont="1" applyFill="1" applyBorder="1" applyAlignment="1">
      <alignment horizontal="center" vertical="center" wrapText="1"/>
    </xf>
    <xf numFmtId="49" fontId="21" fillId="9" borderId="1" xfId="0" applyNumberFormat="1" applyFont="1" applyFill="1" applyBorder="1" applyAlignment="1">
      <alignment horizontal="center" vertical="center" wrapText="1"/>
    </xf>
    <xf numFmtId="182" fontId="21" fillId="2" borderId="8" xfId="0" applyNumberFormat="1"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3" fontId="19" fillId="0" borderId="1" xfId="0" applyNumberFormat="1" applyFont="1" applyFill="1" applyBorder="1" applyAlignment="1">
      <alignment vertical="center" wrapText="1"/>
    </xf>
    <xf numFmtId="3" fontId="19" fillId="0" borderId="1" xfId="0" applyNumberFormat="1" applyFont="1" applyFill="1" applyBorder="1" applyAlignment="1">
      <alignment horizontal="left" vertical="center" wrapText="1"/>
    </xf>
    <xf numFmtId="183" fontId="12"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12" fillId="0" borderId="1" xfId="0" applyFont="1" applyFill="1" applyBorder="1" applyAlignment="1">
      <alignment horizontal="left" vertical="center"/>
    </xf>
    <xf numFmtId="43" fontId="13" fillId="0" borderId="0" xfId="1" applyFont="1" applyFill="1" applyAlignment="1">
      <alignment horizontal="center"/>
    </xf>
    <xf numFmtId="43" fontId="14" fillId="0" borderId="0" xfId="1" applyFont="1" applyFill="1" applyAlignment="1">
      <alignment horizontal="center"/>
    </xf>
    <xf numFmtId="182" fontId="20" fillId="2" borderId="1" xfId="0" applyNumberFormat="1" applyFont="1" applyFill="1" applyBorder="1" applyAlignment="1">
      <alignment horizontal="center" vertical="center" wrapText="1"/>
    </xf>
    <xf numFmtId="43" fontId="21" fillId="2" borderId="1" xfId="1" applyFont="1" applyFill="1" applyBorder="1" applyAlignment="1">
      <alignment horizontal="center" vertical="center" wrapText="1"/>
    </xf>
    <xf numFmtId="43" fontId="21" fillId="9" borderId="1" xfId="1" applyFont="1" applyFill="1" applyBorder="1" applyAlignment="1" applyProtection="1">
      <alignment horizontal="center" vertical="center" wrapText="1"/>
    </xf>
    <xf numFmtId="0" fontId="19" fillId="0" borderId="1" xfId="0" applyNumberFormat="1" applyFont="1" applyFill="1" applyBorder="1" applyAlignment="1">
      <alignment horizontal="left" vertical="center" wrapText="1"/>
    </xf>
    <xf numFmtId="14" fontId="12" fillId="0" borderId="1" xfId="0" applyNumberFormat="1" applyFont="1" applyFill="1" applyBorder="1" applyAlignment="1">
      <alignment vertical="center"/>
    </xf>
    <xf numFmtId="4" fontId="19" fillId="0" borderId="1" xfId="1" applyNumberFormat="1" applyFont="1" applyFill="1" applyBorder="1" applyAlignment="1">
      <alignment vertical="center" wrapText="1"/>
    </xf>
    <xf numFmtId="0" fontId="12" fillId="0" borderId="1" xfId="61" applyNumberFormat="1" applyFont="1" applyFill="1" applyBorder="1" applyAlignment="1">
      <alignment horizontal="center" vertical="center"/>
    </xf>
    <xf numFmtId="43" fontId="12" fillId="0" borderId="1" xfId="0" applyNumberFormat="1" applyFont="1" applyFill="1" applyBorder="1" applyAlignment="1">
      <alignment vertical="center"/>
    </xf>
    <xf numFmtId="0" fontId="12" fillId="0" borderId="1" xfId="0" applyNumberFormat="1" applyFont="1" applyFill="1" applyBorder="1" applyAlignment="1">
      <alignment horizontal="center" vertical="center"/>
    </xf>
    <xf numFmtId="0" fontId="12" fillId="0" borderId="1" xfId="59" applyNumberFormat="1" applyFont="1" applyFill="1" applyBorder="1" applyAlignment="1">
      <alignment horizontal="center" vertical="center"/>
    </xf>
    <xf numFmtId="0" fontId="12" fillId="0" borderId="1" xfId="62" applyNumberFormat="1" applyFont="1" applyFill="1" applyBorder="1" applyAlignment="1">
      <alignment horizontal="center" vertical="center"/>
    </xf>
    <xf numFmtId="0" fontId="12" fillId="0" borderId="1" xfId="57" applyNumberFormat="1" applyFont="1" applyFill="1" applyBorder="1" applyAlignment="1">
      <alignment horizontal="center" vertical="center"/>
    </xf>
    <xf numFmtId="0" fontId="12" fillId="0" borderId="1" xfId="63" applyNumberFormat="1"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52" applyNumberFormat="1" applyFont="1" applyFill="1" applyBorder="1" applyAlignment="1">
      <alignment horizontal="center" vertical="center"/>
    </xf>
    <xf numFmtId="0" fontId="12" fillId="0" borderId="1" xfId="0" applyNumberFormat="1" applyFont="1" applyFill="1" applyBorder="1" applyAlignment="1">
      <alignment horizontal="center" vertical="center" shrinkToFit="1"/>
    </xf>
    <xf numFmtId="0" fontId="12" fillId="0" borderId="1" xfId="49" applyNumberFormat="1" applyFont="1" applyFill="1" applyBorder="1" applyAlignment="1">
      <alignment horizontal="center" vertical="center"/>
    </xf>
    <xf numFmtId="0" fontId="12" fillId="0" borderId="1" xfId="53" applyNumberFormat="1" applyFont="1" applyFill="1" applyBorder="1" applyAlignment="1">
      <alignment horizontal="center" vertical="center"/>
    </xf>
    <xf numFmtId="0" fontId="12" fillId="0" borderId="1" xfId="50" applyNumberFormat="1" applyFont="1" applyFill="1" applyBorder="1" applyAlignment="1">
      <alignment horizontal="center" vertical="center"/>
    </xf>
    <xf numFmtId="0" fontId="12" fillId="0" borderId="1" xfId="55" applyNumberFormat="1" applyFont="1" applyFill="1" applyBorder="1" applyAlignment="1">
      <alignment horizontal="center" vertical="center"/>
    </xf>
    <xf numFmtId="0" fontId="12" fillId="0" borderId="1" xfId="51" applyNumberFormat="1" applyFont="1" applyFill="1" applyBorder="1" applyAlignment="1">
      <alignment horizontal="center" vertical="center"/>
    </xf>
    <xf numFmtId="14" fontId="12" fillId="0" borderId="1" xfId="0" applyNumberFormat="1" applyFont="1" applyFill="1" applyBorder="1" applyAlignment="1">
      <alignment horizontal="center" vertical="center"/>
    </xf>
    <xf numFmtId="0" fontId="12" fillId="0" borderId="1" xfId="0" applyFont="1" applyFill="1" applyBorder="1" applyAlignment="1" applyProtection="1">
      <alignment horizontal="center" vertical="center" shrinkToFit="1"/>
      <protection locked="0"/>
    </xf>
    <xf numFmtId="43" fontId="12" fillId="0" borderId="1" xfId="0" applyNumberFormat="1" applyFont="1" applyFill="1" applyBorder="1" applyAlignment="1" applyProtection="1">
      <alignment horizontal="center" vertical="center"/>
      <protection locked="0"/>
    </xf>
    <xf numFmtId="0" fontId="28" fillId="0" borderId="0" xfId="0" applyFont="1">
      <alignment vertical="center"/>
    </xf>
    <xf numFmtId="49" fontId="13" fillId="0" borderId="0" xfId="0" applyNumberFormat="1" applyFont="1" applyAlignment="1">
      <alignment horizontal="center"/>
    </xf>
    <xf numFmtId="0" fontId="13" fillId="0" borderId="0" xfId="0" applyFont="1" applyAlignment="1">
      <alignment horizontal="right"/>
    </xf>
    <xf numFmtId="43" fontId="13" fillId="0" borderId="0" xfId="1" applyNumberFormat="1" applyFont="1" applyFill="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43" fontId="14" fillId="0" borderId="0" xfId="1" applyNumberFormat="1" applyFont="1" applyFill="1" applyAlignment="1">
      <alignment horizontal="center"/>
    </xf>
    <xf numFmtId="182" fontId="21" fillId="2" borderId="1" xfId="0" applyNumberFormat="1" applyFont="1" applyFill="1" applyBorder="1" applyAlignment="1">
      <alignment horizontal="right" vertical="center" wrapText="1"/>
    </xf>
    <xf numFmtId="43" fontId="21" fillId="2" borderId="1" xfId="1" applyNumberFormat="1" applyFont="1" applyFill="1" applyBorder="1" applyAlignment="1">
      <alignment horizontal="center" vertical="center" wrapText="1"/>
    </xf>
    <xf numFmtId="43" fontId="20" fillId="2" borderId="1" xfId="1" applyFont="1" applyFill="1" applyBorder="1" applyAlignment="1">
      <alignment horizontal="center" vertical="center" wrapText="1"/>
    </xf>
    <xf numFmtId="49" fontId="21" fillId="9" borderId="1" xfId="0" applyNumberFormat="1" applyFont="1" applyFill="1" applyBorder="1" applyAlignment="1">
      <alignment horizontal="right" vertical="center" wrapText="1"/>
    </xf>
    <xf numFmtId="43" fontId="21" fillId="9" borderId="1" xfId="1" applyNumberFormat="1" applyFont="1" applyFill="1" applyBorder="1" applyAlignment="1" applyProtection="1">
      <alignment horizontal="center" vertical="center" wrapText="1"/>
    </xf>
    <xf numFmtId="49" fontId="21" fillId="2" borderId="1" xfId="0" applyNumberFormat="1" applyFont="1" applyFill="1" applyBorder="1" applyAlignment="1">
      <alignment horizontal="right" vertical="center" wrapText="1"/>
    </xf>
    <xf numFmtId="49" fontId="12" fillId="0" borderId="3" xfId="54" applyNumberFormat="1" applyFont="1" applyFill="1" applyBorder="1" applyAlignment="1">
      <alignment horizontal="right" vertical="center" wrapText="1"/>
    </xf>
    <xf numFmtId="43" fontId="12" fillId="0" borderId="1" xfId="0" applyNumberFormat="1" applyFont="1" applyFill="1" applyBorder="1" applyAlignment="1">
      <alignment horizontal="center" vertical="center" wrapText="1"/>
    </xf>
    <xf numFmtId="43" fontId="19" fillId="0" borderId="1" xfId="1" applyNumberFormat="1" applyFont="1" applyFill="1" applyBorder="1" applyAlignment="1">
      <alignment vertical="center" wrapText="1"/>
    </xf>
    <xf numFmtId="49" fontId="12" fillId="0" borderId="1" xfId="64" applyNumberFormat="1" applyFont="1" applyFill="1" applyBorder="1" applyAlignment="1">
      <alignment horizontal="right" vertical="center"/>
    </xf>
    <xf numFmtId="49" fontId="12" fillId="0" borderId="3" xfId="64" applyNumberFormat="1" applyFont="1" applyFill="1" applyBorder="1" applyAlignment="1">
      <alignment horizontal="right" vertical="center"/>
    </xf>
    <xf numFmtId="49" fontId="12" fillId="0" borderId="1" xfId="0" applyNumberFormat="1" applyFont="1" applyFill="1" applyBorder="1" applyAlignment="1">
      <alignment horizontal="right" vertical="center"/>
    </xf>
    <xf numFmtId="0" fontId="12" fillId="0" borderId="1" xfId="0" applyFont="1" applyFill="1" applyBorder="1" applyAlignment="1">
      <alignment horizontal="right" vertical="center"/>
    </xf>
    <xf numFmtId="49" fontId="12" fillId="0" borderId="1" xfId="0" applyNumberFormat="1" applyFont="1" applyFill="1" applyBorder="1" applyAlignment="1">
      <alignment horizontal="right" vertical="center" shrinkToFit="1"/>
    </xf>
    <xf numFmtId="43" fontId="29" fillId="9" borderId="1" xfId="1" applyFont="1" applyFill="1" applyBorder="1" applyAlignment="1" applyProtection="1">
      <alignment horizontal="center" wrapText="1"/>
    </xf>
    <xf numFmtId="49" fontId="30" fillId="0" borderId="2" xfId="0" applyNumberFormat="1" applyFont="1" applyFill="1" applyBorder="1" applyAlignment="1">
      <alignment horizontal="left" vertical="center" shrinkToFit="1"/>
    </xf>
    <xf numFmtId="14" fontId="12" fillId="0" borderId="0" xfId="0" applyNumberFormat="1" applyFont="1" applyFill="1" applyAlignment="1">
      <alignment vertical="center"/>
    </xf>
    <xf numFmtId="0" fontId="12" fillId="0" borderId="1" xfId="66" applyNumberFormat="1" applyFont="1" applyFill="1" applyBorder="1" applyAlignment="1">
      <alignment horizontal="center" vertical="center"/>
    </xf>
    <xf numFmtId="0" fontId="12" fillId="0" borderId="1" xfId="67" applyNumberFormat="1" applyFont="1" applyFill="1" applyBorder="1" applyAlignment="1">
      <alignment horizontal="center" vertical="center"/>
    </xf>
    <xf numFmtId="0" fontId="12" fillId="0" borderId="1" xfId="69" applyNumberFormat="1" applyFont="1" applyFill="1" applyBorder="1" applyAlignment="1">
      <alignment horizontal="center" vertical="center"/>
    </xf>
    <xf numFmtId="0" fontId="12" fillId="0" borderId="1" xfId="70" applyNumberFormat="1" applyFont="1" applyFill="1" applyBorder="1" applyAlignment="1">
      <alignment horizontal="center" vertical="center"/>
    </xf>
    <xf numFmtId="0" fontId="12" fillId="0" borderId="1" xfId="72" applyNumberFormat="1" applyFont="1" applyFill="1" applyBorder="1" applyAlignment="1">
      <alignment horizontal="center" vertical="center"/>
    </xf>
    <xf numFmtId="0" fontId="12" fillId="0" borderId="1" xfId="73" applyNumberFormat="1" applyFont="1" applyFill="1" applyBorder="1" applyAlignment="1">
      <alignment horizontal="center" vertical="center"/>
    </xf>
    <xf numFmtId="0" fontId="12" fillId="0" borderId="1" xfId="65" applyNumberFormat="1" applyFont="1" applyFill="1" applyBorder="1" applyAlignment="1">
      <alignment horizontal="center" vertical="center"/>
    </xf>
    <xf numFmtId="49" fontId="12" fillId="0" borderId="1" xfId="64" applyNumberFormat="1" applyFont="1" applyFill="1" applyBorder="1" applyAlignment="1">
      <alignment horizontal="center" vertical="center"/>
    </xf>
    <xf numFmtId="0" fontId="12" fillId="0" borderId="1" xfId="71" applyNumberFormat="1" applyFont="1" applyFill="1" applyBorder="1" applyAlignment="1">
      <alignment horizontal="center" vertical="center"/>
    </xf>
    <xf numFmtId="0" fontId="12" fillId="0" borderId="1" xfId="68" applyNumberFormat="1" applyFont="1" applyFill="1" applyBorder="1" applyAlignment="1">
      <alignment horizontal="center" vertical="center"/>
    </xf>
    <xf numFmtId="184" fontId="19" fillId="0" borderId="1" xfId="0" applyNumberFormat="1" applyFont="1" applyFill="1" applyBorder="1" applyAlignment="1">
      <alignment vertical="center" wrapText="1"/>
    </xf>
    <xf numFmtId="3" fontId="19" fillId="0" borderId="1" xfId="0" applyNumberFormat="1" applyFont="1" applyFill="1" applyBorder="1" applyAlignment="1">
      <alignment horizontal="right" vertical="center" wrapText="1"/>
    </xf>
    <xf numFmtId="183" fontId="12" fillId="0" borderId="2" xfId="0" applyNumberFormat="1"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5" fillId="0" borderId="0" xfId="0" applyFont="1">
      <alignment vertical="center"/>
    </xf>
    <xf numFmtId="0" fontId="6" fillId="0" borderId="0" xfId="0" applyFont="1">
      <alignment vertical="center"/>
    </xf>
    <xf numFmtId="0" fontId="31" fillId="0" borderId="0" xfId="0" applyFont="1">
      <alignment vertical="center"/>
    </xf>
    <xf numFmtId="49" fontId="31" fillId="0" borderId="0" xfId="0" applyNumberFormat="1" applyFont="1">
      <alignment vertical="center"/>
    </xf>
    <xf numFmtId="0" fontId="8" fillId="0" borderId="0" xfId="0" applyFont="1" applyAlignment="1">
      <alignment horizontal="center" vertical="center"/>
    </xf>
    <xf numFmtId="43" fontId="8" fillId="0" borderId="0" xfId="1" applyFont="1" applyAlignment="1">
      <alignment horizontal="center" vertical="center"/>
    </xf>
    <xf numFmtId="0" fontId="32" fillId="0" borderId="0" xfId="0" applyFont="1" applyAlignment="1">
      <alignment horizontal="center" vertical="center"/>
    </xf>
    <xf numFmtId="43" fontId="32" fillId="0" borderId="0" xfId="1" applyFont="1" applyAlignment="1">
      <alignment horizontal="center" vertical="center"/>
    </xf>
    <xf numFmtId="0" fontId="5" fillId="0" borderId="0" xfId="0" applyFont="1" applyAlignment="1">
      <alignment horizontal="center" vertical="center"/>
    </xf>
    <xf numFmtId="43" fontId="5" fillId="0" borderId="0" xfId="1" applyFont="1" applyAlignment="1">
      <alignment horizontal="center" vertical="center"/>
    </xf>
    <xf numFmtId="0" fontId="6" fillId="2" borderId="6" xfId="0" applyFont="1" applyFill="1" applyBorder="1" applyAlignment="1">
      <alignment horizontal="center" vertical="center"/>
    </xf>
    <xf numFmtId="0" fontId="6" fillId="2" borderId="1" xfId="0" applyFont="1" applyFill="1" applyBorder="1" applyAlignment="1">
      <alignment horizontal="center" vertical="center" wrapText="1"/>
    </xf>
    <xf numFmtId="43" fontId="6" fillId="2" borderId="1" xfId="1" applyFont="1" applyFill="1" applyBorder="1" applyAlignment="1">
      <alignment horizontal="center" vertical="center"/>
    </xf>
    <xf numFmtId="0" fontId="6" fillId="2" borderId="7" xfId="0" applyFont="1" applyFill="1" applyBorder="1" applyAlignment="1">
      <alignment horizontal="center" vertical="center"/>
    </xf>
    <xf numFmtId="43" fontId="6" fillId="2" borderId="1" xfId="1" applyFont="1" applyFill="1" applyBorder="1" applyAlignment="1">
      <alignment horizontal="center" vertical="center" wrapText="1"/>
    </xf>
    <xf numFmtId="0" fontId="6" fillId="2" borderId="8" xfId="0" applyFont="1" applyFill="1" applyBorder="1" applyAlignment="1">
      <alignment horizontal="center" vertical="center"/>
    </xf>
    <xf numFmtId="0" fontId="5" fillId="0" borderId="1" xfId="0" applyFont="1" applyBorder="1" applyAlignment="1">
      <alignment horizontal="center" vertical="center"/>
    </xf>
    <xf numFmtId="0" fontId="16" fillId="0" borderId="1" xfId="0" applyFont="1" applyBorder="1" applyAlignment="1">
      <alignment horizontal="center" vertical="center"/>
    </xf>
    <xf numFmtId="43" fontId="5" fillId="0" borderId="1" xfId="1" applyFont="1" applyBorder="1" applyAlignment="1">
      <alignment horizontal="center" vertical="center" wrapText="1"/>
    </xf>
    <xf numFmtId="43" fontId="5" fillId="0" borderId="1" xfId="1" applyFont="1" applyBorder="1" applyAlignment="1">
      <alignment horizontal="center" vertical="center"/>
    </xf>
    <xf numFmtId="0" fontId="5" fillId="0" borderId="1" xfId="0" applyFont="1" applyBorder="1" applyAlignment="1">
      <alignment horizontal="center" vertical="center" wrapText="1"/>
    </xf>
    <xf numFmtId="43" fontId="5" fillId="0" borderId="1" xfId="1" applyFont="1" applyFill="1" applyBorder="1" applyAlignment="1">
      <alignment horizontal="center" vertical="center" wrapText="1"/>
    </xf>
    <xf numFmtId="43" fontId="5" fillId="0" borderId="1" xfId="1" applyFont="1" applyFill="1" applyBorder="1" applyAlignment="1">
      <alignment horizontal="center" vertical="center"/>
    </xf>
    <xf numFmtId="43" fontId="20" fillId="2" borderId="3" xfId="1" applyFont="1" applyFill="1" applyBorder="1" applyAlignment="1">
      <alignment horizontal="center" vertical="center"/>
    </xf>
    <xf numFmtId="43" fontId="20" fillId="2" borderId="5" xfId="1" applyFont="1" applyFill="1" applyBorder="1" applyAlignment="1">
      <alignment horizontal="center" vertical="center"/>
    </xf>
    <xf numFmtId="43" fontId="20" fillId="2" borderId="2" xfId="1" applyFont="1" applyFill="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43" fontId="5" fillId="0" borderId="9" xfId="1" applyFont="1" applyBorder="1" applyAlignment="1">
      <alignment horizontal="center" vertical="center"/>
    </xf>
    <xf numFmtId="0" fontId="33" fillId="0" borderId="0" xfId="0" applyFont="1" applyAlignment="1">
      <alignment vertical="center" wrapText="1"/>
    </xf>
    <xf numFmtId="0" fontId="8" fillId="0" borderId="0" xfId="0" applyFont="1" applyAlignment="1">
      <alignment horizontal="center"/>
    </xf>
    <xf numFmtId="49" fontId="8" fillId="0" borderId="0" xfId="0" applyNumberFormat="1" applyFont="1" applyAlignment="1">
      <alignment horizontal="center" vertical="center"/>
    </xf>
    <xf numFmtId="43" fontId="8" fillId="0" borderId="0" xfId="1" applyFont="1" applyFill="1" applyBorder="1" applyAlignment="1"/>
    <xf numFmtId="0" fontId="9" fillId="0" borderId="0" xfId="0" applyFont="1" applyAlignment="1">
      <alignment horizontal="center" vertical="center"/>
    </xf>
    <xf numFmtId="0" fontId="5" fillId="0" borderId="4" xfId="0" applyFont="1" applyBorder="1" applyAlignment="1">
      <alignment horizontal="center" vertical="center"/>
    </xf>
    <xf numFmtId="0" fontId="6" fillId="3" borderId="1" xfId="60" applyFont="1" applyFill="1" applyBorder="1" applyAlignment="1">
      <alignment horizontal="center" vertical="center" wrapText="1"/>
    </xf>
    <xf numFmtId="0" fontId="21" fillId="3" borderId="1"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21" fillId="3" borderId="1" xfId="1"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43" fontId="4" fillId="4" borderId="1" xfId="1" applyFont="1" applyFill="1" applyBorder="1" applyAlignment="1" applyProtection="1">
      <alignment horizontal="center" vertical="center" wrapText="1"/>
    </xf>
    <xf numFmtId="0" fontId="1" fillId="4" borderId="3" xfId="0" applyFont="1" applyFill="1" applyBorder="1" applyAlignment="1">
      <alignment horizontal="center" vertical="center"/>
    </xf>
    <xf numFmtId="43" fontId="4" fillId="0" borderId="1" xfId="1" applyFont="1" applyFill="1" applyBorder="1" applyAlignment="1" applyProtection="1">
      <alignment horizontal="center" vertical="center" wrapText="1"/>
    </xf>
    <xf numFmtId="0" fontId="1" fillId="4" borderId="1" xfId="1" applyNumberFormat="1" applyFont="1" applyFill="1" applyBorder="1" applyAlignment="1">
      <alignment horizontal="center" vertical="center"/>
    </xf>
    <xf numFmtId="0" fontId="1" fillId="0" borderId="1" xfId="1" applyNumberFormat="1" applyFont="1" applyFill="1" applyBorder="1" applyAlignment="1">
      <alignment vertical="center"/>
    </xf>
    <xf numFmtId="0" fontId="5" fillId="4" borderId="0" xfId="0" applyFont="1" applyFill="1" applyAlignment="1"/>
    <xf numFmtId="0" fontId="5" fillId="0" borderId="0" xfId="0" applyFont="1" applyAlignment="1"/>
    <xf numFmtId="0" fontId="34" fillId="0" borderId="0" xfId="0" applyFont="1">
      <alignment vertical="center"/>
    </xf>
    <xf numFmtId="9" fontId="8" fillId="0" borderId="0" xfId="3" applyFont="1" applyAlignment="1"/>
    <xf numFmtId="0" fontId="8" fillId="0" borderId="0" xfId="0" applyFont="1" applyAlignment="1"/>
    <xf numFmtId="49" fontId="8" fillId="0" borderId="0" xfId="0" applyNumberFormat="1" applyFont="1" applyAlignment="1">
      <alignment horizontal="center"/>
    </xf>
    <xf numFmtId="43" fontId="8" fillId="0" borderId="0" xfId="1" applyFont="1" applyFill="1" applyAlignment="1"/>
    <xf numFmtId="0" fontId="35" fillId="0" borderId="0" xfId="0" applyFont="1" applyAlignment="1"/>
    <xf numFmtId="185" fontId="35" fillId="0" borderId="0" xfId="3" applyNumberFormat="1" applyFont="1" applyFill="1" applyAlignment="1"/>
    <xf numFmtId="0" fontId="13" fillId="0" borderId="0" xfId="0" applyFont="1" applyAlignment="1">
      <alignment horizontal="center" vertical="center" wrapText="1"/>
    </xf>
    <xf numFmtId="43" fontId="13" fillId="0" borderId="0" xfId="1" applyFont="1" applyFill="1" applyAlignment="1">
      <alignment horizontal="center" vertical="center" wrapText="1"/>
    </xf>
    <xf numFmtId="185" fontId="13" fillId="0" borderId="0" xfId="3" applyNumberFormat="1" applyFont="1" applyFill="1" applyAlignment="1">
      <alignment horizontal="center" vertical="center" wrapText="1"/>
    </xf>
    <xf numFmtId="185" fontId="14" fillId="0" borderId="0" xfId="3" applyNumberFormat="1" applyFont="1" applyFill="1" applyAlignment="1">
      <alignment horizontal="center"/>
    </xf>
    <xf numFmtId="0" fontId="21" fillId="2" borderId="6" xfId="0" applyFont="1" applyFill="1" applyBorder="1" applyAlignment="1">
      <alignment horizontal="center" vertical="center" wrapText="1"/>
    </xf>
    <xf numFmtId="49" fontId="21" fillId="2" borderId="6"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185" fontId="6" fillId="2" borderId="5" xfId="3" applyNumberFormat="1" applyFont="1" applyFill="1" applyBorder="1" applyAlignment="1">
      <alignment horizontal="center" vertical="center" wrapText="1"/>
    </xf>
    <xf numFmtId="0" fontId="21" fillId="2" borderId="7" xfId="0" applyFont="1" applyFill="1" applyBorder="1" applyAlignment="1">
      <alignment horizontal="center" vertical="center" wrapText="1"/>
    </xf>
    <xf numFmtId="49" fontId="21" fillId="2" borderId="7"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185" fontId="21" fillId="2" borderId="1" xfId="3" applyNumberFormat="1" applyFont="1" applyFill="1" applyBorder="1" applyAlignment="1">
      <alignment horizontal="center" vertical="center" wrapText="1"/>
    </xf>
    <xf numFmtId="0" fontId="21" fillId="2" borderId="8" xfId="0" applyFont="1" applyFill="1" applyBorder="1" applyAlignment="1">
      <alignment horizontal="center" vertical="center" wrapText="1"/>
    </xf>
    <xf numFmtId="49" fontId="21" fillId="2" borderId="8"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49" fontId="5" fillId="0" borderId="1" xfId="0" applyNumberFormat="1" applyFont="1" applyBorder="1" applyAlignment="1">
      <alignment horizontal="center" vertical="center" wrapText="1"/>
    </xf>
    <xf numFmtId="43" fontId="36" fillId="0" borderId="1" xfId="1" applyFont="1" applyFill="1" applyBorder="1" applyAlignment="1">
      <alignment vertical="center" wrapText="1"/>
    </xf>
    <xf numFmtId="9" fontId="36" fillId="0" borderId="9" xfId="0" applyNumberFormat="1" applyFont="1" applyBorder="1" applyAlignment="1">
      <alignment vertical="center" wrapText="1"/>
    </xf>
    <xf numFmtId="10" fontId="5" fillId="0" borderId="9" xfId="3" applyNumberFormat="1" applyFont="1" applyFill="1" applyBorder="1" applyAlignment="1">
      <alignment vertical="center" wrapText="1"/>
    </xf>
    <xf numFmtId="0" fontId="6" fillId="0" borderId="1" xfId="0" applyFont="1" applyBorder="1" applyAlignment="1">
      <alignment vertical="center" wrapText="1"/>
    </xf>
    <xf numFmtId="9" fontId="36" fillId="0" borderId="1" xfId="0" applyNumberFormat="1" applyFont="1" applyBorder="1" applyAlignment="1">
      <alignment vertical="center" wrapText="1"/>
    </xf>
    <xf numFmtId="10" fontId="5" fillId="0" borderId="1" xfId="3" applyNumberFormat="1" applyFont="1" applyFill="1" applyBorder="1" applyAlignment="1">
      <alignment vertical="center" wrapText="1"/>
    </xf>
    <xf numFmtId="0" fontId="5" fillId="0" borderId="1" xfId="0" applyFont="1" applyBorder="1" applyAlignment="1">
      <alignment vertical="center" wrapText="1"/>
    </xf>
    <xf numFmtId="43" fontId="36" fillId="0" borderId="9" xfId="1" applyFont="1" applyFill="1" applyBorder="1" applyAlignment="1">
      <alignment vertical="center" wrapText="1"/>
    </xf>
    <xf numFmtId="10" fontId="36" fillId="0" borderId="9" xfId="3" applyNumberFormat="1" applyFont="1" applyFill="1" applyBorder="1" applyAlignment="1">
      <alignment vertical="center" wrapText="1"/>
    </xf>
    <xf numFmtId="0" fontId="37" fillId="0" borderId="10" xfId="0" applyFont="1" applyBorder="1" applyAlignment="1">
      <alignment vertical="center" wrapText="1"/>
    </xf>
    <xf numFmtId="0" fontId="37" fillId="0" borderId="0" xfId="0" applyFont="1" applyAlignment="1">
      <alignment vertical="center" wrapText="1"/>
    </xf>
    <xf numFmtId="43" fontId="37" fillId="0" borderId="0" xfId="1" applyFont="1" applyFill="1" applyBorder="1" applyAlignment="1">
      <alignment vertical="center" wrapText="1"/>
    </xf>
    <xf numFmtId="185" fontId="37" fillId="0" borderId="0" xfId="3" applyNumberFormat="1" applyFont="1" applyFill="1" applyBorder="1" applyAlignment="1">
      <alignment vertical="center" wrapText="1"/>
    </xf>
    <xf numFmtId="9" fontId="33" fillId="0" borderId="0" xfId="3" applyFont="1" applyAlignment="1">
      <alignment horizontal="center" vertical="center"/>
    </xf>
    <xf numFmtId="49" fontId="8" fillId="0" borderId="0" xfId="3" applyNumberFormat="1" applyFont="1" applyAlignment="1">
      <alignment horizontal="center"/>
    </xf>
    <xf numFmtId="43" fontId="8" fillId="0" borderId="0" xfId="1" applyFont="1" applyAlignment="1"/>
    <xf numFmtId="9" fontId="35" fillId="0" borderId="0" xfId="3" applyFont="1" applyAlignment="1"/>
    <xf numFmtId="185" fontId="35" fillId="0" borderId="0" xfId="3" applyNumberFormat="1" applyFont="1" applyAlignment="1"/>
    <xf numFmtId="49" fontId="33" fillId="0" borderId="0" xfId="3" applyNumberFormat="1" applyFont="1" applyAlignment="1">
      <alignment horizontal="center" vertical="center"/>
    </xf>
    <xf numFmtId="43" fontId="24" fillId="0" borderId="0" xfId="1" applyFont="1" applyAlignment="1">
      <alignment horizontal="left" vertical="center"/>
    </xf>
    <xf numFmtId="0" fontId="38" fillId="0" borderId="0" xfId="0" applyFont="1" applyAlignment="1"/>
    <xf numFmtId="43" fontId="36" fillId="0" borderId="1" xfId="1" applyFont="1" applyFill="1" applyBorder="1" applyAlignment="1">
      <alignment horizontal="right" vertical="center" wrapText="1"/>
    </xf>
    <xf numFmtId="49" fontId="5" fillId="0" borderId="0" xfId="0" applyNumberFormat="1" applyFont="1" applyAlignment="1"/>
    <xf numFmtId="0" fontId="16" fillId="0" borderId="0" xfId="0" applyFont="1" applyAlignment="1"/>
    <xf numFmtId="43" fontId="5" fillId="0" borderId="0" xfId="1" applyFont="1" applyFill="1" applyAlignment="1"/>
    <xf numFmtId="0" fontId="39" fillId="0" borderId="0" xfId="0" applyFont="1" applyAlignment="1">
      <alignment horizontal="center"/>
    </xf>
    <xf numFmtId="43" fontId="39" fillId="0" borderId="0" xfId="1" applyFont="1" applyFill="1" applyAlignment="1">
      <alignment horizontal="center"/>
    </xf>
    <xf numFmtId="0" fontId="26" fillId="0" borderId="4" xfId="0" applyFont="1" applyBorder="1" applyAlignment="1">
      <alignment horizontal="center" vertical="center"/>
    </xf>
    <xf numFmtId="43" fontId="26" fillId="0" borderId="4" xfId="1" applyFont="1" applyFill="1" applyBorder="1" applyAlignment="1">
      <alignment horizontal="center" vertical="center"/>
    </xf>
    <xf numFmtId="0" fontId="40" fillId="0" borderId="0" xfId="0" applyFont="1" applyAlignment="1"/>
    <xf numFmtId="182" fontId="41" fillId="2" borderId="6" xfId="0" applyNumberFormat="1" applyFont="1" applyFill="1" applyBorder="1" applyAlignment="1">
      <alignment horizontal="center" vertical="center" wrapText="1"/>
    </xf>
    <xf numFmtId="43" fontId="41" fillId="2" borderId="1" xfId="1" applyFont="1" applyFill="1" applyBorder="1" applyAlignment="1">
      <alignment horizontal="center" vertical="center" wrapText="1"/>
    </xf>
    <xf numFmtId="182" fontId="41" fillId="2" borderId="8" xfId="0" applyNumberFormat="1" applyFont="1" applyFill="1" applyBorder="1" applyAlignment="1">
      <alignment horizontal="center" vertical="center" wrapText="1"/>
    </xf>
    <xf numFmtId="0" fontId="40" fillId="10" borderId="1" xfId="58" applyFont="1" applyFill="1" applyBorder="1" applyAlignment="1">
      <alignment horizontal="left" vertical="center"/>
    </xf>
    <xf numFmtId="0" fontId="16" fillId="10" borderId="1" xfId="58" applyFont="1" applyFill="1" applyBorder="1" applyAlignment="1">
      <alignment horizontal="center" vertical="center"/>
    </xf>
    <xf numFmtId="43" fontId="16" fillId="10" borderId="1" xfId="1" applyFont="1" applyFill="1" applyBorder="1" applyAlignment="1">
      <alignment horizontal="center" vertical="center" wrapText="1"/>
    </xf>
    <xf numFmtId="43" fontId="40" fillId="10" borderId="1" xfId="1" applyFont="1" applyFill="1" applyBorder="1" applyAlignment="1">
      <alignment horizontal="center" vertical="center" wrapText="1"/>
    </xf>
    <xf numFmtId="0" fontId="5" fillId="10" borderId="1" xfId="0" applyFont="1" applyFill="1" applyBorder="1" applyAlignment="1">
      <alignment horizontal="left" vertical="center" wrapText="1"/>
    </xf>
    <xf numFmtId="43" fontId="16" fillId="0" borderId="1" xfId="1" applyFont="1" applyFill="1" applyBorder="1" applyAlignment="1">
      <alignment horizontal="center" vertical="center" wrapText="1"/>
    </xf>
    <xf numFmtId="182" fontId="40" fillId="10" borderId="1" xfId="0" applyNumberFormat="1" applyFont="1" applyFill="1" applyBorder="1" applyAlignment="1">
      <alignment horizontal="center" vertical="center" wrapText="1"/>
    </xf>
    <xf numFmtId="0" fontId="8" fillId="0" borderId="0" xfId="56" applyFont="1" applyAlignment="1"/>
    <xf numFmtId="43" fontId="8" fillId="0" borderId="0" xfId="1" applyFont="1" applyFill="1" applyBorder="1" applyAlignment="1" applyProtection="1"/>
    <xf numFmtId="43" fontId="9" fillId="0" borderId="0" xfId="1" applyFont="1" applyAlignment="1">
      <alignment horizontal="center" vertical="center"/>
    </xf>
    <xf numFmtId="0" fontId="6" fillId="0" borderId="6" xfId="56" applyFont="1" applyBorder="1" applyAlignment="1">
      <alignment horizontal="center" vertical="center" wrapText="1"/>
    </xf>
    <xf numFmtId="0" fontId="6" fillId="2" borderId="6" xfId="56" applyFont="1" applyFill="1" applyBorder="1" applyAlignment="1">
      <alignment horizontal="center" vertical="center"/>
    </xf>
    <xf numFmtId="0" fontId="6" fillId="0" borderId="7" xfId="56" applyFont="1" applyBorder="1" applyAlignment="1">
      <alignment horizontal="center" vertical="center" wrapText="1"/>
    </xf>
    <xf numFmtId="0" fontId="6" fillId="2" borderId="8" xfId="56" applyFont="1" applyFill="1" applyBorder="1" applyAlignment="1">
      <alignment horizontal="center" vertical="center"/>
    </xf>
    <xf numFmtId="0" fontId="6" fillId="0" borderId="1" xfId="56" applyFont="1" applyBorder="1" applyAlignment="1">
      <alignment horizontal="left" vertical="center"/>
    </xf>
    <xf numFmtId="0" fontId="5" fillId="0" borderId="1" xfId="56" applyFont="1" applyBorder="1" applyAlignment="1">
      <alignment horizontal="center" vertical="center"/>
    </xf>
    <xf numFmtId="43" fontId="23" fillId="0" borderId="1" xfId="1" applyFont="1" applyFill="1" applyBorder="1" applyAlignment="1" applyProtection="1">
      <alignment horizontal="center" vertical="center" wrapText="1"/>
    </xf>
    <xf numFmtId="0" fontId="6" fillId="0" borderId="1" xfId="56" applyFont="1" applyBorder="1" applyAlignment="1">
      <alignment vertical="center" wrapText="1"/>
    </xf>
    <xf numFmtId="0" fontId="5" fillId="0" borderId="1" xfId="56" applyFont="1" applyBorder="1">
      <alignment vertical="center"/>
    </xf>
    <xf numFmtId="0" fontId="6" fillId="0" borderId="8" xfId="56" applyFont="1" applyBorder="1" applyAlignment="1">
      <alignment horizontal="center" vertical="center" wrapText="1"/>
    </xf>
    <xf numFmtId="182" fontId="40" fillId="0" borderId="1" xfId="0" applyNumberFormat="1" applyFont="1" applyBorder="1" applyAlignment="1">
      <alignment horizontal="center" vertical="center" wrapText="1"/>
    </xf>
    <xf numFmtId="0" fontId="6" fillId="0" borderId="1" xfId="56" applyFont="1" applyBorder="1" applyAlignment="1">
      <alignment horizontal="center" vertical="center" wrapText="1"/>
    </xf>
    <xf numFmtId="0" fontId="6" fillId="2" borderId="6" xfId="56" applyFont="1" applyFill="1" applyBorder="1" applyAlignment="1">
      <alignment horizontal="center" vertical="center" wrapText="1"/>
    </xf>
    <xf numFmtId="0" fontId="6" fillId="2" borderId="8" xfId="56" applyFont="1" applyFill="1" applyBorder="1" applyAlignment="1">
      <alignment horizontal="center" vertical="center" wrapText="1"/>
    </xf>
    <xf numFmtId="43" fontId="16" fillId="0" borderId="1" xfId="1" applyFont="1" applyFill="1" applyBorder="1" applyAlignment="1" applyProtection="1">
      <alignment horizontal="center" vertical="center" wrapText="1"/>
    </xf>
    <xf numFmtId="186" fontId="40" fillId="0" borderId="1" xfId="3" applyNumberFormat="1" applyFont="1" applyFill="1" applyBorder="1" applyAlignment="1" applyProtection="1">
      <alignment horizontal="center" vertical="center" wrapText="1"/>
    </xf>
    <xf numFmtId="10" fontId="8" fillId="0" borderId="0" xfId="3" applyNumberFormat="1" applyFont="1" applyFill="1" applyBorder="1" applyAlignment="1" applyProtection="1"/>
    <xf numFmtId="0" fontId="6" fillId="2" borderId="1" xfId="56" applyFont="1" applyFill="1" applyBorder="1" applyAlignment="1">
      <alignment horizontal="center" vertical="center" wrapText="1"/>
    </xf>
    <xf numFmtId="49" fontId="6" fillId="2" borderId="1" xfId="56" applyNumberFormat="1" applyFont="1" applyFill="1" applyBorder="1" applyAlignment="1">
      <alignment horizontal="center" vertical="center" wrapText="1"/>
    </xf>
    <xf numFmtId="0" fontId="5" fillId="0" borderId="1" xfId="56" applyFont="1" applyBorder="1" applyAlignment="1">
      <alignment horizontal="center" wrapText="1"/>
    </xf>
    <xf numFmtId="43" fontId="6" fillId="2" borderId="3" xfId="1" applyFont="1" applyFill="1" applyBorder="1" applyAlignment="1" applyProtection="1">
      <alignment horizontal="center" vertical="center" wrapText="1"/>
    </xf>
    <xf numFmtId="43" fontId="6" fillId="2" borderId="2" xfId="1" applyFont="1" applyFill="1" applyBorder="1" applyAlignment="1" applyProtection="1">
      <alignment horizontal="center" vertical="center" wrapText="1"/>
    </xf>
    <xf numFmtId="186" fontId="40" fillId="0" borderId="3" xfId="3" applyNumberFormat="1" applyFont="1" applyFill="1" applyBorder="1" applyAlignment="1" applyProtection="1">
      <alignment horizontal="center" vertical="center" wrapText="1"/>
    </xf>
    <xf numFmtId="186" fontId="40" fillId="0" borderId="2" xfId="3" applyNumberFormat="1" applyFont="1" applyFill="1" applyBorder="1" applyAlignment="1" applyProtection="1">
      <alignment horizontal="center" vertical="center" wrapText="1"/>
    </xf>
    <xf numFmtId="186" fontId="40" fillId="10" borderId="3" xfId="3" applyNumberFormat="1" applyFont="1" applyFill="1" applyBorder="1" applyAlignment="1">
      <alignment horizontal="center" vertical="center" wrapText="1"/>
    </xf>
    <xf numFmtId="186" fontId="40" fillId="10" borderId="2" xfId="3" applyNumberFormat="1" applyFont="1" applyFill="1" applyBorder="1" applyAlignment="1">
      <alignment horizontal="center" vertical="center" wrapText="1"/>
    </xf>
    <xf numFmtId="182" fontId="40" fillId="10" borderId="1" xfId="0" applyNumberFormat="1" applyFont="1" applyFill="1" applyBorder="1" applyAlignment="1">
      <alignment vertical="center" wrapText="1"/>
    </xf>
    <xf numFmtId="0" fontId="42" fillId="0" borderId="0" xfId="0" applyFont="1" applyAlignment="1"/>
    <xf numFmtId="0" fontId="43" fillId="0" borderId="0" xfId="0" applyFont="1">
      <alignment vertical="center"/>
    </xf>
    <xf numFmtId="0" fontId="8" fillId="0" borderId="0" xfId="0" applyFont="1" applyAlignment="1">
      <alignment horizontal="left"/>
    </xf>
    <xf numFmtId="43" fontId="0" fillId="0" borderId="0" xfId="0" applyNumberFormat="1" applyFont="1" applyBorder="1" applyAlignment="1">
      <alignment horizontal="center" vertical="center" wrapText="1"/>
    </xf>
    <xf numFmtId="4" fontId="0" fillId="0" borderId="0" xfId="0" applyNumberFormat="1" applyFont="1" applyBorder="1" applyAlignment="1">
      <alignment horizontal="center" vertical="center" wrapText="1"/>
    </xf>
    <xf numFmtId="4" fontId="0" fillId="0" borderId="2" xfId="0" applyNumberFormat="1" applyFont="1" applyBorder="1" applyAlignment="1">
      <alignment horizontal="center" vertical="center" wrapText="1"/>
    </xf>
    <xf numFmtId="0" fontId="44" fillId="0" borderId="0" xfId="0" applyFont="1" applyAlignment="1">
      <alignment horizontal="center"/>
    </xf>
    <xf numFmtId="0" fontId="45" fillId="0" borderId="0" xfId="0" applyFont="1" applyAlignment="1">
      <alignment horizontal="left" vertical="center"/>
    </xf>
    <xf numFmtId="0" fontId="45" fillId="0" borderId="0" xfId="0" applyFont="1">
      <alignment vertical="center"/>
    </xf>
    <xf numFmtId="43" fontId="45" fillId="0" borderId="0" xfId="1" applyFont="1" applyFill="1" applyAlignment="1">
      <alignment horizontal="center" vertical="center"/>
    </xf>
    <xf numFmtId="182" fontId="46" fillId="4" borderId="1" xfId="0" applyNumberFormat="1" applyFont="1" applyFill="1" applyBorder="1" applyAlignment="1">
      <alignment horizontal="left" vertical="center" wrapText="1"/>
    </xf>
    <xf numFmtId="43" fontId="45" fillId="4" borderId="1" xfId="1" applyFont="1" applyFill="1" applyBorder="1" applyAlignment="1">
      <alignment horizontal="center" vertical="center"/>
    </xf>
    <xf numFmtId="43" fontId="46" fillId="4" borderId="1" xfId="1" applyFont="1" applyFill="1" applyBorder="1" applyAlignment="1">
      <alignment horizontal="center" vertical="center" wrapText="1"/>
    </xf>
    <xf numFmtId="43" fontId="45" fillId="4" borderId="1" xfId="1" applyFont="1" applyFill="1" applyBorder="1" applyAlignment="1">
      <alignment horizontal="center" vertical="center" wrapText="1"/>
    </xf>
    <xf numFmtId="43" fontId="45" fillId="4" borderId="1" xfId="1" applyFont="1" applyFill="1" applyBorder="1" applyAlignment="1">
      <alignment horizontal="left" vertical="center" wrapText="1"/>
    </xf>
    <xf numFmtId="43" fontId="46" fillId="4" borderId="1" xfId="1" applyFont="1" applyFill="1" applyBorder="1" applyAlignment="1">
      <alignment horizontal="left" vertical="center" wrapText="1"/>
    </xf>
    <xf numFmtId="182" fontId="47" fillId="0" borderId="3" xfId="0" applyNumberFormat="1" applyFont="1" applyBorder="1" applyAlignment="1">
      <alignment horizontal="center" vertical="center" wrapText="1"/>
    </xf>
    <xf numFmtId="182" fontId="47" fillId="0" borderId="2" xfId="0" applyNumberFormat="1" applyFont="1" applyBorder="1" applyAlignment="1">
      <alignment horizontal="center" vertical="center" wrapText="1"/>
    </xf>
    <xf numFmtId="182" fontId="47" fillId="0" borderId="1" xfId="0" applyNumberFormat="1" applyFont="1" applyBorder="1" applyAlignment="1">
      <alignment horizontal="center" vertical="center" wrapText="1"/>
    </xf>
    <xf numFmtId="0" fontId="45" fillId="0" borderId="1" xfId="0" applyFont="1" applyBorder="1" applyAlignment="1">
      <alignment horizontal="left" vertical="center" wrapText="1"/>
    </xf>
    <xf numFmtId="0" fontId="45" fillId="0" borderId="1" xfId="0" applyFont="1" applyBorder="1" applyAlignment="1">
      <alignment horizontal="center" vertical="center" wrapText="1"/>
    </xf>
    <xf numFmtId="43" fontId="45" fillId="0" borderId="1" xfId="0" applyNumberFormat="1" applyFont="1" applyBorder="1" applyAlignment="1">
      <alignment horizontal="center" vertical="center" wrapText="1"/>
    </xf>
    <xf numFmtId="49" fontId="45" fillId="0" borderId="1" xfId="0" applyNumberFormat="1" applyFont="1" applyBorder="1" applyAlignment="1">
      <alignment horizontal="center" vertical="center" wrapText="1"/>
    </xf>
    <xf numFmtId="185" fontId="45" fillId="0" borderId="1" xfId="3" applyNumberFormat="1" applyFont="1" applyFill="1" applyBorder="1" applyAlignment="1">
      <alignment horizontal="right" vertical="center" wrapText="1"/>
    </xf>
    <xf numFmtId="182" fontId="46" fillId="0" borderId="1" xfId="0" applyNumberFormat="1" applyFont="1" applyBorder="1" applyAlignment="1">
      <alignment horizontal="center" vertical="center" wrapText="1"/>
    </xf>
    <xf numFmtId="43" fontId="46" fillId="0" borderId="1" xfId="0" applyNumberFormat="1" applyFont="1" applyBorder="1" applyAlignment="1">
      <alignment horizontal="center" vertical="center" wrapText="1"/>
    </xf>
    <xf numFmtId="43" fontId="8" fillId="0" borderId="0" xfId="0" applyNumberFormat="1" applyFont="1" applyBorder="1" applyAlignment="1"/>
    <xf numFmtId="0" fontId="8" fillId="0" borderId="0" xfId="0" applyFont="1" applyBorder="1" applyAlignment="1"/>
    <xf numFmtId="43" fontId="42" fillId="0" borderId="0" xfId="0" applyNumberFormat="1" applyFont="1" applyBorder="1" applyAlignment="1"/>
    <xf numFmtId="0" fontId="42" fillId="0" borderId="0" xfId="0" applyFont="1" applyBorder="1" applyAlignment="1"/>
    <xf numFmtId="43" fontId="48" fillId="0" borderId="1" xfId="1" applyFont="1" applyBorder="1" applyAlignment="1">
      <alignment vertical="center" wrapText="1"/>
    </xf>
    <xf numFmtId="43" fontId="45" fillId="0" borderId="1" xfId="1" applyFont="1" applyFill="1" applyBorder="1" applyAlignment="1">
      <alignment horizontal="center" vertical="center" wrapText="1"/>
    </xf>
    <xf numFmtId="43" fontId="45" fillId="0" borderId="1" xfId="1" applyFont="1" applyFill="1" applyBorder="1" applyAlignment="1">
      <alignment horizontal="center" vertical="center"/>
    </xf>
    <xf numFmtId="43" fontId="43" fillId="0" borderId="0" xfId="0" applyNumberFormat="1" applyFont="1" applyBorder="1">
      <alignment vertical="center"/>
    </xf>
    <xf numFmtId="43" fontId="43" fillId="0" borderId="0" xfId="3" applyNumberFormat="1" applyFont="1" applyBorder="1">
      <alignment vertical="center"/>
    </xf>
    <xf numFmtId="0" fontId="43" fillId="0" borderId="0" xfId="0" applyFont="1" applyBorder="1">
      <alignment vertical="center"/>
    </xf>
    <xf numFmtId="43" fontId="45" fillId="0" borderId="1" xfId="0" applyNumberFormat="1" applyFont="1" applyFill="1" applyBorder="1" applyAlignment="1">
      <alignment horizontal="center" vertical="center" wrapText="1"/>
    </xf>
    <xf numFmtId="185" fontId="45" fillId="0" borderId="1" xfId="3" applyNumberFormat="1" applyFont="1" applyFill="1" applyBorder="1" applyAlignment="1">
      <alignment horizontal="center" vertical="center" wrapText="1"/>
    </xf>
    <xf numFmtId="0" fontId="49" fillId="0" borderId="0" xfId="0" applyFont="1">
      <alignment vertical="center"/>
    </xf>
    <xf numFmtId="0" fontId="50" fillId="0" borderId="1" xfId="0" applyFont="1" applyBorder="1" applyAlignment="1">
      <alignment horizontal="center" vertical="center"/>
    </xf>
    <xf numFmtId="0" fontId="50" fillId="0" borderId="1" xfId="0" applyFont="1" applyBorder="1">
      <alignment vertical="center"/>
    </xf>
    <xf numFmtId="0" fontId="51" fillId="0" borderId="1" xfId="0" applyFont="1" applyBorder="1" applyAlignment="1">
      <alignment horizontal="center" vertical="center"/>
    </xf>
    <xf numFmtId="0" fontId="52" fillId="0" borderId="1" xfId="0" applyFont="1" applyBorder="1" applyAlignment="1">
      <alignment horizontal="left" vertical="center"/>
    </xf>
    <xf numFmtId="49" fontId="52" fillId="0" borderId="1" xfId="0" applyNumberFormat="1" applyFont="1" applyBorder="1" applyAlignment="1">
      <alignment horizontal="center" vertical="center"/>
    </xf>
    <xf numFmtId="0" fontId="52" fillId="0" borderId="1" xfId="0" applyFont="1" applyBorder="1">
      <alignment vertical="center"/>
    </xf>
    <xf numFmtId="43" fontId="45" fillId="0" borderId="1" xfId="1" applyFont="1" applyFill="1" applyBorder="1" applyAlignment="1">
      <alignment horizontal="right" vertical="center"/>
    </xf>
    <xf numFmtId="0" fontId="52" fillId="0" borderId="1" xfId="0" applyFont="1" applyBorder="1" applyAlignment="1">
      <alignment horizontal="center" vertical="center" wrapText="1"/>
    </xf>
    <xf numFmtId="0" fontId="0" fillId="0" borderId="3" xfId="0" applyFont="1" applyBorder="1" applyAlignment="1">
      <alignment horizontal="center" vertical="center" wrapText="1"/>
    </xf>
    <xf numFmtId="0" fontId="0" fillId="0" borderId="5" xfId="0" applyFont="1" applyBorder="1" applyAlignment="1">
      <alignment horizontal="center" vertical="center" wrapText="1"/>
    </xf>
    <xf numFmtId="0" fontId="0" fillId="0" borderId="2" xfId="0" applyFont="1" applyBorder="1" applyAlignment="1">
      <alignment horizontal="center" vertical="center" wrapText="1"/>
    </xf>
    <xf numFmtId="3" fontId="0" fillId="0" borderId="1" xfId="0" applyNumberFormat="1" applyFont="1" applyBorder="1" applyAlignment="1">
      <alignment horizontal="center" vertical="center" wrapText="1"/>
    </xf>
    <xf numFmtId="0" fontId="52" fillId="0" borderId="1" xfId="0" applyFont="1" applyBorder="1" applyAlignment="1">
      <alignment horizontal="center" vertical="center"/>
    </xf>
    <xf numFmtId="14" fontId="0"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wrapText="1"/>
    </xf>
    <xf numFmtId="0" fontId="53" fillId="0" borderId="3" xfId="0" applyFont="1" applyBorder="1" applyAlignment="1">
      <alignment horizontal="center" vertical="center" wrapText="1"/>
    </xf>
    <xf numFmtId="14" fontId="0" fillId="0" borderId="3" xfId="0" applyNumberFormat="1" applyFont="1" applyBorder="1" applyAlignment="1">
      <alignment horizontal="center" vertical="center" wrapText="1"/>
    </xf>
    <xf numFmtId="14" fontId="52" fillId="0" borderId="1" xfId="0" applyNumberFormat="1" applyFont="1" applyBorder="1" applyAlignment="1">
      <alignment horizontal="center" vertical="center"/>
    </xf>
    <xf numFmtId="0" fontId="53" fillId="0" borderId="5" xfId="0" applyFont="1" applyBorder="1" applyAlignment="1">
      <alignment horizontal="center" vertical="center" wrapText="1"/>
    </xf>
    <xf numFmtId="0" fontId="53" fillId="0" borderId="2" xfId="0" applyFont="1" applyBorder="1" applyAlignment="1">
      <alignment horizontal="center" vertical="center" wrapText="1"/>
    </xf>
    <xf numFmtId="14" fontId="0" fillId="0" borderId="5" xfId="0" applyNumberFormat="1" applyFont="1" applyBorder="1" applyAlignment="1">
      <alignment horizontal="center" vertical="center" wrapText="1"/>
    </xf>
    <xf numFmtId="14" fontId="0" fillId="0" borderId="2" xfId="0" applyNumberFormat="1" applyFont="1" applyBorder="1" applyAlignment="1">
      <alignment horizontal="center" vertical="center" wrapText="1"/>
    </xf>
    <xf numFmtId="10" fontId="0" fillId="0" borderId="1" xfId="0" applyNumberFormat="1" applyFont="1" applyBorder="1" applyAlignment="1">
      <alignment vertical="center" wrapText="1"/>
    </xf>
    <xf numFmtId="14" fontId="0" fillId="0" borderId="1" xfId="0" applyNumberFormat="1" applyFont="1" applyBorder="1" applyAlignment="1">
      <alignment vertical="center" wrapText="1"/>
    </xf>
    <xf numFmtId="43" fontId="6" fillId="2" borderId="1" xfId="1" applyFont="1" applyFill="1" applyBorder="1" applyAlignment="1" applyProtection="1" quotePrefix="1">
      <alignment horizontal="center" vertical="center" wrapText="1"/>
    </xf>
    <xf numFmtId="49" fontId="6" fillId="2" borderId="1" xfId="56" applyNumberFormat="1" applyFont="1" applyFill="1" applyBorder="1" applyAlignment="1" quotePrefix="1">
      <alignment horizontal="center" vertical="center" wrapText="1"/>
    </xf>
    <xf numFmtId="43" fontId="6" fillId="2" borderId="3" xfId="1" applyFont="1" applyFill="1" applyBorder="1" applyAlignment="1" applyProtection="1" quotePrefix="1">
      <alignment horizontal="center" vertical="center" wrapText="1"/>
    </xf>
    <xf numFmtId="43" fontId="41" fillId="2" borderId="1" xfId="1" applyFont="1" applyFill="1" applyBorder="1" applyAlignment="1" quotePrefix="1">
      <alignment horizontal="center" vertical="center" wrapText="1"/>
    </xf>
    <xf numFmtId="43" fontId="21" fillId="2" borderId="1" xfId="1" applyFont="1" applyFill="1" applyBorder="1" applyAlignment="1" quotePrefix="1">
      <alignment horizontal="center" vertical="center" wrapText="1"/>
    </xf>
    <xf numFmtId="49" fontId="21" fillId="2" borderId="1" xfId="0" applyNumberFormat="1" applyFont="1" applyFill="1" applyBorder="1" applyAlignment="1" quotePrefix="1">
      <alignment horizontal="center" vertical="center" wrapText="1"/>
    </xf>
    <xf numFmtId="185" fontId="21" fillId="2" borderId="1" xfId="3" applyNumberFormat="1" applyFont="1" applyFill="1" applyBorder="1" applyAlignment="1" quotePrefix="1">
      <alignment horizontal="center" vertical="center" wrapText="1"/>
    </xf>
    <xf numFmtId="0" fontId="21" fillId="3" borderId="1" xfId="1" applyNumberFormat="1" applyFont="1" applyFill="1" applyBorder="1" applyAlignment="1" quotePrefix="1">
      <alignment horizontal="center" vertical="center" wrapText="1"/>
    </xf>
    <xf numFmtId="43" fontId="6" fillId="2" borderId="1" xfId="1" applyFont="1" applyFill="1" applyBorder="1" applyAlignment="1" quotePrefix="1">
      <alignment horizontal="center" vertical="center" wrapText="1"/>
    </xf>
    <xf numFmtId="43" fontId="20" fillId="2" borderId="1" xfId="1" applyFont="1" applyFill="1" applyBorder="1" applyAlignment="1" quotePrefix="1">
      <alignment horizontal="center" vertical="center" wrapText="1"/>
    </xf>
    <xf numFmtId="49" fontId="21" fillId="2" borderId="1" xfId="0" applyNumberFormat="1" applyFont="1" applyFill="1" applyBorder="1" applyAlignment="1" quotePrefix="1">
      <alignment horizontal="right" vertical="center" wrapText="1"/>
    </xf>
    <xf numFmtId="43" fontId="21" fillId="2" borderId="1" xfId="1" applyNumberFormat="1" applyFont="1" applyFill="1" applyBorder="1" applyAlignment="1" quotePrefix="1">
      <alignment horizontal="center" vertical="center" wrapText="1"/>
    </xf>
    <xf numFmtId="0" fontId="12" fillId="0" borderId="1" xfId="0" applyFont="1" applyFill="1" applyBorder="1" applyAlignment="1" quotePrefix="1">
      <alignment horizontal="right" vertical="center"/>
    </xf>
    <xf numFmtId="0" fontId="12" fillId="0" borderId="1" xfId="0" applyFont="1" applyFill="1" applyBorder="1" applyAlignment="1" quotePrefix="1">
      <alignment horizontal="right" vertical="center" shrinkToFit="1"/>
    </xf>
    <xf numFmtId="49" fontId="12" fillId="0" borderId="3" xfId="64" applyNumberFormat="1" applyFont="1" applyFill="1" applyBorder="1" applyAlignment="1" quotePrefix="1">
      <alignment horizontal="right" vertical="center"/>
    </xf>
    <xf numFmtId="49" fontId="6" fillId="2" borderId="1" xfId="60" applyNumberFormat="1" applyFont="1" applyFill="1" applyBorder="1" applyAlignment="1" quotePrefix="1">
      <alignment horizontal="center" vertical="center" wrapText="1"/>
    </xf>
    <xf numFmtId="49" fontId="6" fillId="2" borderId="1" xfId="60" applyNumberFormat="1" applyFont="1" applyFill="1" applyBorder="1" applyAlignment="1" quotePrefix="1">
      <alignment vertical="center" wrapText="1"/>
    </xf>
    <xf numFmtId="10" fontId="6" fillId="2" borderId="1" xfId="3" applyNumberFormat="1" applyFont="1" applyFill="1" applyBorder="1" applyAlignment="1" applyProtection="1" quotePrefix="1">
      <alignment horizontal="center" vertical="center" wrapText="1"/>
    </xf>
    <xf numFmtId="43" fontId="6" fillId="2" borderId="1" xfId="1" applyNumberFormat="1" applyFont="1" applyFill="1" applyBorder="1" applyAlignment="1" applyProtection="1" quotePrefix="1">
      <alignment horizontal="center" vertical="center" wrapText="1"/>
    </xf>
    <xf numFmtId="49" fontId="19" fillId="0" borderId="1" xfId="0" applyNumberFormat="1" applyFont="1" applyFill="1" applyBorder="1" applyAlignment="1" quotePrefix="1">
      <alignment horizontal="left" vertical="center" wrapText="1"/>
    </xf>
    <xf numFmtId="49" fontId="19" fillId="0" borderId="1" xfId="0" applyNumberFormat="1" applyFont="1" applyFill="1" applyBorder="1" applyAlignment="1" quotePrefix="1">
      <alignment horizontal="left" vertical="center"/>
    </xf>
    <xf numFmtId="49" fontId="19" fillId="0" borderId="0" xfId="0" applyNumberFormat="1" applyFont="1" applyFill="1" applyBorder="1" applyAlignment="1" quotePrefix="1">
      <alignment horizontal="left" vertical="center"/>
    </xf>
    <xf numFmtId="49" fontId="19" fillId="8" borderId="1" xfId="0" applyNumberFormat="1" applyFont="1" applyFill="1" applyBorder="1" applyAlignment="1" quotePrefix="1">
      <alignment horizontal="left" vertical="center"/>
    </xf>
    <xf numFmtId="49" fontId="19" fillId="0" borderId="1" xfId="60" applyNumberFormat="1" applyFont="1" applyFill="1" applyBorder="1" applyAlignment="1" quotePrefix="1">
      <alignment horizontal="left" vertical="center" wrapText="1"/>
    </xf>
    <xf numFmtId="49" fontId="15" fillId="0" borderId="1" xfId="0" applyNumberFormat="1" applyFont="1" applyFill="1" applyBorder="1" applyAlignment="1" quotePrefix="1">
      <alignment horizontal="center" vertical="center" wrapText="1"/>
    </xf>
    <xf numFmtId="0" fontId="3" fillId="2" borderId="1" xfId="56" applyFont="1" applyFill="1" applyBorder="1" applyAlignment="1" quotePrefix="1">
      <alignment horizontal="center" vertical="center" wrapText="1"/>
    </xf>
    <xf numFmtId="49" fontId="3" fillId="5" borderId="1" xfId="56" applyNumberFormat="1" applyFont="1" applyFill="1" applyBorder="1" applyAlignment="1" quotePrefix="1">
      <alignment horizontal="center" vertical="center" wrapText="1"/>
    </xf>
    <xf numFmtId="0" fontId="3" fillId="5" borderId="1" xfId="56" applyFont="1" applyFill="1" applyBorder="1" applyAlignment="1" quotePrefix="1">
      <alignment horizontal="center" vertical="center" wrapText="1"/>
    </xf>
  </cellXfs>
  <cellStyles count="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4" xfId="49"/>
    <cellStyle name="常规 83" xfId="50"/>
    <cellStyle name="常规 82" xfId="51"/>
    <cellStyle name="常规 85" xfId="52"/>
    <cellStyle name="常规 26" xfId="53"/>
    <cellStyle name="常规_Sheet2" xfId="54"/>
    <cellStyle name="常规 27" xfId="55"/>
    <cellStyle name="常规 2 2" xfId="56"/>
    <cellStyle name="常规 86" xfId="57"/>
    <cellStyle name="常规_南甸苑销售台账" xfId="58"/>
    <cellStyle name="常规 87" xfId="59"/>
    <cellStyle name="常规_广东省土地增值税清算申报表及附表" xfId="60"/>
    <cellStyle name="常规 5" xfId="61"/>
    <cellStyle name="常规 22" xfId="62"/>
    <cellStyle name="常规 24" xfId="63"/>
    <cellStyle name="常规_房源表" xfId="64"/>
    <cellStyle name="常规 59" xfId="65"/>
    <cellStyle name="常规 64" xfId="66"/>
    <cellStyle name="常规 52" xfId="67"/>
    <cellStyle name="常规 58" xfId="68"/>
    <cellStyle name="常规 63" xfId="69"/>
    <cellStyle name="常规 53" xfId="70"/>
    <cellStyle name="常规 56" xfId="71"/>
    <cellStyle name="常规 61" xfId="72"/>
    <cellStyle name="常规 54" xfId="73"/>
    <cellStyle name="3232" xfId="74"/>
  </cellStyles>
  <dxfs count="2">
    <dxf>
      <fill>
        <patternFill patternType="solid">
          <bgColor rgb="FFFF9900"/>
        </patternFill>
      </fill>
    </dxf>
    <dxf>
      <fill>
        <patternFill patternType="solid">
          <bgColor theme="0" tint="-0.14996795556505"/>
        </patternFill>
      </fill>
    </dxf>
  </dxfs>
  <tableStyles count="0" defaultTableStyle="TableStyleMedium2" defaultPivotStyle="PivotStyleLight16"/>
  <colors>
    <mruColors>
      <color rgb="00232323"/>
      <color rgb="005B9BD5"/>
      <color rgb="00FFFFFF"/>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externalLink" Target="externalLinks/externalLink3.xml"/><Relationship Id="rId16" Type="http://schemas.openxmlformats.org/officeDocument/2006/relationships/externalLink" Target="externalLinks/externalLink2.xml"/><Relationship Id="rId15" Type="http://schemas.openxmlformats.org/officeDocument/2006/relationships/externalLink" Target="externalLinks/externalLink1.xml"/><Relationship Id="rId14" Type="http://schemas.openxmlformats.org/officeDocument/2006/relationships/customXml" Target="../customXml/item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YYG\Documents\WeChat%20Files\wxid_25t7lbc5vkw222\FileStorage\File\2024-10\&#22303;&#22320;&#22686;&#20540;&#31246;&#28165;&#31639;&#38468;&#34920;-11&#24352;&#34920;-&#65288;&#27777;&#22253;&#26149;&#26223;&#19968;&#26399;&#39033;&#30446;&#65289;2024.6.3&#65288;&#27809;&#26377;&#35843;&#25972;&#30340;&#32467;&#26524;&#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24037;&#20316;\&#22303;&#22686;&#31246;\&#23453;&#22320;&#25151;&#20135;\&#24635;&#20844;&#21496;&#183;&#38182;&#32483;&#33489;&#23567;&#21306;\&#22303;&#22686;&#31246;-&#23453;&#22320;&#183;&#38182;&#32483;&#33489;&#19977;&#2639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24494;&#20449;\WeChat%20Files\wxid_7zx8kkl9r87c22\FileStorage\File\2024-11\2024&#24180;6&#26376;4&#26085;&#23548;&#20986;&#27777;&#26149;&#38182;&#33489;&#19968;&#26399;&#22303;&#22686;&#28165;&#31639;&#25253;&#34920;2024.10.12024-11-10&#26032;&#22686;&#38388;&#25509;&#36153;&#29992;+&#37197;&#22871;&#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清算项目基本情况表"/>
      <sheetName val="土地增值税税源明细表"/>
      <sheetName val="附表1-面积统计表"/>
      <sheetName val="附表2-收入统计表"/>
      <sheetName val="附表3-扣除项目分摊表"/>
      <sheetName val="附表4-项目间共同扣除金额分摊表"/>
      <sheetName val="附表5-扣除项目统计表"/>
      <sheetName val="Sheet1"/>
      <sheetName val="附表6-收入明细采集底稿"/>
      <sheetName val="附表7-扣除项目明细采集底稿"/>
      <sheetName val="附表8-合同明细采集底稿"/>
      <sheetName val="工程造价采集表"/>
      <sheetName val="数据对照表"/>
      <sheetName val="成本分摊比例"/>
      <sheetName val="不合规发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测算表（20#） (2)"/>
      <sheetName val="测算表（20#）"/>
      <sheetName val="测算表（19&amp;21-23#）"/>
      <sheetName val="测算表（19&amp;21-23#） (2)"/>
      <sheetName val="开发成本分配表"/>
      <sheetName val="开发成本分配表 (2)"/>
      <sheetName val="售房汇总"/>
      <sheetName val="开发成本汇总"/>
      <sheetName val="售房明细"/>
      <sheetName val="实物安置明细表"/>
      <sheetName val="开发成本明细"/>
      <sheetName val="开发成本(报告用)"/>
      <sheetName val="成本合同"/>
      <sheetName val="按对方单位排成本"/>
      <sheetName val="不合规发票"/>
      <sheetName val="20#楼进项税"/>
      <sheetName val="营业税情况表"/>
      <sheetName val="营业税情况表 (2)"/>
      <sheetName val="营改增前税款"/>
      <sheetName val="营改增后税款情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清算项目基本情况表"/>
      <sheetName val="土地增值税税源明细表"/>
      <sheetName val="附表1-面积统计表"/>
      <sheetName val="附表2-收入统计表"/>
      <sheetName val="附表3-扣除项目分摊表"/>
      <sheetName val="附表4-项目间分摊信息采集表"/>
      <sheetName val="附表5-扣除项目统计表"/>
      <sheetName val="附表6-收入明细采集底稿"/>
      <sheetName val="附表7-扣除项目明细采集底稿"/>
      <sheetName val="附表8-合同明细采集底稿"/>
      <sheetName val="成本分摊比例"/>
      <sheetName val="工程造价采集表"/>
      <sheetName val="数据对照表"/>
    </sheetNames>
    <sheetDataSet>
      <sheetData sheetId="0"/>
      <sheetData sheetId="1"/>
      <sheetData sheetId="2"/>
      <sheetData sheetId="3"/>
      <sheetData sheetId="4"/>
      <sheetData sheetId="5"/>
      <sheetData sheetId="6"/>
      <sheetData sheetId="7"/>
      <sheetData sheetId="8"/>
      <sheetData sheetId="9">
        <row r="3">
          <cell r="B3" t="str">
            <v>*合同编号</v>
          </cell>
          <cell r="C3" t="str">
            <v>*合同名称</v>
          </cell>
          <cell r="D3" t="str">
            <v>合同类别</v>
          </cell>
          <cell r="E3" t="str">
            <v>*收款单位</v>
          </cell>
          <cell r="F3" t="str">
            <v>合同签订日期</v>
          </cell>
          <cell r="G3" t="str">
            <v>合同金额</v>
          </cell>
          <cell r="H3" t="str">
            <v>结算金额</v>
          </cell>
          <cell r="I3" t="str">
            <v>*关联关系（是否）</v>
          </cell>
          <cell r="J3" t="str">
            <v>*甲方供材
（是否）</v>
          </cell>
          <cell r="K3" t="str">
            <v>*不同项目分摊
（是否）</v>
          </cell>
          <cell r="L3" t="str">
            <v>项目间共同成本费用分摊信息</v>
          </cell>
        </row>
        <row r="4">
          <cell r="L4" t="str">
            <v>分期合同分摊方法</v>
          </cell>
          <cell r="M4" t="str">
            <v>分摊至本期项目扣除比例</v>
          </cell>
          <cell r="N4" t="str">
            <v>申报准予扣除的记账金额</v>
          </cell>
        </row>
        <row r="5">
          <cell r="B5" t="str">
            <v>1</v>
          </cell>
          <cell r="C5">
            <v>2</v>
          </cell>
          <cell r="D5" t="str">
            <v>3</v>
          </cell>
          <cell r="E5" t="str">
            <v>4</v>
          </cell>
          <cell r="F5" t="str">
            <v>5</v>
          </cell>
          <cell r="G5" t="str">
            <v>6</v>
          </cell>
          <cell r="H5" t="str">
            <v>7</v>
          </cell>
          <cell r="I5" t="str">
            <v>8</v>
          </cell>
          <cell r="J5" t="str">
            <v>9</v>
          </cell>
          <cell r="K5" t="str">
            <v>10</v>
          </cell>
          <cell r="L5" t="str">
            <v>11</v>
          </cell>
          <cell r="M5" t="str">
            <v>12</v>
          </cell>
          <cell r="N5" t="str">
            <v>13</v>
          </cell>
        </row>
        <row r="6">
          <cell r="B6" t="str">
            <v>JZ-SY-01</v>
          </cell>
          <cell r="C6" t="str">
            <v>沁春锦苑1#35#、大门楼施工协议（1#.35#）</v>
          </cell>
          <cell r="D6" t="str">
            <v>建设工程合同</v>
          </cell>
          <cell r="E6" t="str">
            <v>新疆通力建设集团股份有限公司（孟）</v>
          </cell>
          <cell r="F6">
            <v>43454</v>
          </cell>
          <cell r="G6">
            <v>3657869.03</v>
          </cell>
          <cell r="H6">
            <v>3355843.15</v>
          </cell>
          <cell r="I6" t="str">
            <v>否</v>
          </cell>
          <cell r="J6" t="str">
            <v>否</v>
          </cell>
          <cell r="K6" t="str">
            <v>否</v>
          </cell>
        </row>
        <row r="6">
          <cell r="M6">
            <v>1</v>
          </cell>
          <cell r="N6">
            <v>3355843.15</v>
          </cell>
        </row>
        <row r="7">
          <cell r="B7" t="str">
            <v>J-ZT-01</v>
          </cell>
          <cell r="C7" t="str">
            <v>沁春锦苑25、26、28#施工协议</v>
          </cell>
          <cell r="D7" t="str">
            <v>建设工程合同</v>
          </cell>
          <cell r="E7" t="str">
            <v>新疆正杰建筑集团有限公司（郑青峰）</v>
          </cell>
          <cell r="F7">
            <v>43666</v>
          </cell>
          <cell r="G7">
            <v>47806688.6</v>
          </cell>
          <cell r="H7">
            <v>43632624.25</v>
          </cell>
          <cell r="I7" t="str">
            <v>否</v>
          </cell>
          <cell r="J7" t="str">
            <v>否</v>
          </cell>
          <cell r="K7" t="str">
            <v>否</v>
          </cell>
        </row>
        <row r="7">
          <cell r="M7">
            <v>1</v>
          </cell>
          <cell r="N7">
            <v>43632624.25</v>
          </cell>
        </row>
        <row r="8">
          <cell r="B8" t="str">
            <v>其他合同-66</v>
          </cell>
          <cell r="C8" t="str">
            <v>安装服务</v>
          </cell>
          <cell r="D8" t="str">
            <v>其他合同</v>
          </cell>
          <cell r="E8" t="str">
            <v>陕西鲁班装饰工程有限公司成都分公司</v>
          </cell>
          <cell r="F8">
            <v>44144</v>
          </cell>
          <cell r="G8">
            <v>605000</v>
          </cell>
          <cell r="H8">
            <v>0</v>
          </cell>
          <cell r="I8" t="str">
            <v>否</v>
          </cell>
          <cell r="J8" t="str">
            <v>否</v>
          </cell>
          <cell r="K8" t="str">
            <v>否</v>
          </cell>
        </row>
        <row r="8">
          <cell r="M8">
            <v>1</v>
          </cell>
          <cell r="N8">
            <v>605000</v>
          </cell>
        </row>
        <row r="9">
          <cell r="B9" t="str">
            <v>JZ-YEY-01</v>
          </cell>
          <cell r="C9" t="str">
            <v>沁春景苑幼儿园室外工程</v>
          </cell>
          <cell r="D9" t="str">
            <v>其他合同</v>
          </cell>
          <cell r="E9" t="str">
            <v>新疆精诚所至装饰工程有限责任公司（金克）</v>
          </cell>
          <cell r="F9">
            <v>44706</v>
          </cell>
          <cell r="G9">
            <v>300000</v>
          </cell>
          <cell r="H9">
            <v>291262.14</v>
          </cell>
          <cell r="I9" t="str">
            <v>否</v>
          </cell>
          <cell r="J9" t="str">
            <v>否</v>
          </cell>
          <cell r="K9" t="str">
            <v>是</v>
          </cell>
          <cell r="L9" t="str">
            <v>可售建筑面积法</v>
          </cell>
          <cell r="M9">
            <v>0.338555832480367</v>
          </cell>
          <cell r="N9">
            <v>236470.1</v>
          </cell>
        </row>
        <row r="10">
          <cell r="B10" t="str">
            <v>JZ-2-4</v>
          </cell>
          <cell r="C10" t="str">
            <v>19#23#承揽合同（铝合金窗）</v>
          </cell>
          <cell r="D10" t="str">
            <v>买卖合同</v>
          </cell>
          <cell r="E10" t="str">
            <v>新疆弘信可仁建筑装饰工程有限责任公司</v>
          </cell>
          <cell r="F10">
            <v>43661</v>
          </cell>
          <cell r="G10">
            <v>884800</v>
          </cell>
          <cell r="H10">
            <v>783008.85</v>
          </cell>
          <cell r="I10" t="str">
            <v>否</v>
          </cell>
          <cell r="J10" t="str">
            <v>否</v>
          </cell>
          <cell r="K10" t="str">
            <v>否</v>
          </cell>
        </row>
        <row r="10">
          <cell r="M10">
            <v>1</v>
          </cell>
          <cell r="N10">
            <v>783008.86</v>
          </cell>
        </row>
        <row r="11">
          <cell r="B11" t="str">
            <v>J-2-2</v>
          </cell>
          <cell r="C11" t="str">
            <v>25#26#27#34#断桥铝合金窗工程</v>
          </cell>
          <cell r="D11" t="str">
            <v>买卖合同</v>
          </cell>
          <cell r="E11" t="str">
            <v>新疆弘信可仁建筑装饰工程有限责任公司</v>
          </cell>
          <cell r="F11">
            <v>43921</v>
          </cell>
          <cell r="G11">
            <v>1213822.4</v>
          </cell>
          <cell r="H11">
            <v>1074179.12</v>
          </cell>
          <cell r="I11" t="str">
            <v>否</v>
          </cell>
          <cell r="J11" t="str">
            <v>否</v>
          </cell>
          <cell r="K11" t="str">
            <v>否</v>
          </cell>
        </row>
        <row r="11">
          <cell r="M11">
            <v>1</v>
          </cell>
          <cell r="N11">
            <v>1070462.33</v>
          </cell>
        </row>
        <row r="12">
          <cell r="B12" t="str">
            <v>J-2-5</v>
          </cell>
          <cell r="C12" t="str">
            <v>沁春锦苑一期地下室钢质门（19-24#）</v>
          </cell>
          <cell r="D12" t="str">
            <v>买卖合同</v>
          </cell>
          <cell r="E12" t="str">
            <v>库尔勒永绍商贸有限公司（项邵于）</v>
          </cell>
          <cell r="F12">
            <v>44081</v>
          </cell>
          <cell r="G12">
            <v>115200</v>
          </cell>
          <cell r="H12">
            <v>0</v>
          </cell>
          <cell r="I12" t="str">
            <v>否</v>
          </cell>
          <cell r="J12" t="str">
            <v>否</v>
          </cell>
          <cell r="K12" t="str">
            <v>否</v>
          </cell>
        </row>
        <row r="12">
          <cell r="M12">
            <v>1</v>
          </cell>
          <cell r="N12">
            <v>101946.89</v>
          </cell>
        </row>
        <row r="13">
          <cell r="B13" t="str">
            <v>JZ-DT-10</v>
          </cell>
          <cell r="C13" t="str">
            <v>25#-30#电梯销售安装合同</v>
          </cell>
          <cell r="D13" t="str">
            <v>买卖合同</v>
          </cell>
          <cell r="E13" t="str">
            <v>新疆华汇建安机械设备有限公司（许林）</v>
          </cell>
          <cell r="F13">
            <v>43920</v>
          </cell>
          <cell r="G13">
            <v>2383400</v>
          </cell>
          <cell r="H13">
            <v>2109203.54</v>
          </cell>
          <cell r="I13" t="str">
            <v>否</v>
          </cell>
          <cell r="J13" t="str">
            <v>否</v>
          </cell>
          <cell r="K13" t="str">
            <v>否</v>
          </cell>
        </row>
        <row r="13">
          <cell r="M13">
            <v>1</v>
          </cell>
          <cell r="N13">
            <v>1872000.17</v>
          </cell>
        </row>
        <row r="14">
          <cell r="B14" t="str">
            <v>JC-QT-07</v>
          </cell>
          <cell r="C14" t="str">
            <v>一期大门两侧人员通行系统</v>
          </cell>
          <cell r="D14" t="str">
            <v>买卖合同</v>
          </cell>
          <cell r="E14" t="str">
            <v>巴州四通电子科技有限公司</v>
          </cell>
          <cell r="F14">
            <v>44077</v>
          </cell>
          <cell r="G14">
            <v>36500</v>
          </cell>
          <cell r="H14">
            <v>0</v>
          </cell>
          <cell r="I14" t="str">
            <v>否</v>
          </cell>
          <cell r="J14" t="str">
            <v>否</v>
          </cell>
          <cell r="K14" t="str">
            <v>是</v>
          </cell>
          <cell r="L14" t="str">
            <v>可售建筑面积法</v>
          </cell>
          <cell r="M14">
            <v>0.338555832480367</v>
          </cell>
          <cell r="N14">
            <v>32300.88</v>
          </cell>
        </row>
        <row r="15">
          <cell r="B15" t="str">
            <v>JZ-DT-01</v>
          </cell>
          <cell r="C15" t="str">
            <v>电梯销售安装合同19-24#</v>
          </cell>
          <cell r="D15" t="str">
            <v>买卖合同</v>
          </cell>
          <cell r="E15" t="str">
            <v>新疆华汇建安机械设备有限公司许林（新疆双星建设集团有限责任公司）</v>
          </cell>
          <cell r="F15">
            <v>43676</v>
          </cell>
          <cell r="G15">
            <v>1756800</v>
          </cell>
          <cell r="H15">
            <v>1975259.9</v>
          </cell>
          <cell r="I15" t="str">
            <v>否</v>
          </cell>
          <cell r="J15" t="str">
            <v>否</v>
          </cell>
          <cell r="K15" t="str">
            <v>否</v>
          </cell>
        </row>
        <row r="15">
          <cell r="M15">
            <v>1</v>
          </cell>
          <cell r="N15">
            <v>1975259.9</v>
          </cell>
        </row>
        <row r="16">
          <cell r="B16" t="str">
            <v>JZ-DT-04</v>
          </cell>
          <cell r="C16" t="str">
            <v>幼儿园电梯销售安装合同（31#楼）</v>
          </cell>
          <cell r="D16" t="str">
            <v>买卖合同</v>
          </cell>
          <cell r="E16" t="str">
            <v>新疆华汇建安机械设备有限公司（许林）</v>
          </cell>
          <cell r="F16">
            <v>44296</v>
          </cell>
          <cell r="G16">
            <v>90000</v>
          </cell>
          <cell r="H16">
            <v>81622.15</v>
          </cell>
          <cell r="I16" t="str">
            <v>否</v>
          </cell>
          <cell r="J16" t="str">
            <v>否</v>
          </cell>
          <cell r="K16" t="str">
            <v>是</v>
          </cell>
          <cell r="L16" t="str">
            <v>可售建筑面积法</v>
          </cell>
          <cell r="M16">
            <v>0.338555832480367</v>
          </cell>
          <cell r="N16">
            <v>81622.15</v>
          </cell>
        </row>
        <row r="17">
          <cell r="B17" t="str">
            <v>JZ-MC-18-01</v>
          </cell>
          <cell r="C17" t="str">
            <v>承揽合同（铝合金窗28.29.30）</v>
          </cell>
          <cell r="D17" t="str">
            <v>买卖合同</v>
          </cell>
          <cell r="E17" t="str">
            <v>库尔勒坚乐美建筑工程有限责任公司（郑长银）</v>
          </cell>
          <cell r="F17">
            <v>43903</v>
          </cell>
          <cell r="G17">
            <v>1206748.8</v>
          </cell>
          <cell r="H17">
            <v>1067919.2920354</v>
          </cell>
          <cell r="I17" t="str">
            <v>否</v>
          </cell>
          <cell r="J17" t="str">
            <v>否</v>
          </cell>
          <cell r="K17" t="str">
            <v>否</v>
          </cell>
        </row>
        <row r="17">
          <cell r="M17">
            <v>1</v>
          </cell>
          <cell r="N17">
            <v>1067919.31</v>
          </cell>
        </row>
        <row r="18">
          <cell r="B18" t="str">
            <v>JZ-MC-18-02</v>
          </cell>
          <cell r="C18" t="str">
            <v>承揽合同（铝合金窗32.33）</v>
          </cell>
          <cell r="D18" t="str">
            <v>买卖合同</v>
          </cell>
          <cell r="E18" t="str">
            <v>库尔勒坚乐美建筑工程有限责任公司（郑长银）</v>
          </cell>
          <cell r="F18">
            <v>43903</v>
          </cell>
          <cell r="G18">
            <v>231886.8</v>
          </cell>
          <cell r="H18">
            <v>205209.557522124</v>
          </cell>
          <cell r="I18" t="str">
            <v>否</v>
          </cell>
          <cell r="J18" t="str">
            <v>否</v>
          </cell>
          <cell r="K18" t="str">
            <v>否</v>
          </cell>
        </row>
        <row r="18">
          <cell r="M18">
            <v>1</v>
          </cell>
          <cell r="N18">
            <v>205209.58</v>
          </cell>
        </row>
        <row r="19">
          <cell r="B19" t="str">
            <v>JZ-MC-03</v>
          </cell>
          <cell r="C19" t="str">
            <v>沁春锦苑19、20、23、24号楼防火防盗门</v>
          </cell>
          <cell r="D19" t="str">
            <v>买卖合同</v>
          </cell>
          <cell r="E19" t="str">
            <v>巴州凯润商贸有限公司</v>
          </cell>
          <cell r="F19">
            <v>43708</v>
          </cell>
          <cell r="G19">
            <v>453938</v>
          </cell>
          <cell r="H19">
            <v>0</v>
          </cell>
          <cell r="I19" t="str">
            <v>否</v>
          </cell>
          <cell r="J19" t="str">
            <v>否</v>
          </cell>
          <cell r="K19" t="str">
            <v>否</v>
          </cell>
        </row>
        <row r="19">
          <cell r="M19">
            <v>1</v>
          </cell>
          <cell r="N19">
            <v>401715.05</v>
          </cell>
        </row>
        <row r="20">
          <cell r="B20" t="str">
            <v>Q-SJ-10</v>
          </cell>
          <cell r="C20" t="str">
            <v>32-34号楼天然气设计费</v>
          </cell>
          <cell r="D20" t="str">
            <v>技术合同</v>
          </cell>
          <cell r="E20" t="str">
            <v>中国市政工程东北设计研究总院有限公司新疆分公司</v>
          </cell>
          <cell r="F20">
            <v>44148</v>
          </cell>
          <cell r="G20">
            <v>10491</v>
          </cell>
          <cell r="H20">
            <v>9897.17</v>
          </cell>
          <cell r="I20" t="str">
            <v>否</v>
          </cell>
          <cell r="J20" t="str">
            <v>否</v>
          </cell>
          <cell r="K20" t="str">
            <v>否</v>
          </cell>
        </row>
        <row r="20">
          <cell r="M20">
            <v>1</v>
          </cell>
          <cell r="N20">
            <v>9897.17</v>
          </cell>
        </row>
        <row r="21">
          <cell r="B21" t="str">
            <v>Q-ST-01</v>
          </cell>
          <cell r="C21" t="str">
            <v>水土保持方案编制合同</v>
          </cell>
          <cell r="D21" t="str">
            <v>技术合同</v>
          </cell>
          <cell r="E21" t="str">
            <v>新疆和禹源生态工程咨询有限公司</v>
          </cell>
          <cell r="F21">
            <v>44094</v>
          </cell>
          <cell r="G21">
            <v>85000</v>
          </cell>
          <cell r="H21">
            <v>0</v>
          </cell>
          <cell r="I21" t="str">
            <v>否</v>
          </cell>
          <cell r="J21" t="str">
            <v>否</v>
          </cell>
          <cell r="K21" t="str">
            <v>是</v>
          </cell>
          <cell r="L21" t="str">
            <v>可售建筑面积法</v>
          </cell>
          <cell r="M21">
            <v>0.338555832480367</v>
          </cell>
          <cell r="N21">
            <v>84158.42</v>
          </cell>
        </row>
        <row r="22">
          <cell r="B22" t="str">
            <v>Q-CH-4-02</v>
          </cell>
          <cell r="C22" t="str">
            <v>测绘合同书1#2#3#35#36#测绘</v>
          </cell>
          <cell r="D22" t="str">
            <v>技术合同</v>
          </cell>
          <cell r="E22" t="str">
            <v>库尔勒天平房地产价格评估事务所（有限责任公司）</v>
          </cell>
          <cell r="F22">
            <v>44425</v>
          </cell>
          <cell r="G22">
            <v>1564.52</v>
          </cell>
          <cell r="H22">
            <v>0</v>
          </cell>
          <cell r="I22" t="str">
            <v>否</v>
          </cell>
          <cell r="J22" t="str">
            <v>否</v>
          </cell>
          <cell r="K22" t="str">
            <v>否</v>
          </cell>
        </row>
        <row r="22">
          <cell r="M22">
            <v>1</v>
          </cell>
          <cell r="N22">
            <v>1549.03</v>
          </cell>
        </row>
        <row r="23">
          <cell r="B23" t="str">
            <v>Q-SJ-7</v>
          </cell>
          <cell r="C23" t="str">
            <v>11#17#2.3.36#楼设计费</v>
          </cell>
          <cell r="D23" t="str">
            <v>技术合同</v>
          </cell>
          <cell r="E23" t="str">
            <v>新疆益诚开拓空间规划建筑设计研究院有限公司</v>
          </cell>
          <cell r="F23">
            <v>43895</v>
          </cell>
          <cell r="G23">
            <v>127500</v>
          </cell>
          <cell r="H23">
            <v>0</v>
          </cell>
          <cell r="I23" t="str">
            <v>否</v>
          </cell>
          <cell r="J23" t="str">
            <v>否</v>
          </cell>
          <cell r="K23" t="str">
            <v>否</v>
          </cell>
        </row>
        <row r="23">
          <cell r="M23">
            <v>1</v>
          </cell>
        </row>
        <row r="24">
          <cell r="B24" t="str">
            <v>Q-YS-01</v>
          </cell>
          <cell r="C24" t="str">
            <v>建设工程造价咨询合同</v>
          </cell>
          <cell r="D24" t="str">
            <v>技术合同</v>
          </cell>
          <cell r="E24" t="str">
            <v>库尔勒市鉴衡工程造价咨询工作室（钟燕（652801196909011642）</v>
          </cell>
          <cell r="F24">
            <v>43833</v>
          </cell>
          <cell r="G24">
            <v>450000</v>
          </cell>
          <cell r="H24">
            <v>0</v>
          </cell>
          <cell r="I24" t="str">
            <v>否</v>
          </cell>
          <cell r="J24" t="str">
            <v>否</v>
          </cell>
          <cell r="K24" t="str">
            <v>否</v>
          </cell>
        </row>
        <row r="24">
          <cell r="M24">
            <v>1</v>
          </cell>
          <cell r="N24">
            <v>300000</v>
          </cell>
        </row>
        <row r="25">
          <cell r="B25" t="str">
            <v>Q-CH-3</v>
          </cell>
          <cell r="C25" t="str">
            <v>测绘合同书（19#-24#）</v>
          </cell>
          <cell r="D25" t="str">
            <v>技术合同</v>
          </cell>
          <cell r="E25" t="str">
            <v>库尔勒天平房地产价格评估事务所（有限责任公司）</v>
          </cell>
          <cell r="F25">
            <v>43658</v>
          </cell>
          <cell r="G25">
            <v>12137</v>
          </cell>
          <cell r="H25">
            <v>0</v>
          </cell>
          <cell r="I25" t="str">
            <v>否</v>
          </cell>
          <cell r="J25" t="str">
            <v>否</v>
          </cell>
          <cell r="K25" t="str">
            <v>否</v>
          </cell>
        </row>
        <row r="25">
          <cell r="M25">
            <v>1</v>
          </cell>
          <cell r="N25">
            <v>11783.5</v>
          </cell>
        </row>
        <row r="26">
          <cell r="B26" t="str">
            <v>Q-SC-02-03</v>
          </cell>
          <cell r="C26" t="str">
            <v>建设工程勘察合同（1#35#，19-24#楼）19-24#</v>
          </cell>
          <cell r="D26" t="str">
            <v>技术合同</v>
          </cell>
          <cell r="E26" t="str">
            <v>巴州基安岩土工程勘察设计有限责任公司</v>
          </cell>
          <cell r="F26">
            <v>43407</v>
          </cell>
          <cell r="G26">
            <v>23000</v>
          </cell>
          <cell r="H26">
            <v>0</v>
          </cell>
          <cell r="I26" t="str">
            <v>否</v>
          </cell>
          <cell r="J26" t="str">
            <v>否</v>
          </cell>
          <cell r="K26" t="str">
            <v>否</v>
          </cell>
        </row>
        <row r="26">
          <cell r="M26">
            <v>1</v>
          </cell>
          <cell r="N26">
            <v>21666.98</v>
          </cell>
        </row>
        <row r="27">
          <cell r="B27" t="str">
            <v>Q-SJ-1</v>
          </cell>
          <cell r="C27" t="str">
            <v>25-34#建设工程设计合同（民用建设工程设计合同）25#-30#、32#-34</v>
          </cell>
          <cell r="D27" t="str">
            <v>技术合同</v>
          </cell>
          <cell r="E27" t="str">
            <v>库尔勒开拓规划设计研究院</v>
          </cell>
          <cell r="F27">
            <v>43577</v>
          </cell>
          <cell r="G27">
            <v>274100</v>
          </cell>
          <cell r="H27">
            <v>258584.91</v>
          </cell>
          <cell r="I27" t="str">
            <v>否</v>
          </cell>
          <cell r="J27" t="str">
            <v>否</v>
          </cell>
          <cell r="K27" t="str">
            <v>否</v>
          </cell>
        </row>
        <row r="27">
          <cell r="M27">
            <v>1</v>
          </cell>
          <cell r="N27">
            <v>258594.34</v>
          </cell>
        </row>
        <row r="28">
          <cell r="B28" t="str">
            <v>Q-S-1</v>
          </cell>
          <cell r="C28" t="str">
            <v>36#楼审图费、室外装饰（刘建军）审图费</v>
          </cell>
          <cell r="D28" t="str">
            <v>其他合同</v>
          </cell>
          <cell r="E28" t="str">
            <v>巴州建筑工程施工图设计文件审查中心</v>
          </cell>
          <cell r="F28" t="str">
            <v>2020/06/1</v>
          </cell>
          <cell r="G28">
            <v>1569</v>
          </cell>
          <cell r="H28">
            <v>0</v>
          </cell>
          <cell r="I28" t="str">
            <v>否</v>
          </cell>
          <cell r="J28" t="str">
            <v>否</v>
          </cell>
          <cell r="K28" t="str">
            <v>否</v>
          </cell>
        </row>
        <row r="28">
          <cell r="M28">
            <v>1</v>
          </cell>
          <cell r="N28">
            <v>1599.06</v>
          </cell>
        </row>
        <row r="29">
          <cell r="B29" t="str">
            <v>Q-CH-1</v>
          </cell>
          <cell r="C29" t="str">
            <v>测绘合同书（32#33#34#）</v>
          </cell>
          <cell r="D29" t="str">
            <v>技术合同</v>
          </cell>
          <cell r="E29" t="str">
            <v>库尔勒天平房地产价格评估事务所（有限责任公司）</v>
          </cell>
          <cell r="F29">
            <v>43775</v>
          </cell>
          <cell r="G29">
            <v>1826</v>
          </cell>
          <cell r="H29">
            <v>0</v>
          </cell>
          <cell r="I29" t="str">
            <v>否</v>
          </cell>
          <cell r="J29" t="str">
            <v>否</v>
          </cell>
          <cell r="K29" t="str">
            <v>否</v>
          </cell>
        </row>
        <row r="29">
          <cell r="M29">
            <v>1</v>
          </cell>
          <cell r="N29">
            <v>1772.82</v>
          </cell>
        </row>
        <row r="30">
          <cell r="B30" t="str">
            <v>Q-CH-2</v>
          </cell>
          <cell r="C30" t="str">
            <v>测绘合同书（25#-30#）</v>
          </cell>
          <cell r="D30" t="str">
            <v>技术合同</v>
          </cell>
          <cell r="E30" t="str">
            <v>库尔勒天平房地产价格评估事务所（有限责任公司）</v>
          </cell>
          <cell r="F30">
            <v>43754</v>
          </cell>
          <cell r="G30">
            <v>17211</v>
          </cell>
          <cell r="H30">
            <v>0</v>
          </cell>
          <cell r="I30" t="str">
            <v>否</v>
          </cell>
          <cell r="J30" t="str">
            <v>否</v>
          </cell>
          <cell r="K30" t="str">
            <v>否</v>
          </cell>
        </row>
        <row r="30">
          <cell r="M30">
            <v>1</v>
          </cell>
          <cell r="N30">
            <v>16709.71</v>
          </cell>
        </row>
        <row r="31">
          <cell r="B31" t="str">
            <v>Q-SJ-2</v>
          </cell>
          <cell r="C31" t="str">
            <v>建设工程设计合同（19-24#、1#35#、大门、值班室）</v>
          </cell>
          <cell r="D31" t="str">
            <v>技术合同</v>
          </cell>
          <cell r="E31" t="str">
            <v>库尔勒开拓规划设计研究院</v>
          </cell>
          <cell r="F31">
            <v>43427</v>
          </cell>
          <cell r="G31">
            <v>204200</v>
          </cell>
          <cell r="H31">
            <v>192641.51</v>
          </cell>
          <cell r="I31" t="str">
            <v>否</v>
          </cell>
          <cell r="J31" t="str">
            <v>否</v>
          </cell>
          <cell r="K31" t="str">
            <v>否</v>
          </cell>
        </row>
        <row r="31">
          <cell r="M31">
            <v>1</v>
          </cell>
          <cell r="N31">
            <v>192641.5</v>
          </cell>
        </row>
        <row r="32">
          <cell r="B32" t="str">
            <v>GG-YEY-02</v>
          </cell>
          <cell r="C32" t="str">
            <v>幼儿园建设工程设计合同（民用建设工程设计合同）</v>
          </cell>
          <cell r="D32" t="str">
            <v>技术合同</v>
          </cell>
          <cell r="E32" t="str">
            <v>新疆益诚开拓空间规划建筑设计研究院有限公司</v>
          </cell>
          <cell r="F32">
            <v>43922</v>
          </cell>
          <cell r="G32">
            <v>23500</v>
          </cell>
          <cell r="H32">
            <v>22169.81</v>
          </cell>
          <cell r="I32" t="str">
            <v>否</v>
          </cell>
          <cell r="J32" t="str">
            <v>否</v>
          </cell>
          <cell r="K32" t="str">
            <v>是</v>
          </cell>
          <cell r="L32" t="str">
            <v>可售建筑面积法</v>
          </cell>
          <cell r="M32">
            <v>0.338555832480367</v>
          </cell>
          <cell r="N32">
            <v>22169.81</v>
          </cell>
        </row>
        <row r="33">
          <cell r="B33" t="str">
            <v>JZ-YBJ-01</v>
          </cell>
          <cell r="C33" t="str">
            <v>沁春锦苑样板房（20-1-702）装修</v>
          </cell>
          <cell r="D33" t="str">
            <v>建设工程合同</v>
          </cell>
          <cell r="E33" t="str">
            <v>新疆雅丹筑韵建筑装饰工程有限公司</v>
          </cell>
          <cell r="F33">
            <v>43977</v>
          </cell>
          <cell r="G33">
            <v>435766.64</v>
          </cell>
          <cell r="H33">
            <v>411100.6</v>
          </cell>
          <cell r="I33" t="str">
            <v>否</v>
          </cell>
          <cell r="J33" t="str">
            <v>否</v>
          </cell>
          <cell r="K33" t="str">
            <v>否</v>
          </cell>
        </row>
        <row r="33">
          <cell r="M33">
            <v>1</v>
          </cell>
          <cell r="N33">
            <v>431452.12</v>
          </cell>
        </row>
        <row r="34">
          <cell r="B34" t="str">
            <v>JZ-ZX-01</v>
          </cell>
          <cell r="C34" t="str">
            <v>沁春锦苑20#24#楼门斗装修</v>
          </cell>
          <cell r="D34" t="str">
            <v>建设工程合同</v>
          </cell>
          <cell r="E34" t="str">
            <v>新疆巴州金辉煌装饰工程有限责任公司（金克）</v>
          </cell>
          <cell r="F34">
            <v>43977</v>
          </cell>
          <cell r="G34">
            <v>744800</v>
          </cell>
          <cell r="H34">
            <v>737425.74</v>
          </cell>
          <cell r="I34" t="str">
            <v>否</v>
          </cell>
          <cell r="J34" t="str">
            <v>否</v>
          </cell>
          <cell r="K34" t="str">
            <v>否</v>
          </cell>
        </row>
        <row r="34">
          <cell r="M34">
            <v>1</v>
          </cell>
          <cell r="N34">
            <v>737425.73</v>
          </cell>
        </row>
        <row r="35">
          <cell r="B35" t="str">
            <v>JZ-ZX-02</v>
          </cell>
          <cell r="C35" t="str">
            <v>沁春锦苑19#23#楼门斗装修</v>
          </cell>
          <cell r="D35" t="str">
            <v>建设工程合同</v>
          </cell>
          <cell r="E35" t="str">
            <v>新疆星期天装饰工程有限公司</v>
          </cell>
          <cell r="F35">
            <v>43987</v>
          </cell>
          <cell r="G35">
            <v>744800</v>
          </cell>
          <cell r="H35">
            <v>737425.74</v>
          </cell>
          <cell r="I35" t="str">
            <v>否</v>
          </cell>
          <cell r="J35" t="str">
            <v>否</v>
          </cell>
          <cell r="K35" t="str">
            <v>否</v>
          </cell>
        </row>
        <row r="35">
          <cell r="M35">
            <v>1</v>
          </cell>
          <cell r="N35">
            <v>737425.74</v>
          </cell>
        </row>
        <row r="36">
          <cell r="B36" t="str">
            <v>JZ-ZX-04</v>
          </cell>
          <cell r="C36" t="str">
            <v>沁春锦苑25#27#29#楼门斗装修</v>
          </cell>
          <cell r="D36" t="str">
            <v>建设工程合同</v>
          </cell>
          <cell r="E36" t="str">
            <v>新疆星期天装饰工程有限公司</v>
          </cell>
          <cell r="F36">
            <v>44086</v>
          </cell>
          <cell r="G36">
            <v>948000</v>
          </cell>
          <cell r="H36">
            <v>938613.86</v>
          </cell>
          <cell r="I36" t="str">
            <v>否</v>
          </cell>
          <cell r="J36" t="str">
            <v>否</v>
          </cell>
          <cell r="K36" t="str">
            <v>否</v>
          </cell>
        </row>
        <row r="36">
          <cell r="M36">
            <v>1</v>
          </cell>
          <cell r="N36">
            <v>938613.85</v>
          </cell>
        </row>
        <row r="37">
          <cell r="B37" t="str">
            <v>JZ-ZX-05</v>
          </cell>
          <cell r="C37" t="str">
            <v>沁春锦苑32#33#34#楼外墙装修</v>
          </cell>
          <cell r="D37" t="str">
            <v>建设工程合同</v>
          </cell>
          <cell r="E37" t="str">
            <v>巴州理想家建筑装饰有限公司（倪）</v>
          </cell>
          <cell r="F37">
            <v>44096</v>
          </cell>
          <cell r="G37">
            <v>2300000</v>
          </cell>
          <cell r="H37">
            <v>0</v>
          </cell>
          <cell r="I37" t="str">
            <v>否</v>
          </cell>
          <cell r="J37" t="str">
            <v>否</v>
          </cell>
          <cell r="K37" t="str">
            <v>否</v>
          </cell>
        </row>
        <row r="37">
          <cell r="M37">
            <v>1</v>
          </cell>
          <cell r="N37">
            <v>2110091.78</v>
          </cell>
        </row>
        <row r="38">
          <cell r="B38" t="str">
            <v>JZ-ZX-06</v>
          </cell>
          <cell r="C38" t="str">
            <v>沁春锦苑19#20#23#24#楼吊顶隔墙装修合同</v>
          </cell>
          <cell r="D38" t="str">
            <v>建设工程合同</v>
          </cell>
          <cell r="E38" t="str">
            <v>巴州理想家建筑装饰有限公司（倪）</v>
          </cell>
          <cell r="F38">
            <v>44086</v>
          </cell>
          <cell r="G38">
            <v>2000000</v>
          </cell>
          <cell r="H38">
            <v>0</v>
          </cell>
          <cell r="I38" t="str">
            <v>否</v>
          </cell>
          <cell r="J38" t="str">
            <v>否</v>
          </cell>
          <cell r="K38" t="str">
            <v>否</v>
          </cell>
        </row>
        <row r="38">
          <cell r="M38">
            <v>1</v>
          </cell>
          <cell r="N38">
            <v>1834862.4</v>
          </cell>
        </row>
        <row r="39">
          <cell r="B39" t="str">
            <v>JZ-ZX-09</v>
          </cell>
          <cell r="C39" t="str">
            <v>极舍定制（样板间）</v>
          </cell>
          <cell r="D39" t="str">
            <v>其他合同</v>
          </cell>
          <cell r="E39" t="str">
            <v>成都金彩极舍家居有限公司</v>
          </cell>
          <cell r="F39">
            <v>44146</v>
          </cell>
          <cell r="G39">
            <v>65000</v>
          </cell>
          <cell r="H39">
            <v>0</v>
          </cell>
          <cell r="I39" t="str">
            <v>否</v>
          </cell>
          <cell r="J39" t="str">
            <v>否</v>
          </cell>
          <cell r="K39" t="str">
            <v>否</v>
          </cell>
        </row>
        <row r="39">
          <cell r="M39">
            <v>1</v>
          </cell>
          <cell r="N39">
            <v>65000</v>
          </cell>
        </row>
        <row r="40">
          <cell r="B40" t="str">
            <v>JZ-ZX-10</v>
          </cell>
          <cell r="C40" t="str">
            <v>购销合同</v>
          </cell>
          <cell r="D40" t="str">
            <v>其他合同</v>
          </cell>
          <cell r="E40" t="str">
            <v>成华区优砖建材经营部（成华区美尔凯特建材经销部）</v>
          </cell>
          <cell r="F40">
            <v>44133</v>
          </cell>
          <cell r="G40">
            <v>35741</v>
          </cell>
          <cell r="H40">
            <v>0</v>
          </cell>
          <cell r="I40" t="str">
            <v>否</v>
          </cell>
          <cell r="J40" t="str">
            <v>否</v>
          </cell>
          <cell r="K40" t="str">
            <v>否</v>
          </cell>
        </row>
        <row r="40">
          <cell r="M40">
            <v>1</v>
          </cell>
          <cell r="N40">
            <v>0</v>
          </cell>
        </row>
        <row r="41">
          <cell r="B41" t="str">
            <v>JZ-ZX-11</v>
          </cell>
          <cell r="C41" t="str">
            <v>购销合同</v>
          </cell>
          <cell r="D41" t="str">
            <v>其他合同</v>
          </cell>
          <cell r="E41" t="str">
            <v>成华区美尔凯特建材经销部</v>
          </cell>
          <cell r="F41" t="str">
            <v>2020/06/1</v>
          </cell>
          <cell r="G41">
            <v>35741</v>
          </cell>
          <cell r="H41">
            <v>0</v>
          </cell>
          <cell r="I41" t="str">
            <v>否</v>
          </cell>
          <cell r="J41" t="str">
            <v>否</v>
          </cell>
          <cell r="K41" t="str">
            <v>否</v>
          </cell>
        </row>
        <row r="41">
          <cell r="M41">
            <v>1</v>
          </cell>
          <cell r="N41">
            <v>0</v>
          </cell>
        </row>
        <row r="42">
          <cell r="B42" t="str">
            <v>JZ-ZX-17</v>
          </cell>
          <cell r="C42" t="str">
            <v>卫浴款</v>
          </cell>
          <cell r="D42" t="str">
            <v>其他合同</v>
          </cell>
          <cell r="E42" t="str">
            <v>成都祥和汇商贸有限责任公司</v>
          </cell>
          <cell r="F42">
            <v>44144</v>
          </cell>
          <cell r="G42">
            <v>117639</v>
          </cell>
          <cell r="H42">
            <v>0</v>
          </cell>
          <cell r="I42" t="str">
            <v>否</v>
          </cell>
          <cell r="J42" t="str">
            <v>否</v>
          </cell>
          <cell r="K42" t="str">
            <v>否</v>
          </cell>
        </row>
        <row r="42">
          <cell r="M42">
            <v>1</v>
          </cell>
          <cell r="N42">
            <v>150000</v>
          </cell>
        </row>
        <row r="43">
          <cell r="B43" t="str">
            <v>JZ-ZX-15</v>
          </cell>
          <cell r="C43" t="str">
            <v>装饰装修工程承包合同</v>
          </cell>
          <cell r="D43" t="str">
            <v>建设工程合同</v>
          </cell>
          <cell r="E43" t="str">
            <v>乌鲁木齐鑫林隆装饰材料有限公司（刘品全）</v>
          </cell>
          <cell r="F43">
            <v>43595</v>
          </cell>
          <cell r="G43">
            <v>1700000</v>
          </cell>
          <cell r="H43">
            <v>0</v>
          </cell>
          <cell r="I43" t="str">
            <v>否</v>
          </cell>
          <cell r="J43" t="str">
            <v>否</v>
          </cell>
          <cell r="K43" t="str">
            <v>否</v>
          </cell>
        </row>
        <row r="43">
          <cell r="M43">
            <v>1</v>
          </cell>
          <cell r="N43">
            <v>0</v>
          </cell>
        </row>
        <row r="44">
          <cell r="B44" t="str">
            <v>JZ-QT-02</v>
          </cell>
          <cell r="C44" t="str">
            <v>承揽合同（铝合金窗20.24#）</v>
          </cell>
          <cell r="D44" t="str">
            <v>买卖合同</v>
          </cell>
          <cell r="E44" t="str">
            <v>库尔勒坚乐美建筑工程有限责任公司（郑长银）</v>
          </cell>
          <cell r="F44">
            <v>43659</v>
          </cell>
          <cell r="G44">
            <v>1500090.8</v>
          </cell>
          <cell r="H44">
            <v>1327513.98230089</v>
          </cell>
          <cell r="I44" t="str">
            <v>否</v>
          </cell>
          <cell r="J44" t="str">
            <v>否</v>
          </cell>
          <cell r="K44" t="str">
            <v>否</v>
          </cell>
        </row>
        <row r="44">
          <cell r="M44">
            <v>1</v>
          </cell>
          <cell r="N44">
            <v>1398230.15</v>
          </cell>
        </row>
        <row r="45">
          <cell r="B45" t="str">
            <v>JC-RQ-01</v>
          </cell>
          <cell r="C45" t="str">
            <v>19#-24#35#天然气安装工程委托建设管理协议书</v>
          </cell>
          <cell r="D45" t="str">
            <v>其他合同</v>
          </cell>
          <cell r="E45" t="str">
            <v>新疆南天城建（集团）股份有限公司</v>
          </cell>
          <cell r="F45">
            <v>43952</v>
          </cell>
          <cell r="G45">
            <v>956556.07</v>
          </cell>
          <cell r="H45">
            <v>877574.38</v>
          </cell>
          <cell r="I45" t="str">
            <v>否</v>
          </cell>
          <cell r="J45" t="str">
            <v>否</v>
          </cell>
          <cell r="K45" t="str">
            <v>否</v>
          </cell>
        </row>
        <row r="45">
          <cell r="M45">
            <v>1</v>
          </cell>
          <cell r="N45">
            <v>877574.38</v>
          </cell>
        </row>
        <row r="46">
          <cell r="B46" t="str">
            <v>JC-Q-5-01</v>
          </cell>
          <cell r="C46" t="str">
            <v>31#36#楼天然气安装工程</v>
          </cell>
          <cell r="D46" t="str">
            <v>建设工程合同</v>
          </cell>
          <cell r="E46" t="str">
            <v>新疆南天城建（集团）股份有限公司</v>
          </cell>
          <cell r="F46">
            <v>44447</v>
          </cell>
          <cell r="G46">
            <v>93479.41</v>
          </cell>
          <cell r="H46">
            <v>85760.93</v>
          </cell>
          <cell r="I46" t="str">
            <v>否</v>
          </cell>
          <cell r="J46" t="str">
            <v>否</v>
          </cell>
          <cell r="K46" t="str">
            <v>是</v>
          </cell>
          <cell r="L46" t="str">
            <v>可售建筑面积法</v>
          </cell>
          <cell r="M46">
            <v>0.338555832480367</v>
          </cell>
          <cell r="N46">
            <v>58966.86</v>
          </cell>
        </row>
        <row r="47">
          <cell r="B47" t="str">
            <v>QQ-SJ-001</v>
          </cell>
          <cell r="C47" t="str">
            <v>35 号楼消防改造及装修设计项目</v>
          </cell>
          <cell r="D47" t="str">
            <v>技术合同</v>
          </cell>
          <cell r="E47" t="str">
            <v>盐城市规划市政设计院有限公司乌鲁木齐分公司</v>
          </cell>
          <cell r="F47">
            <v>44344</v>
          </cell>
          <cell r="G47">
            <v>10500</v>
          </cell>
          <cell r="H47">
            <v>10396.04</v>
          </cell>
          <cell r="I47" t="str">
            <v>否</v>
          </cell>
          <cell r="J47" t="str">
            <v>否</v>
          </cell>
          <cell r="K47" t="str">
            <v>否</v>
          </cell>
        </row>
        <row r="47">
          <cell r="M47">
            <v>1</v>
          </cell>
          <cell r="N47">
            <v>10396.04</v>
          </cell>
        </row>
        <row r="48">
          <cell r="B48" t="str">
            <v>QQ-SJ-002</v>
          </cell>
          <cell r="C48" t="str">
            <v>35 号楼消防改造及装修设计项目</v>
          </cell>
          <cell r="D48" t="str">
            <v>技术合同</v>
          </cell>
          <cell r="E48" t="str">
            <v>四川中七建筑规划设计有限公司</v>
          </cell>
          <cell r="F48">
            <v>44344</v>
          </cell>
          <cell r="G48">
            <v>10500</v>
          </cell>
          <cell r="H48">
            <v>10396.04</v>
          </cell>
          <cell r="I48" t="str">
            <v>否</v>
          </cell>
          <cell r="J48" t="str">
            <v>否</v>
          </cell>
          <cell r="K48" t="str">
            <v>否</v>
          </cell>
        </row>
        <row r="48">
          <cell r="M48">
            <v>1</v>
          </cell>
          <cell r="N48">
            <v>10396.04</v>
          </cell>
        </row>
        <row r="49">
          <cell r="B49" t="str">
            <v>FS-YL-001</v>
          </cell>
          <cell r="C49" t="str">
            <v>沁春锦苑塑胶跑道及游乐设施采购合同</v>
          </cell>
          <cell r="D49" t="str">
            <v>其他合同</v>
          </cell>
          <cell r="E49" t="str">
            <v>浙江修江实业有限公司</v>
          </cell>
          <cell r="F49">
            <v>44016</v>
          </cell>
          <cell r="G49">
            <v>258000</v>
          </cell>
          <cell r="H49">
            <v>228318.59</v>
          </cell>
          <cell r="I49" t="str">
            <v>否</v>
          </cell>
          <cell r="J49" t="str">
            <v>否</v>
          </cell>
          <cell r="K49" t="str">
            <v>否</v>
          </cell>
        </row>
        <row r="49">
          <cell r="M49">
            <v>1</v>
          </cell>
          <cell r="N49">
            <v>228318.59</v>
          </cell>
        </row>
        <row r="50">
          <cell r="B50" t="str">
            <v>FS-ZM-001</v>
          </cell>
          <cell r="C50" t="str">
            <v>电线电缆（绿）</v>
          </cell>
          <cell r="D50" t="str">
            <v>其他合同</v>
          </cell>
          <cell r="E50" t="str">
            <v>正工电缆有限公司</v>
          </cell>
          <cell r="F50">
            <v>44148</v>
          </cell>
          <cell r="G50">
            <v>1508535</v>
          </cell>
          <cell r="H50">
            <v>1334986.73</v>
          </cell>
          <cell r="I50" t="str">
            <v>否</v>
          </cell>
          <cell r="J50" t="str">
            <v>否</v>
          </cell>
          <cell r="K50" t="str">
            <v>否</v>
          </cell>
        </row>
        <row r="50">
          <cell r="M50">
            <v>1</v>
          </cell>
          <cell r="N50">
            <v>1334986.72</v>
          </cell>
        </row>
        <row r="51">
          <cell r="B51" t="str">
            <v>FS-LH-001</v>
          </cell>
          <cell r="C51" t="str">
            <v>附属亮化设施合同</v>
          </cell>
          <cell r="D51" t="str">
            <v>建设工程合同</v>
          </cell>
          <cell r="E51" t="str">
            <v>中山市蓝海洋灯饰厂</v>
          </cell>
          <cell r="F51">
            <v>43701</v>
          </cell>
          <cell r="G51">
            <v>136320</v>
          </cell>
          <cell r="H51">
            <v>137982.29</v>
          </cell>
          <cell r="I51" t="str">
            <v>否</v>
          </cell>
          <cell r="J51" t="str">
            <v>否</v>
          </cell>
          <cell r="K51" t="str">
            <v>否</v>
          </cell>
        </row>
        <row r="51">
          <cell r="M51">
            <v>1</v>
          </cell>
          <cell r="N51">
            <v>137982.29</v>
          </cell>
        </row>
        <row r="52">
          <cell r="B52" t="str">
            <v>GG-RFCK-03</v>
          </cell>
          <cell r="C52" t="str">
            <v>建设工程设计合同（民用建设工程设计合同）</v>
          </cell>
          <cell r="D52" t="str">
            <v>技术合同</v>
          </cell>
          <cell r="E52" t="str">
            <v>河南省人防建筑设计院有限公司新疆分公司</v>
          </cell>
          <cell r="F52" t="str">
            <v>2020/06/1</v>
          </cell>
          <cell r="G52">
            <v>168000</v>
          </cell>
          <cell r="H52">
            <v>171329.3</v>
          </cell>
          <cell r="I52" t="str">
            <v>否</v>
          </cell>
          <cell r="J52" t="str">
            <v>否</v>
          </cell>
          <cell r="K52" t="str">
            <v>是</v>
          </cell>
          <cell r="L52" t="str">
            <v>其他分摊方法</v>
          </cell>
          <cell r="M52">
            <v>0.109829243890136</v>
          </cell>
          <cell r="N52">
            <v>171329.3</v>
          </cell>
        </row>
        <row r="53">
          <cell r="B53" t="str">
            <v>GG-RFCK-02</v>
          </cell>
          <cell r="C53" t="str">
            <v>沁春锦苑项目人防门购置18#-21#</v>
          </cell>
          <cell r="D53" t="str">
            <v>买卖合同</v>
          </cell>
          <cell r="E53" t="str">
            <v>新疆巨安新粤防护设备有限公司（张照平18167948637）</v>
          </cell>
          <cell r="F53">
            <v>44148</v>
          </cell>
          <cell r="G53">
            <v>1850000</v>
          </cell>
          <cell r="H53">
            <v>1568568.26</v>
          </cell>
          <cell r="I53" t="str">
            <v>否</v>
          </cell>
          <cell r="J53" t="str">
            <v>否</v>
          </cell>
          <cell r="K53" t="str">
            <v>是</v>
          </cell>
          <cell r="L53" t="str">
            <v>其他分摊方法</v>
          </cell>
          <cell r="M53">
            <v>0.109829243890136</v>
          </cell>
          <cell r="N53">
            <v>1658454.46</v>
          </cell>
        </row>
        <row r="54">
          <cell r="B54" t="str">
            <v>GG-RFCK-01</v>
          </cell>
          <cell r="C54" t="str">
            <v>沁春锦苑人防车库防雨棚安装工程</v>
          </cell>
          <cell r="D54" t="str">
            <v>建设工程合同</v>
          </cell>
          <cell r="E54" t="str">
            <v>库尔勒坚乐美建筑工程有限责任公司（郑长银）</v>
          </cell>
          <cell r="F54">
            <v>45089</v>
          </cell>
          <cell r="G54">
            <v>370000</v>
          </cell>
          <cell r="H54">
            <v>335743.29</v>
          </cell>
          <cell r="I54" t="str">
            <v>否</v>
          </cell>
          <cell r="J54" t="str">
            <v>否</v>
          </cell>
          <cell r="K54" t="str">
            <v>是</v>
          </cell>
          <cell r="L54" t="str">
            <v>其他分摊方法</v>
          </cell>
          <cell r="M54">
            <v>0.109829243890136</v>
          </cell>
          <cell r="N54">
            <v>335743.29</v>
          </cell>
        </row>
        <row r="55">
          <cell r="B55" t="str">
            <v>GG-YEY-01</v>
          </cell>
          <cell r="C55" t="str">
            <v>沁春锦苑幼儿园大门、亮化、自行车棚工程合同</v>
          </cell>
          <cell r="D55" t="str">
            <v>买卖合同</v>
          </cell>
          <cell r="E55" t="str">
            <v>新疆智明建设工程有限公司</v>
          </cell>
          <cell r="F55">
            <v>44505</v>
          </cell>
          <cell r="G55">
            <v>503000</v>
          </cell>
          <cell r="H55">
            <v>478552.29</v>
          </cell>
          <cell r="I55" t="str">
            <v>否</v>
          </cell>
          <cell r="J55" t="str">
            <v>否</v>
          </cell>
          <cell r="K55" t="str">
            <v>是</v>
          </cell>
          <cell r="L55" t="str">
            <v>可售建筑面积法</v>
          </cell>
          <cell r="M55">
            <v>0.338555832480367</v>
          </cell>
          <cell r="N55">
            <v>478552.29</v>
          </cell>
        </row>
        <row r="56">
          <cell r="B56" t="str">
            <v>GG-SQ-01</v>
          </cell>
          <cell r="C56" t="str">
            <v>37#楼社区用房</v>
          </cell>
          <cell r="D56" t="str">
            <v>其他合同</v>
          </cell>
          <cell r="E56" t="str">
            <v>新疆正杰建筑集团有限公司（张志勇）</v>
          </cell>
          <cell r="F56">
            <v>44784</v>
          </cell>
          <cell r="G56">
            <v>60000</v>
          </cell>
          <cell r="H56">
            <v>55045.87</v>
          </cell>
          <cell r="I56" t="str">
            <v>否</v>
          </cell>
          <cell r="J56" t="str">
            <v>否</v>
          </cell>
          <cell r="K56" t="str">
            <v>是</v>
          </cell>
          <cell r="L56" t="str">
            <v>可售建筑面积法</v>
          </cell>
          <cell r="M56">
            <v>0.338555832480367</v>
          </cell>
          <cell r="N56">
            <v>55045.87</v>
          </cell>
        </row>
        <row r="57">
          <cell r="B57" t="str">
            <v>JC-DM-01</v>
          </cell>
          <cell r="C57" t="str">
            <v>沁春锦苑大门铝版合同</v>
          </cell>
          <cell r="D57" t="str">
            <v>买卖合同</v>
          </cell>
          <cell r="E57" t="str">
            <v>河南森际装饰材料有限公司</v>
          </cell>
          <cell r="F57">
            <v>44144</v>
          </cell>
          <cell r="G57">
            <v>6229</v>
          </cell>
          <cell r="H57">
            <v>0</v>
          </cell>
          <cell r="I57" t="str">
            <v>否</v>
          </cell>
          <cell r="J57" t="str">
            <v>否</v>
          </cell>
          <cell r="K57" t="str">
            <v>否</v>
          </cell>
        </row>
        <row r="57">
          <cell r="M57">
            <v>1</v>
          </cell>
          <cell r="N57">
            <v>5512.39</v>
          </cell>
        </row>
        <row r="58">
          <cell r="B58" t="str">
            <v>JC-ZS-01</v>
          </cell>
          <cell r="C58" t="str">
            <v>19#20#23、24楼中间干挂石材</v>
          </cell>
          <cell r="D58" t="str">
            <v>其他合同</v>
          </cell>
          <cell r="E58" t="str">
            <v>巴州招贤建筑装饰有限责任公司</v>
          </cell>
          <cell r="F58" t="str">
            <v>2020/06/1</v>
          </cell>
          <cell r="G58">
            <v>41500</v>
          </cell>
          <cell r="H58">
            <v>0</v>
          </cell>
          <cell r="I58" t="str">
            <v>否</v>
          </cell>
          <cell r="J58" t="str">
            <v>否</v>
          </cell>
          <cell r="K58" t="str">
            <v>否</v>
          </cell>
        </row>
        <row r="58">
          <cell r="M58">
            <v>1</v>
          </cell>
          <cell r="N58">
            <v>79445.65</v>
          </cell>
        </row>
        <row r="59">
          <cell r="B59" t="str">
            <v>JZ-ZZ-01</v>
          </cell>
          <cell r="C59" t="str">
            <v>沁春锦苑楼19#20#23#24#施工协议</v>
          </cell>
          <cell r="D59" t="str">
            <v>建设工程合同</v>
          </cell>
          <cell r="E59" t="str">
            <v>新疆正杰建筑集团有限公司（顾永祥）</v>
          </cell>
          <cell r="F59">
            <v>43626</v>
          </cell>
          <cell r="G59">
            <v>29110120.6</v>
          </cell>
          <cell r="H59">
            <v>26706532.66</v>
          </cell>
          <cell r="I59" t="str">
            <v>否</v>
          </cell>
          <cell r="J59" t="str">
            <v>否</v>
          </cell>
          <cell r="K59" t="str">
            <v>否</v>
          </cell>
        </row>
        <row r="59">
          <cell r="M59">
            <v>1</v>
          </cell>
          <cell r="N59">
            <v>26686419.93</v>
          </cell>
        </row>
        <row r="60">
          <cell r="B60" t="str">
            <v>JZ-JL-02</v>
          </cell>
          <cell r="C60" t="str">
            <v>建设工程监理合同</v>
          </cell>
          <cell r="D60" t="str">
            <v>技术合同</v>
          </cell>
          <cell r="E60" t="str">
            <v>巴州智诚工程项目管理服务有限公司（朱金桥）</v>
          </cell>
          <cell r="F60">
            <v>44242</v>
          </cell>
          <cell r="G60">
            <v>259764</v>
          </cell>
          <cell r="H60">
            <v>0</v>
          </cell>
          <cell r="I60" t="str">
            <v>否</v>
          </cell>
          <cell r="J60" t="str">
            <v>否</v>
          </cell>
          <cell r="K60" t="str">
            <v>否</v>
          </cell>
        </row>
        <row r="60">
          <cell r="M60">
            <v>1</v>
          </cell>
          <cell r="N60">
            <v>303304.85</v>
          </cell>
        </row>
        <row r="61">
          <cell r="B61" t="str">
            <v>JZ-JL-01</v>
          </cell>
          <cell r="C61" t="str">
            <v>建设工程监理合同</v>
          </cell>
          <cell r="D61" t="str">
            <v>技术合同</v>
          </cell>
          <cell r="E61" t="str">
            <v>巴州智诚工程项目管理服务有限公司（杜天刚）</v>
          </cell>
          <cell r="F61">
            <v>43656</v>
          </cell>
          <cell r="G61">
            <v>229084.16</v>
          </cell>
          <cell r="H61">
            <v>0</v>
          </cell>
          <cell r="I61" t="str">
            <v>否</v>
          </cell>
          <cell r="J61" t="str">
            <v>否</v>
          </cell>
          <cell r="K61" t="str">
            <v>否</v>
          </cell>
        </row>
        <row r="61">
          <cell r="M61">
            <v>1</v>
          </cell>
          <cell r="N61">
            <v>181453.62</v>
          </cell>
        </row>
        <row r="62">
          <cell r="B62" t="str">
            <v>JC-LH-13</v>
          </cell>
          <cell r="C62" t="str">
            <v>沁春锦苑一期管网施工合同（19-24、32/33.34)</v>
          </cell>
          <cell r="D62" t="str">
            <v>建设工程合同</v>
          </cell>
          <cell r="E62" t="str">
            <v>乌鲁木齐大漠林海绿化有限责任公司（蔚晓芳）</v>
          </cell>
          <cell r="F62">
            <v>44148</v>
          </cell>
          <cell r="G62">
            <v>562693.47</v>
          </cell>
          <cell r="H62">
            <v>516232.54</v>
          </cell>
          <cell r="I62" t="str">
            <v>否</v>
          </cell>
          <cell r="J62" t="str">
            <v>否</v>
          </cell>
          <cell r="K62" t="str">
            <v>否</v>
          </cell>
        </row>
        <row r="62">
          <cell r="M62">
            <v>1</v>
          </cell>
          <cell r="N62">
            <v>838859.07</v>
          </cell>
        </row>
        <row r="63">
          <cell r="B63" t="str">
            <v>JC-LH-03</v>
          </cell>
          <cell r="C63" t="str">
            <v>沁春锦苑一期园林绿化工程（19-24、32/33.34)</v>
          </cell>
          <cell r="D63" t="str">
            <v>其他合同</v>
          </cell>
          <cell r="E63" t="str">
            <v>乌鲁木齐大漠林海绿化有限责任公司（蔚晓芳）</v>
          </cell>
          <cell r="F63">
            <v>43594</v>
          </cell>
          <cell r="G63">
            <v>1010000</v>
          </cell>
          <cell r="H63">
            <v>926605.5</v>
          </cell>
          <cell r="I63" t="str">
            <v>否</v>
          </cell>
          <cell r="J63" t="str">
            <v>否</v>
          </cell>
          <cell r="K63" t="str">
            <v>否</v>
          </cell>
        </row>
        <row r="63">
          <cell r="M63">
            <v>1</v>
          </cell>
          <cell r="N63">
            <v>1145631.08</v>
          </cell>
        </row>
        <row r="64">
          <cell r="B64" t="str">
            <v>JC-LH-14</v>
          </cell>
          <cell r="C64" t="str">
            <v>沁春锦苑一期园林硬质景观施工合同（19-24、32/33.34)</v>
          </cell>
          <cell r="D64" t="str">
            <v>建设工程合同</v>
          </cell>
          <cell r="E64" t="str">
            <v>乌鲁木齐大漠林海绿化有限责任公司（蔚晓芳）</v>
          </cell>
          <cell r="F64">
            <v>43575</v>
          </cell>
          <cell r="G64">
            <v>1963447.92</v>
          </cell>
          <cell r="H64">
            <v>1801328.37</v>
          </cell>
          <cell r="I64" t="str">
            <v>否</v>
          </cell>
          <cell r="J64" t="str">
            <v>否</v>
          </cell>
          <cell r="K64" t="str">
            <v>否</v>
          </cell>
        </row>
        <row r="64">
          <cell r="M64">
            <v>1</v>
          </cell>
          <cell r="N64">
            <v>1414481.66</v>
          </cell>
        </row>
        <row r="65">
          <cell r="B65" t="str">
            <v>JZ-DT-02-1</v>
          </cell>
          <cell r="C65" t="str">
            <v>一期、二期、三期住宅楼电梯刷卡设备安装改造合同</v>
          </cell>
          <cell r="D65" t="str">
            <v>其他合同</v>
          </cell>
          <cell r="E65" t="str">
            <v>新疆华汇建安机械设备有限公司（许林）</v>
          </cell>
          <cell r="F65">
            <v>44925</v>
          </cell>
          <cell r="G65">
            <v>17600</v>
          </cell>
          <cell r="H65">
            <v>17087.38</v>
          </cell>
          <cell r="I65" t="str">
            <v>否</v>
          </cell>
          <cell r="J65" t="str">
            <v>否</v>
          </cell>
          <cell r="K65" t="str">
            <v>否</v>
          </cell>
        </row>
        <row r="65">
          <cell r="M65">
            <v>1</v>
          </cell>
          <cell r="N65">
            <v>15575.22</v>
          </cell>
        </row>
        <row r="66">
          <cell r="B66" t="str">
            <v>JZ-DT-02-2</v>
          </cell>
          <cell r="C66" t="str">
            <v>一期、二期、三期住宅楼电梯刷卡设备安装改造合同</v>
          </cell>
          <cell r="D66" t="str">
            <v>其他合同</v>
          </cell>
          <cell r="E66" t="str">
            <v>新疆华汇建安机械设备有限公司（许林）</v>
          </cell>
          <cell r="F66">
            <v>44925</v>
          </cell>
          <cell r="G66">
            <v>26800</v>
          </cell>
          <cell r="H66">
            <v>26019.42</v>
          </cell>
          <cell r="I66" t="str">
            <v>否</v>
          </cell>
          <cell r="J66" t="str">
            <v>否</v>
          </cell>
          <cell r="K66" t="str">
            <v>否</v>
          </cell>
        </row>
        <row r="66">
          <cell r="M66">
            <v>1</v>
          </cell>
          <cell r="N66">
            <v>23716.81</v>
          </cell>
        </row>
        <row r="67">
          <cell r="B67" t="str">
            <v>JC-SY-01</v>
          </cell>
          <cell r="C67" t="str">
            <v>沁春锦苑2#3#36#楼外墙装修合同（36#）</v>
          </cell>
          <cell r="D67" t="str">
            <v>建设工程合同</v>
          </cell>
          <cell r="E67" t="str">
            <v>新疆通力建设集团股份有限公司（倪）</v>
          </cell>
          <cell r="F67">
            <v>44216</v>
          </cell>
          <cell r="G67">
            <v>662022.54</v>
          </cell>
          <cell r="H67">
            <v>607360.13</v>
          </cell>
          <cell r="I67" t="str">
            <v>否</v>
          </cell>
          <cell r="J67" t="str">
            <v>否</v>
          </cell>
          <cell r="K67" t="str">
            <v>否</v>
          </cell>
        </row>
        <row r="67">
          <cell r="M67">
            <v>1</v>
          </cell>
          <cell r="N67">
            <v>0</v>
          </cell>
        </row>
        <row r="68">
          <cell r="B68" t="str">
            <v>JC-DL-03</v>
          </cell>
          <cell r="C68" t="str">
            <v>电缆采购合同-公共社区、幼儿园</v>
          </cell>
          <cell r="D68" t="str">
            <v>其他合同</v>
          </cell>
          <cell r="E68" t="str">
            <v>泰丰线缆有限公司</v>
          </cell>
          <cell r="F68">
            <v>44273</v>
          </cell>
          <cell r="G68">
            <v>325289</v>
          </cell>
          <cell r="H68">
            <v>287439.82</v>
          </cell>
          <cell r="I68" t="str">
            <v>否</v>
          </cell>
          <cell r="J68" t="str">
            <v>否</v>
          </cell>
          <cell r="K68" t="str">
            <v>是</v>
          </cell>
          <cell r="L68" t="str">
            <v>可售建筑面积法</v>
          </cell>
          <cell r="M68">
            <v>0.338555832480367</v>
          </cell>
          <cell r="N68">
            <v>287439.82</v>
          </cell>
        </row>
        <row r="69">
          <cell r="B69" t="str">
            <v>JC-QT-28</v>
          </cell>
          <cell r="C69" t="str">
            <v> 20#-24#东侧围挡制作</v>
          </cell>
          <cell r="D69" t="str">
            <v>其他合同</v>
          </cell>
          <cell r="E69" t="str">
            <v>巴州方程视广告有限公司（刘亭）</v>
          </cell>
          <cell r="F69">
            <v>44007</v>
          </cell>
          <cell r="G69">
            <v>44020</v>
          </cell>
          <cell r="H69">
            <v>0</v>
          </cell>
          <cell r="I69" t="str">
            <v>否</v>
          </cell>
          <cell r="J69" t="str">
            <v>否</v>
          </cell>
          <cell r="K69" t="str">
            <v>否</v>
          </cell>
        </row>
        <row r="69">
          <cell r="M69">
            <v>1</v>
          </cell>
          <cell r="N69">
            <v>43584.16</v>
          </cell>
        </row>
        <row r="70">
          <cell r="B70" t="str">
            <v>Q-DP-01</v>
          </cell>
          <cell r="C70" t="str">
            <v>场地平整零星工程</v>
          </cell>
          <cell r="D70" t="str">
            <v>其他合同</v>
          </cell>
          <cell r="E70" t="str">
            <v>库尔勒刘府货运信息咨询服务部</v>
          </cell>
          <cell r="F70">
            <v>43983</v>
          </cell>
          <cell r="G70">
            <v>97500</v>
          </cell>
          <cell r="H70">
            <v>0</v>
          </cell>
          <cell r="I70" t="str">
            <v>否</v>
          </cell>
          <cell r="J70" t="str">
            <v>否</v>
          </cell>
          <cell r="K70" t="str">
            <v>否</v>
          </cell>
        </row>
        <row r="70">
          <cell r="M70">
            <v>1</v>
          </cell>
          <cell r="N70">
            <v>78000</v>
          </cell>
        </row>
        <row r="71">
          <cell r="B71" t="str">
            <v>JC-Q-4</v>
          </cell>
          <cell r="C71" t="str">
            <v>1#楼天然气安装工程</v>
          </cell>
          <cell r="D71" t="str">
            <v>建设工程合同</v>
          </cell>
          <cell r="E71" t="str">
            <v>新疆南天城建（集团）股份有限公司</v>
          </cell>
          <cell r="F71">
            <v>44441</v>
          </cell>
          <cell r="G71">
            <v>30413.3</v>
          </cell>
          <cell r="H71">
            <v>27902.11</v>
          </cell>
          <cell r="I71" t="str">
            <v>否</v>
          </cell>
          <cell r="J71" t="str">
            <v>否</v>
          </cell>
          <cell r="K71" t="str">
            <v>否</v>
          </cell>
        </row>
        <row r="71">
          <cell r="M71">
            <v>1</v>
          </cell>
          <cell r="N71">
            <v>27902.11</v>
          </cell>
        </row>
        <row r="72">
          <cell r="B72" t="str">
            <v>JC-XF-03</v>
          </cell>
          <cell r="C72" t="str">
            <v>消防通道大门制作安装</v>
          </cell>
          <cell r="D72" t="str">
            <v>买卖合同</v>
          </cell>
          <cell r="E72" t="str">
            <v>巴州冠华商贸有限公司</v>
          </cell>
          <cell r="F72">
            <v>44420</v>
          </cell>
          <cell r="G72">
            <v>63000</v>
          </cell>
          <cell r="H72">
            <v>55752.21</v>
          </cell>
          <cell r="I72" t="str">
            <v>否</v>
          </cell>
          <cell r="J72" t="str">
            <v>否</v>
          </cell>
          <cell r="K72" t="str">
            <v>是</v>
          </cell>
          <cell r="L72" t="str">
            <v>可售建筑面积法</v>
          </cell>
          <cell r="M72">
            <v>0.338555832480367</v>
          </cell>
          <cell r="N72">
            <v>55752.21</v>
          </cell>
        </row>
        <row r="73">
          <cell r="B73" t="str">
            <v>JC-TCC-04</v>
          </cell>
          <cell r="C73" t="str">
            <v>沁春锦苑升降横移类机械式停车设备销售合同</v>
          </cell>
          <cell r="D73" t="str">
            <v>买卖合同</v>
          </cell>
          <cell r="E73" t="str">
            <v>唐山通宝停车设备有限公司</v>
          </cell>
          <cell r="F73">
            <v>44699</v>
          </cell>
          <cell r="G73">
            <v>2691718.75</v>
          </cell>
          <cell r="H73">
            <v>2382051.99</v>
          </cell>
          <cell r="I73" t="str">
            <v>否</v>
          </cell>
          <cell r="J73" t="str">
            <v>否</v>
          </cell>
          <cell r="K73" t="str">
            <v>是</v>
          </cell>
          <cell r="L73" t="str">
            <v>可售建筑面积法</v>
          </cell>
          <cell r="M73">
            <v>0.338555832480367</v>
          </cell>
          <cell r="N73">
            <v>1977621.71</v>
          </cell>
        </row>
        <row r="74">
          <cell r="B74" t="str">
            <v>JC-CP-01</v>
          </cell>
          <cell r="C74" t="str">
            <v>沁春锦苑35#楼东侧停车棚安装合同</v>
          </cell>
          <cell r="D74" t="str">
            <v>其他合同</v>
          </cell>
          <cell r="E74" t="str">
            <v>库尔勒坚乐美建筑工程有限责任公司（郑长银）</v>
          </cell>
          <cell r="F74">
            <v>44002</v>
          </cell>
          <cell r="G74">
            <v>30400</v>
          </cell>
          <cell r="H74">
            <v>0</v>
          </cell>
          <cell r="I74" t="str">
            <v>否</v>
          </cell>
          <cell r="J74" t="str">
            <v>否</v>
          </cell>
          <cell r="K74" t="str">
            <v>是</v>
          </cell>
          <cell r="L74" t="str">
            <v>可售建筑面积法</v>
          </cell>
          <cell r="M74">
            <v>0.338555832480367</v>
          </cell>
          <cell r="N74">
            <v>26902.65</v>
          </cell>
        </row>
        <row r="75">
          <cell r="B75" t="str">
            <v>JC-CP-02</v>
          </cell>
          <cell r="C75" t="str">
            <v>沁春锦苑35#楼东侧停车棚安装合同</v>
          </cell>
          <cell r="D75" t="str">
            <v>其他合同</v>
          </cell>
          <cell r="E75" t="str">
            <v>库尔勒天业钢结构制造有限公司</v>
          </cell>
          <cell r="F75">
            <v>44002</v>
          </cell>
          <cell r="G75">
            <v>51376</v>
          </cell>
          <cell r="H75">
            <v>0</v>
          </cell>
          <cell r="I75" t="str">
            <v>否</v>
          </cell>
          <cell r="J75" t="str">
            <v>否</v>
          </cell>
          <cell r="K75" t="str">
            <v>是</v>
          </cell>
          <cell r="L75" t="str">
            <v>可售建筑面积法</v>
          </cell>
          <cell r="M75">
            <v>0.338555832480367</v>
          </cell>
          <cell r="N75">
            <v>45465.49</v>
          </cell>
        </row>
        <row r="76">
          <cell r="B76" t="str">
            <v>JC-DL-04-01</v>
          </cell>
          <cell r="C76" t="str">
            <v>沁春锦苑地面停车线、道路标线、人防楼梯间环氧树脂工程</v>
          </cell>
          <cell r="D76" t="str">
            <v>其他合同</v>
          </cell>
          <cell r="E76" t="str">
            <v>巴州卓晟环保科技有限公司（李欢欢1899960）</v>
          </cell>
          <cell r="F76">
            <v>44662</v>
          </cell>
          <cell r="G76">
            <v>26696.15</v>
          </cell>
          <cell r="H76">
            <v>0</v>
          </cell>
          <cell r="I76" t="str">
            <v>否</v>
          </cell>
          <cell r="J76" t="str">
            <v>否</v>
          </cell>
          <cell r="K76" t="str">
            <v>是</v>
          </cell>
          <cell r="L76" t="str">
            <v>可售建筑面积法</v>
          </cell>
          <cell r="M76">
            <v>0.338555832480367</v>
          </cell>
          <cell r="N76">
            <v>25918.59</v>
          </cell>
        </row>
        <row r="77">
          <cell r="B77" t="str">
            <v>JC-DL-04-02</v>
          </cell>
          <cell r="C77" t="str">
            <v>沁春锦苑地面停车线、道路标线、人防楼梯间环氧树脂工程</v>
          </cell>
          <cell r="D77" t="str">
            <v>其他合同</v>
          </cell>
          <cell r="E77" t="str">
            <v>巴州卓晟环保科技有限公司（李欢欢1899960）</v>
          </cell>
          <cell r="F77">
            <v>44662</v>
          </cell>
          <cell r="G77">
            <v>211805.46</v>
          </cell>
          <cell r="H77">
            <v>0</v>
          </cell>
          <cell r="I77" t="str">
            <v>否</v>
          </cell>
          <cell r="J77" t="str">
            <v>否</v>
          </cell>
          <cell r="K77" t="str">
            <v>是</v>
          </cell>
          <cell r="L77" t="str">
            <v>可售建筑面积法</v>
          </cell>
          <cell r="M77">
            <v>0.338555832480367</v>
          </cell>
          <cell r="N77">
            <v>205636.74</v>
          </cell>
        </row>
        <row r="78">
          <cell r="B78" t="str">
            <v>JC-DL-02</v>
          </cell>
          <cell r="C78" t="str">
            <v>电缆采购合同-一期</v>
          </cell>
          <cell r="D78" t="str">
            <v>其他合同</v>
          </cell>
          <cell r="E78" t="str">
            <v>泰丰线缆有限公司</v>
          </cell>
          <cell r="F78">
            <v>43921</v>
          </cell>
          <cell r="G78">
            <v>1151750.48</v>
          </cell>
          <cell r="H78">
            <v>1019248.21</v>
          </cell>
          <cell r="I78" t="str">
            <v>否</v>
          </cell>
          <cell r="J78" t="str">
            <v>否</v>
          </cell>
          <cell r="K78" t="str">
            <v>否</v>
          </cell>
        </row>
        <row r="78">
          <cell r="M78">
            <v>1</v>
          </cell>
          <cell r="N78">
            <v>1019248.21</v>
          </cell>
        </row>
        <row r="79">
          <cell r="B79" t="str">
            <v>JC-GD-02</v>
          </cell>
          <cell r="C79" t="str">
            <v>电气外网供货安装合同</v>
          </cell>
          <cell r="D79" t="str">
            <v>其他合同</v>
          </cell>
          <cell r="E79" t="str">
            <v>巴州鑫磊机电设备开关有限责任公司、新疆创昊电力建设工程有限公司巴州分公司</v>
          </cell>
          <cell r="F79">
            <v>43921</v>
          </cell>
          <cell r="G79">
            <v>950000</v>
          </cell>
          <cell r="H79">
            <v>0</v>
          </cell>
          <cell r="I79" t="str">
            <v>否</v>
          </cell>
          <cell r="J79" t="str">
            <v>否</v>
          </cell>
          <cell r="K79" t="str">
            <v>否</v>
          </cell>
        </row>
        <row r="79">
          <cell r="M79">
            <v>1</v>
          </cell>
          <cell r="N79">
            <v>977525.07</v>
          </cell>
        </row>
        <row r="80">
          <cell r="B80" t="str">
            <v>JC-DL-01</v>
          </cell>
          <cell r="C80" t="str">
            <v>（石材）材料购销合同</v>
          </cell>
          <cell r="D80" t="str">
            <v>其他合同</v>
          </cell>
          <cell r="E80" t="str">
            <v>和硕县兴隆石材工艺有限责任公司（黄金烁）</v>
          </cell>
          <cell r="F80">
            <v>43606</v>
          </cell>
          <cell r="G80">
            <v>520000</v>
          </cell>
          <cell r="H80">
            <v>514851.49</v>
          </cell>
          <cell r="I80" t="str">
            <v>否</v>
          </cell>
          <cell r="J80" t="str">
            <v>否</v>
          </cell>
          <cell r="K80" t="str">
            <v>是</v>
          </cell>
          <cell r="L80" t="str">
            <v>可售建筑面积法</v>
          </cell>
          <cell r="M80">
            <v>0.338555832480367</v>
          </cell>
          <cell r="N80">
            <v>514851.48</v>
          </cell>
        </row>
        <row r="81">
          <cell r="B81" t="str">
            <v>JC-QT-30</v>
          </cell>
          <cell r="C81" t="str">
            <v>逸航折叠方采购合同</v>
          </cell>
          <cell r="D81" t="str">
            <v>其他合同</v>
          </cell>
          <cell r="E81" t="str">
            <v>河北逸航新诺集成房屋有限公司</v>
          </cell>
          <cell r="F81">
            <v>44980</v>
          </cell>
          <cell r="G81">
            <v>11000</v>
          </cell>
          <cell r="H81">
            <v>0</v>
          </cell>
          <cell r="I81" t="str">
            <v>否</v>
          </cell>
          <cell r="J81" t="str">
            <v>否</v>
          </cell>
          <cell r="K81" t="str">
            <v>是</v>
          </cell>
          <cell r="L81" t="str">
            <v>可售建筑面积法</v>
          </cell>
          <cell r="M81">
            <v>0.338555832480367</v>
          </cell>
          <cell r="N81">
            <v>9734.51</v>
          </cell>
        </row>
        <row r="82">
          <cell r="B82" t="str">
            <v>JC-QT-17</v>
          </cell>
          <cell r="C82" t="str">
            <v>沁春锦苑灯布，门牌，标识牌制作及安装费</v>
          </cell>
          <cell r="D82" t="str">
            <v>买卖合同</v>
          </cell>
          <cell r="E82" t="str">
            <v>巴州方程视广告有限公司（刘亭）</v>
          </cell>
          <cell r="F82">
            <v>45036</v>
          </cell>
          <cell r="G82">
            <v>7530</v>
          </cell>
          <cell r="H82">
            <v>0</v>
          </cell>
          <cell r="I82" t="str">
            <v>否</v>
          </cell>
          <cell r="J82" t="str">
            <v>否</v>
          </cell>
          <cell r="K82" t="str">
            <v>是</v>
          </cell>
          <cell r="L82" t="str">
            <v>其他分摊方法</v>
          </cell>
          <cell r="M82">
            <v>0.109829243890136</v>
          </cell>
          <cell r="N82">
            <v>125900.41</v>
          </cell>
        </row>
        <row r="83">
          <cell r="B83" t="str">
            <v>JC-QT-16</v>
          </cell>
          <cell r="C83" t="str">
            <v>沁春锦苑小区围挡制作</v>
          </cell>
          <cell r="D83" t="str">
            <v>承揽合同</v>
          </cell>
          <cell r="E83" t="str">
            <v>巴州方程视广告有限公司（刘亭）</v>
          </cell>
          <cell r="F83">
            <v>45156</v>
          </cell>
          <cell r="G83">
            <v>82800</v>
          </cell>
          <cell r="H83">
            <v>135461.36</v>
          </cell>
          <cell r="I83" t="str">
            <v>否</v>
          </cell>
          <cell r="J83" t="str">
            <v>否</v>
          </cell>
          <cell r="K83" t="str">
            <v>是</v>
          </cell>
          <cell r="L83" t="str">
            <v>可售建筑面积法</v>
          </cell>
          <cell r="M83">
            <v>0.338555832480367</v>
          </cell>
          <cell r="N83">
            <v>135461.36</v>
          </cell>
        </row>
        <row r="84">
          <cell r="B84" t="str">
            <v>JC-QT-15</v>
          </cell>
          <cell r="C84" t="str">
            <v>一体化预制泵站加工定作合同</v>
          </cell>
          <cell r="D84" t="str">
            <v>其他合同</v>
          </cell>
          <cell r="E84" t="str">
            <v>河北阔龙环保设备有限公司</v>
          </cell>
          <cell r="F84">
            <v>43991</v>
          </cell>
          <cell r="G84">
            <v>100000</v>
          </cell>
          <cell r="H84">
            <v>0</v>
          </cell>
          <cell r="I84" t="str">
            <v>否</v>
          </cell>
          <cell r="J84" t="str">
            <v>否</v>
          </cell>
          <cell r="K84" t="str">
            <v>是</v>
          </cell>
          <cell r="L84" t="str">
            <v>可售建筑面积法</v>
          </cell>
          <cell r="M84">
            <v>0.338555832480367</v>
          </cell>
          <cell r="N84">
            <v>88495.58</v>
          </cell>
        </row>
        <row r="85">
          <cell r="B85" t="str">
            <v>JC-QT-06</v>
          </cell>
          <cell r="C85" t="str">
            <v>沁春锦苑20、25-27、29、30#楼7+1露台不锈钢围栏安装合同</v>
          </cell>
          <cell r="D85" t="str">
            <v>其他合同</v>
          </cell>
          <cell r="E85" t="str">
            <v>巴州冠华商贸有限公司</v>
          </cell>
          <cell r="F85">
            <v>43999</v>
          </cell>
          <cell r="G85">
            <v>155526</v>
          </cell>
          <cell r="H85">
            <v>137633.63</v>
          </cell>
          <cell r="I85" t="str">
            <v>否</v>
          </cell>
          <cell r="J85" t="str">
            <v>否</v>
          </cell>
          <cell r="K85" t="str">
            <v>否</v>
          </cell>
        </row>
        <row r="85">
          <cell r="M85">
            <v>1</v>
          </cell>
          <cell r="N85">
            <v>143097.34</v>
          </cell>
        </row>
        <row r="86">
          <cell r="B86" t="str">
            <v>JC-QT-05</v>
          </cell>
          <cell r="C86" t="str">
            <v>沁春锦苑19#20#23#24#楼监控系统安装</v>
          </cell>
          <cell r="D86" t="str">
            <v>其他合同</v>
          </cell>
          <cell r="E86" t="str">
            <v>巴州凯东商贸有限公司</v>
          </cell>
          <cell r="F86">
            <v>43917</v>
          </cell>
          <cell r="G86">
            <v>243000</v>
          </cell>
          <cell r="H86">
            <v>0</v>
          </cell>
          <cell r="I86" t="str">
            <v>否</v>
          </cell>
          <cell r="J86" t="str">
            <v>否</v>
          </cell>
          <cell r="K86" t="str">
            <v>否</v>
          </cell>
        </row>
        <row r="86">
          <cell r="M86">
            <v>1</v>
          </cell>
          <cell r="N86">
            <v>240594.07</v>
          </cell>
        </row>
        <row r="87">
          <cell r="B87" t="str">
            <v>JC-QT-04</v>
          </cell>
          <cell r="C87" t="str">
            <v>美的智能锁购销合同</v>
          </cell>
          <cell r="D87" t="str">
            <v>其他合同</v>
          </cell>
          <cell r="E87" t="str">
            <v>库尔勒超科商贸有限公司</v>
          </cell>
          <cell r="F87">
            <v>43761</v>
          </cell>
          <cell r="G87">
            <v>120540</v>
          </cell>
          <cell r="H87">
            <v>0</v>
          </cell>
          <cell r="I87" t="str">
            <v>否</v>
          </cell>
          <cell r="J87" t="str">
            <v>否</v>
          </cell>
          <cell r="K87" t="str">
            <v>否</v>
          </cell>
        </row>
        <row r="87">
          <cell r="M87">
            <v>1</v>
          </cell>
          <cell r="N87">
            <v>106672.57</v>
          </cell>
        </row>
        <row r="88">
          <cell r="B88" t="str">
            <v>JC-JK-03</v>
          </cell>
          <cell r="C88" t="str">
            <v>沁春锦苑35#楼监控系统安装</v>
          </cell>
          <cell r="D88" t="str">
            <v>其他合同</v>
          </cell>
          <cell r="E88" t="str">
            <v>巴州青橄榄电子科技有限公司（党曌）</v>
          </cell>
          <cell r="F88">
            <v>43675</v>
          </cell>
          <cell r="G88">
            <v>30000</v>
          </cell>
          <cell r="H88">
            <v>0</v>
          </cell>
          <cell r="I88" t="str">
            <v>否</v>
          </cell>
          <cell r="J88" t="str">
            <v>否</v>
          </cell>
          <cell r="K88" t="str">
            <v>否</v>
          </cell>
        </row>
        <row r="88">
          <cell r="M88">
            <v>1</v>
          </cell>
          <cell r="N88">
            <v>0</v>
          </cell>
        </row>
        <row r="89">
          <cell r="B89" t="str">
            <v>JC-QT-31</v>
          </cell>
          <cell r="C89" t="str">
            <v>沁春锦苑一期智慧小区设备采购合同</v>
          </cell>
          <cell r="D89" t="str">
            <v>其他合同</v>
          </cell>
          <cell r="E89" t="str">
            <v>巴州香柏树电子科技有限公司</v>
          </cell>
          <cell r="F89">
            <v>44375</v>
          </cell>
          <cell r="G89">
            <v>68085</v>
          </cell>
          <cell r="H89">
            <v>0</v>
          </cell>
          <cell r="I89" t="str">
            <v>否</v>
          </cell>
          <cell r="J89" t="str">
            <v>否</v>
          </cell>
          <cell r="K89" t="str">
            <v>否</v>
          </cell>
        </row>
        <row r="89">
          <cell r="M89">
            <v>1</v>
          </cell>
          <cell r="N89">
            <v>68085</v>
          </cell>
        </row>
        <row r="90">
          <cell r="B90" t="str">
            <v>JC-LH-01</v>
          </cell>
          <cell r="C90" t="str">
            <v>沁春景苑喷雾造景采购合同</v>
          </cell>
          <cell r="D90" t="str">
            <v>其他合同</v>
          </cell>
          <cell r="E90" t="str">
            <v>成都锦胜雾森环保科技有限公司</v>
          </cell>
          <cell r="F90">
            <v>44027</v>
          </cell>
          <cell r="G90">
            <v>66000</v>
          </cell>
          <cell r="H90">
            <v>0</v>
          </cell>
          <cell r="I90" t="str">
            <v>否</v>
          </cell>
          <cell r="J90" t="str">
            <v>否</v>
          </cell>
          <cell r="K90" t="str">
            <v>是</v>
          </cell>
          <cell r="L90" t="str">
            <v>可售建筑面积法</v>
          </cell>
          <cell r="M90">
            <v>0.338555832480367</v>
          </cell>
          <cell r="N90">
            <v>58407.08</v>
          </cell>
        </row>
        <row r="91">
          <cell r="B91" t="str">
            <v>JC-LH-04</v>
          </cell>
          <cell r="C91" t="str">
            <v>专业建设工程设计合同</v>
          </cell>
          <cell r="D91" t="str">
            <v>技术合同</v>
          </cell>
          <cell r="E91" t="str">
            <v>乌鲁木齐大漠林海绿化有限责任公司（蔚晓芳）</v>
          </cell>
          <cell r="F91">
            <v>44148</v>
          </cell>
          <cell r="G91">
            <v>556500</v>
          </cell>
          <cell r="H91">
            <v>536298.83</v>
          </cell>
          <cell r="I91" t="str">
            <v>否</v>
          </cell>
          <cell r="J91" t="str">
            <v>否</v>
          </cell>
          <cell r="K91" t="str">
            <v>是</v>
          </cell>
          <cell r="L91" t="str">
            <v>可售建筑面积法</v>
          </cell>
          <cell r="M91">
            <v>0.338555832480367</v>
          </cell>
          <cell r="N91">
            <v>536298.83</v>
          </cell>
        </row>
        <row r="92">
          <cell r="B92" t="str">
            <v>JC-LH-05</v>
          </cell>
          <cell r="C92" t="str">
            <v>雕塑工程合同</v>
          </cell>
          <cell r="D92" t="str">
            <v>其他合同</v>
          </cell>
          <cell r="E92" t="str">
            <v>曲阳县石磊石材雕塑有限公司</v>
          </cell>
          <cell r="F92">
            <v>43663</v>
          </cell>
          <cell r="G92">
            <v>270183</v>
          </cell>
          <cell r="H92">
            <v>0</v>
          </cell>
          <cell r="I92" t="str">
            <v>否</v>
          </cell>
          <cell r="J92" t="str">
            <v>否</v>
          </cell>
          <cell r="K92" t="str">
            <v>是</v>
          </cell>
          <cell r="L92" t="str">
            <v>可售建筑面积法</v>
          </cell>
          <cell r="M92">
            <v>0.338555832480367</v>
          </cell>
          <cell r="N92">
            <v>402108.85</v>
          </cell>
        </row>
        <row r="93">
          <cell r="B93" t="str">
            <v>JC-LH-07</v>
          </cell>
          <cell r="C93" t="str">
            <v>沁春锦苑19#20#23#24#楼可视对讲系统安装</v>
          </cell>
          <cell r="D93" t="str">
            <v>其他合同</v>
          </cell>
          <cell r="E93" t="str">
            <v>新疆众泰永盛建设工程有限责任公司</v>
          </cell>
          <cell r="F93">
            <v>43901</v>
          </cell>
          <cell r="G93">
            <v>96965.83</v>
          </cell>
          <cell r="H93">
            <v>85810.48</v>
          </cell>
          <cell r="I93" t="str">
            <v>否</v>
          </cell>
          <cell r="J93" t="str">
            <v>否</v>
          </cell>
          <cell r="K93" t="str">
            <v>否</v>
          </cell>
        </row>
        <row r="93">
          <cell r="M93">
            <v>1</v>
          </cell>
          <cell r="N93">
            <v>85810.48</v>
          </cell>
        </row>
        <row r="94">
          <cell r="B94" t="str">
            <v>JC-ZNLY-01</v>
          </cell>
          <cell r="C94" t="str">
            <v>沁春锦苑一期、二期电梯监控及五方对讲安装工程合同</v>
          </cell>
          <cell r="D94" t="str">
            <v>其他合同</v>
          </cell>
          <cell r="E94" t="str">
            <v>巴州青橄榄电子科技有限公司（党曌）</v>
          </cell>
          <cell r="F94">
            <v>44013</v>
          </cell>
          <cell r="G94">
            <v>270000</v>
          </cell>
          <cell r="H94">
            <v>0</v>
          </cell>
          <cell r="I94" t="str">
            <v>否</v>
          </cell>
          <cell r="J94" t="str">
            <v>否</v>
          </cell>
          <cell r="K94" t="str">
            <v>否</v>
          </cell>
        </row>
        <row r="94">
          <cell r="M94">
            <v>1</v>
          </cell>
          <cell r="N94">
            <v>267326.73</v>
          </cell>
        </row>
        <row r="95">
          <cell r="B95" t="str">
            <v>JC-ZNLY-02</v>
          </cell>
          <cell r="C95" t="str">
            <v>沁春锦苑一期二批次25#-30#楼楼宇对讲</v>
          </cell>
          <cell r="D95" t="str">
            <v>其他合同</v>
          </cell>
          <cell r="E95" t="str">
            <v>巴州青橄榄电子科技有限公司（党曌）</v>
          </cell>
          <cell r="F95">
            <v>44002</v>
          </cell>
          <cell r="G95">
            <v>150000</v>
          </cell>
          <cell r="H95">
            <v>0</v>
          </cell>
          <cell r="I95" t="str">
            <v>否</v>
          </cell>
          <cell r="J95" t="str">
            <v>否</v>
          </cell>
          <cell r="K95" t="str">
            <v>否</v>
          </cell>
        </row>
        <row r="95">
          <cell r="M95">
            <v>1</v>
          </cell>
          <cell r="N95">
            <v>148514.85</v>
          </cell>
        </row>
        <row r="96">
          <cell r="B96" t="str">
            <v>JZ-DT-06</v>
          </cell>
          <cell r="C96" t="str">
            <v>产品定制合同</v>
          </cell>
          <cell r="D96" t="str">
            <v>其他合同</v>
          </cell>
          <cell r="E96" t="str">
            <v>四川义祥电梯有限公司</v>
          </cell>
          <cell r="F96">
            <v>44144</v>
          </cell>
          <cell r="G96">
            <v>120000</v>
          </cell>
          <cell r="H96">
            <v>0</v>
          </cell>
          <cell r="I96" t="str">
            <v>否</v>
          </cell>
          <cell r="J96" t="str">
            <v>否</v>
          </cell>
          <cell r="K96" t="str">
            <v>否</v>
          </cell>
        </row>
        <row r="96">
          <cell r="M96">
            <v>1</v>
          </cell>
          <cell r="N96">
            <v>0</v>
          </cell>
        </row>
        <row r="97">
          <cell r="B97" t="str">
            <v>JZ-ZT-03-01</v>
          </cell>
          <cell r="C97" t="str">
            <v>建设工程施工合同12-15#楼38#楼、31#楼幼儿园（幼儿园—）</v>
          </cell>
          <cell r="D97" t="str">
            <v>建设工程合同</v>
          </cell>
          <cell r="E97" t="str">
            <v>新疆通力建设集团股份有限公司（顾）</v>
          </cell>
          <cell r="F97">
            <v>44148</v>
          </cell>
          <cell r="G97">
            <v>4364712.48</v>
          </cell>
          <cell r="H97">
            <v>4004323.38</v>
          </cell>
          <cell r="I97" t="str">
            <v>否</v>
          </cell>
          <cell r="J97" t="str">
            <v>否</v>
          </cell>
          <cell r="K97" t="str">
            <v>是</v>
          </cell>
          <cell r="L97" t="str">
            <v>可售建筑面积法</v>
          </cell>
          <cell r="M97">
            <v>0.338555832480367</v>
          </cell>
          <cell r="N97">
            <v>4296646.04</v>
          </cell>
        </row>
        <row r="98">
          <cell r="B98" t="str">
            <v>JZ-ZT-03-02</v>
          </cell>
          <cell r="C98" t="str">
            <v>建设工程施工合同12-15#楼38#楼、31#楼.36#幼儿园（36#楼）</v>
          </cell>
          <cell r="D98" t="str">
            <v>建设工程合同</v>
          </cell>
          <cell r="E98" t="str">
            <v>新疆通力建设集团股份有限公司（顾）</v>
          </cell>
          <cell r="F98">
            <v>44148</v>
          </cell>
          <cell r="G98">
            <v>1451380.23</v>
          </cell>
          <cell r="H98">
            <v>1331541.5</v>
          </cell>
          <cell r="I98" t="str">
            <v>否</v>
          </cell>
          <cell r="J98" t="str">
            <v>否</v>
          </cell>
          <cell r="K98" t="str">
            <v>否</v>
          </cell>
        </row>
        <row r="98">
          <cell r="M98">
            <v>1</v>
          </cell>
          <cell r="N98">
            <v>0</v>
          </cell>
        </row>
        <row r="99">
          <cell r="B99" t="str">
            <v>其他合同-20</v>
          </cell>
          <cell r="C99" t="str">
            <v>沁春锦苑35#楼壁挂炉</v>
          </cell>
          <cell r="D99" t="str">
            <v>其他合同</v>
          </cell>
          <cell r="E99" t="str">
            <v>巴州舒朗采暖设备有限公司</v>
          </cell>
          <cell r="F99">
            <v>43759</v>
          </cell>
          <cell r="G99">
            <v>58000</v>
          </cell>
          <cell r="H99">
            <v>0</v>
          </cell>
          <cell r="I99" t="str">
            <v>否</v>
          </cell>
          <cell r="J99" t="str">
            <v>否</v>
          </cell>
          <cell r="K99" t="str">
            <v>否</v>
          </cell>
        </row>
        <row r="99">
          <cell r="M99">
            <v>1</v>
          </cell>
          <cell r="N99">
            <v>5221.24</v>
          </cell>
        </row>
        <row r="100">
          <cell r="B100" t="str">
            <v>其他合同-22</v>
          </cell>
          <cell r="C100" t="str">
            <v>样板间装修</v>
          </cell>
          <cell r="D100" t="str">
            <v>建设工程合同</v>
          </cell>
          <cell r="E100" t="str">
            <v>巴州玖月建筑装饰有限公司</v>
          </cell>
          <cell r="F100">
            <v>43629</v>
          </cell>
          <cell r="G100">
            <v>600000</v>
          </cell>
          <cell r="H100">
            <v>0</v>
          </cell>
          <cell r="I100" t="str">
            <v>否</v>
          </cell>
          <cell r="J100" t="str">
            <v>否</v>
          </cell>
          <cell r="K100" t="str">
            <v>否</v>
          </cell>
        </row>
        <row r="100">
          <cell r="M100">
            <v>1</v>
          </cell>
          <cell r="N100">
            <v>80000</v>
          </cell>
        </row>
        <row r="101">
          <cell r="B101" t="str">
            <v>其他合同-50</v>
          </cell>
          <cell r="C101" t="str">
            <v>沁春锦苑施工用电线路安装合同</v>
          </cell>
          <cell r="D101" t="str">
            <v>建设工程合同</v>
          </cell>
          <cell r="E101" t="str">
            <v>昌吉市恒源通电力安装有限责任公司巴州分公司</v>
          </cell>
          <cell r="F101">
            <v>43549</v>
          </cell>
          <cell r="G101">
            <v>116000</v>
          </cell>
          <cell r="H101">
            <v>0</v>
          </cell>
          <cell r="I101" t="str">
            <v>否</v>
          </cell>
          <cell r="J101" t="str">
            <v>否</v>
          </cell>
          <cell r="K101" t="str">
            <v>否</v>
          </cell>
        </row>
        <row r="101">
          <cell r="M101">
            <v>1</v>
          </cell>
          <cell r="N101">
            <v>112621.36</v>
          </cell>
        </row>
        <row r="102">
          <cell r="B102" t="str">
            <v>其他合同-36</v>
          </cell>
          <cell r="C102" t="str">
            <v>规划设计合同书</v>
          </cell>
          <cell r="D102" t="str">
            <v>技术合同</v>
          </cell>
          <cell r="E102" t="str">
            <v>上海联创建筑设计有限公司新疆分公司</v>
          </cell>
          <cell r="F102">
            <v>43321</v>
          </cell>
          <cell r="G102">
            <v>1915344</v>
          </cell>
          <cell r="H102">
            <v>0</v>
          </cell>
          <cell r="I102" t="str">
            <v>否</v>
          </cell>
          <cell r="J102" t="str">
            <v>否</v>
          </cell>
          <cell r="K102" t="str">
            <v>是</v>
          </cell>
          <cell r="L102" t="str">
            <v>可售建筑面积法</v>
          </cell>
          <cell r="M102">
            <v>0.338555832480367</v>
          </cell>
          <cell r="N102">
            <v>1196860.55</v>
          </cell>
        </row>
        <row r="103">
          <cell r="B103" t="str">
            <v>其他合同-31</v>
          </cell>
          <cell r="C103" t="str">
            <v>装修设计合同（35#）</v>
          </cell>
          <cell r="D103" t="str">
            <v>技术合同</v>
          </cell>
          <cell r="E103" t="str">
            <v>乌鲁木齐艺林峰装饰设计有限公司</v>
          </cell>
          <cell r="F103">
            <v>43531</v>
          </cell>
          <cell r="G103">
            <v>75000</v>
          </cell>
          <cell r="H103">
            <v>0</v>
          </cell>
          <cell r="I103" t="str">
            <v>否</v>
          </cell>
          <cell r="J103" t="str">
            <v>否</v>
          </cell>
          <cell r="K103" t="str">
            <v>否</v>
          </cell>
        </row>
        <row r="103">
          <cell r="M103">
            <v>1</v>
          </cell>
          <cell r="N103">
            <v>0</v>
          </cell>
        </row>
        <row r="104">
          <cell r="B104" t="str">
            <v>其他合同-09</v>
          </cell>
          <cell r="C104" t="str">
            <v>沁春锦苑小区一体化污水处理设备购销</v>
          </cell>
          <cell r="D104" t="str">
            <v>其他合同</v>
          </cell>
          <cell r="E104" t="str">
            <v>新疆明德竟业工程有限公司</v>
          </cell>
          <cell r="F104">
            <v>44390</v>
          </cell>
          <cell r="G104">
            <v>1686800</v>
          </cell>
          <cell r="H104">
            <v>1492743.36</v>
          </cell>
          <cell r="I104" t="str">
            <v>否</v>
          </cell>
          <cell r="J104" t="str">
            <v>否</v>
          </cell>
          <cell r="K104" t="str">
            <v>是</v>
          </cell>
          <cell r="L104" t="str">
            <v>可售建筑面积法</v>
          </cell>
          <cell r="M104">
            <v>0.338555832480367</v>
          </cell>
          <cell r="N104">
            <v>1492743.34</v>
          </cell>
        </row>
        <row r="105">
          <cell r="B105" t="str">
            <v>其他合同-63</v>
          </cell>
          <cell r="C105" t="str">
            <v>1#、25-30#、32-35#</v>
          </cell>
          <cell r="D105" t="str">
            <v>其他合同</v>
          </cell>
          <cell r="E105" t="str">
            <v>新疆润海消防设施检测维护有限公司（高兴祯）</v>
          </cell>
          <cell r="F105">
            <v>44469</v>
          </cell>
          <cell r="G105">
            <v>38865.03</v>
          </cell>
          <cell r="H105">
            <v>38480.23</v>
          </cell>
          <cell r="I105" t="str">
            <v>否</v>
          </cell>
          <cell r="J105" t="str">
            <v>否</v>
          </cell>
          <cell r="K105" t="str">
            <v>否</v>
          </cell>
        </row>
        <row r="105">
          <cell r="M105">
            <v>1</v>
          </cell>
          <cell r="N105">
            <v>38480.23</v>
          </cell>
        </row>
        <row r="106">
          <cell r="B106" t="str">
            <v>其他合同-27</v>
          </cell>
          <cell r="C106" t="str">
            <v>35#楼配电箱及消防供电安装</v>
          </cell>
          <cell r="D106" t="str">
            <v>其他合同</v>
          </cell>
          <cell r="E106" t="str">
            <v>新疆特兰克斯电器有限公司</v>
          </cell>
          <cell r="F106">
            <v>43686</v>
          </cell>
          <cell r="G106">
            <v>80001</v>
          </cell>
          <cell r="H106">
            <v>70797.34</v>
          </cell>
          <cell r="I106" t="str">
            <v>否</v>
          </cell>
          <cell r="J106" t="str">
            <v>否</v>
          </cell>
          <cell r="K106" t="str">
            <v>否</v>
          </cell>
        </row>
        <row r="106">
          <cell r="M106">
            <v>1</v>
          </cell>
          <cell r="N106">
            <v>70797.34</v>
          </cell>
        </row>
        <row r="107">
          <cell r="B107" t="str">
            <v>其他合同-05</v>
          </cell>
          <cell r="C107" t="str">
            <v>材料销售合同</v>
          </cell>
          <cell r="D107" t="str">
            <v>买卖合同</v>
          </cell>
          <cell r="E107" t="str">
            <v>新疆信诚康达工程机械有限公司</v>
          </cell>
          <cell r="F107">
            <v>43605</v>
          </cell>
          <cell r="G107">
            <v>180000</v>
          </cell>
          <cell r="H107">
            <v>159292.03</v>
          </cell>
          <cell r="I107" t="str">
            <v>否</v>
          </cell>
          <cell r="J107" t="str">
            <v>否</v>
          </cell>
          <cell r="K107" t="str">
            <v>否</v>
          </cell>
        </row>
        <row r="107">
          <cell r="M107">
            <v>1</v>
          </cell>
          <cell r="N107">
            <v>0</v>
          </cell>
        </row>
        <row r="108">
          <cell r="B108" t="str">
            <v>JC-LH-18</v>
          </cell>
          <cell r="C108" t="str">
            <v>沁春锦苑大字制作合同</v>
          </cell>
          <cell r="D108" t="str">
            <v>其他合同</v>
          </cell>
          <cell r="E108" t="str">
            <v>巴州青橄榄电子科技有限公司（党曌）</v>
          </cell>
          <cell r="F108">
            <v>43649.46</v>
          </cell>
          <cell r="G108">
            <v>43000</v>
          </cell>
          <cell r="H108">
            <v>0</v>
          </cell>
          <cell r="I108" t="str">
            <v>否</v>
          </cell>
          <cell r="J108" t="str">
            <v>否</v>
          </cell>
          <cell r="K108" t="str">
            <v>是</v>
          </cell>
          <cell r="L108" t="str">
            <v>可售建筑面积法</v>
          </cell>
          <cell r="M108">
            <v>0.338555832480367</v>
          </cell>
          <cell r="N108">
            <v>41747.57</v>
          </cell>
        </row>
        <row r="109">
          <cell r="B109" t="str">
            <v>JC-LH-17</v>
          </cell>
          <cell r="C109" t="str">
            <v>沁春锦苑小区景观轴亮化工程合同</v>
          </cell>
          <cell r="D109" t="str">
            <v>其他合同</v>
          </cell>
          <cell r="E109" t="str">
            <v>巴州青橄榄电子科技有限公司（党曌）</v>
          </cell>
          <cell r="F109">
            <v>43692</v>
          </cell>
          <cell r="G109">
            <v>61500</v>
          </cell>
          <cell r="H109">
            <v>0</v>
          </cell>
          <cell r="I109" t="str">
            <v>否</v>
          </cell>
          <cell r="J109" t="str">
            <v>否</v>
          </cell>
          <cell r="K109" t="str">
            <v>是</v>
          </cell>
          <cell r="L109" t="str">
            <v>可售建筑面积法</v>
          </cell>
          <cell r="M109">
            <v>0.338555832480367</v>
          </cell>
          <cell r="N109">
            <v>60091.46</v>
          </cell>
        </row>
        <row r="110">
          <cell r="B110" t="str">
            <v>JC-XF-01</v>
          </cell>
          <cell r="C110" t="str">
            <v>二期、三期给排水、消防工程施工合同--大合同</v>
          </cell>
          <cell r="D110" t="str">
            <v>建设工程合同</v>
          </cell>
          <cell r="E110" t="str">
            <v>江苏中义消防工程有限公司巴州分公司（巩红卫）</v>
          </cell>
          <cell r="F110">
            <v>44271</v>
          </cell>
          <cell r="G110">
            <v>10088430</v>
          </cell>
          <cell r="H110">
            <v>0</v>
          </cell>
          <cell r="I110" t="str">
            <v>否</v>
          </cell>
          <cell r="J110" t="str">
            <v>否</v>
          </cell>
          <cell r="K110" t="str">
            <v>否</v>
          </cell>
        </row>
        <row r="110">
          <cell r="M110">
            <v>1</v>
          </cell>
          <cell r="N110">
            <v>0</v>
          </cell>
        </row>
        <row r="111">
          <cell r="B111" t="str">
            <v>JC-XF-01-02</v>
          </cell>
          <cell r="C111" t="str">
            <v>二期、三期给排水、消防工程施工合同--36#</v>
          </cell>
          <cell r="D111" t="str">
            <v>建设工程合同</v>
          </cell>
          <cell r="E111" t="str">
            <v>江苏中义消防工程有限公司巴州分公司（巩红卫）</v>
          </cell>
          <cell r="F111">
            <v>44271</v>
          </cell>
          <cell r="G111">
            <v>0</v>
          </cell>
          <cell r="H111">
            <v>43820.19</v>
          </cell>
          <cell r="I111" t="str">
            <v>否</v>
          </cell>
          <cell r="J111" t="str">
            <v>否</v>
          </cell>
          <cell r="K111" t="str">
            <v>否</v>
          </cell>
        </row>
        <row r="111">
          <cell r="M111">
            <v>1</v>
          </cell>
          <cell r="N111">
            <v>0</v>
          </cell>
        </row>
        <row r="112">
          <cell r="B112" t="str">
            <v>JC-XF-01-03</v>
          </cell>
          <cell r="C112" t="str">
            <v>二期、三期给排水、消防工程施工合同-社区用房</v>
          </cell>
          <cell r="D112" t="str">
            <v>建设工程合同</v>
          </cell>
          <cell r="E112" t="str">
            <v>江苏中义消防工程有限公司巴州分公司（巩红卫）</v>
          </cell>
          <cell r="F112">
            <v>44271</v>
          </cell>
          <cell r="G112">
            <v>164355.95</v>
          </cell>
          <cell r="H112">
            <v>150785.28</v>
          </cell>
          <cell r="I112" t="str">
            <v>否</v>
          </cell>
          <cell r="J112" t="str">
            <v>否</v>
          </cell>
          <cell r="K112" t="str">
            <v>是</v>
          </cell>
          <cell r="L112" t="str">
            <v>可售建筑面积法</v>
          </cell>
          <cell r="M112">
            <v>0.338555832480367</v>
          </cell>
          <cell r="N112">
            <v>150785.28</v>
          </cell>
        </row>
        <row r="113">
          <cell r="B113" t="str">
            <v>JC-XF-01-04</v>
          </cell>
          <cell r="C113" t="str">
            <v>二期、三期给排水、消防工程施工合同-幼儿园</v>
          </cell>
          <cell r="D113" t="str">
            <v>建设工程合同</v>
          </cell>
          <cell r="E113" t="str">
            <v>江苏中义消防工程有限公司巴州分公司（巩红卫）</v>
          </cell>
          <cell r="F113">
            <v>44271</v>
          </cell>
          <cell r="G113">
            <v>249434.38</v>
          </cell>
          <cell r="H113">
            <v>228838.88</v>
          </cell>
          <cell r="I113" t="str">
            <v>否</v>
          </cell>
          <cell r="J113" t="str">
            <v>否</v>
          </cell>
          <cell r="K113" t="str">
            <v>是</v>
          </cell>
          <cell r="L113" t="str">
            <v>可售建筑面积法</v>
          </cell>
          <cell r="M113">
            <v>0.338555832480367</v>
          </cell>
          <cell r="N113">
            <v>228838.88</v>
          </cell>
        </row>
        <row r="114">
          <cell r="B114" t="str">
            <v>JC-XF-01-07</v>
          </cell>
          <cell r="C114" t="str">
            <v>二期、三期给排水、消防工程施工合同-人防</v>
          </cell>
          <cell r="D114" t="str">
            <v>建设工程合同</v>
          </cell>
          <cell r="E114" t="str">
            <v>江苏中义消防工程有限公司巴州分公司（巩红卫）</v>
          </cell>
          <cell r="F114">
            <v>44271</v>
          </cell>
          <cell r="G114">
            <v>0</v>
          </cell>
          <cell r="H114">
            <v>1130906.5</v>
          </cell>
          <cell r="I114" t="str">
            <v>否</v>
          </cell>
          <cell r="J114" t="str">
            <v>否</v>
          </cell>
          <cell r="K114" t="str">
            <v>是</v>
          </cell>
          <cell r="L114" t="str">
            <v>其他分摊方法</v>
          </cell>
          <cell r="M114">
            <v>0.109829243890136</v>
          </cell>
          <cell r="N114">
            <v>1130906.5</v>
          </cell>
        </row>
        <row r="115">
          <cell r="B115" t="str">
            <v>JC-QT-33-02</v>
          </cell>
          <cell r="C115" t="str">
            <v>电缆（景观雾化使用）</v>
          </cell>
          <cell r="D115" t="str">
            <v>其他合同</v>
          </cell>
          <cell r="E115" t="str">
            <v>新疆云景环保科技有限公司(13999983055)</v>
          </cell>
          <cell r="F115">
            <v>44148</v>
          </cell>
          <cell r="G115">
            <v>292000</v>
          </cell>
          <cell r="H115">
            <v>193805.31</v>
          </cell>
          <cell r="I115" t="str">
            <v>否</v>
          </cell>
          <cell r="J115" t="str">
            <v>否</v>
          </cell>
          <cell r="K115" t="str">
            <v>是</v>
          </cell>
          <cell r="L115" t="str">
            <v>可售建筑面积法</v>
          </cell>
          <cell r="M115">
            <v>0.338555832480367</v>
          </cell>
          <cell r="N115">
            <v>193805.31</v>
          </cell>
        </row>
        <row r="116">
          <cell r="B116" t="str">
            <v>JZ-ZX-18</v>
          </cell>
          <cell r="C116" t="str">
            <v>沁春锦苑35#楼一楼装修合同+沙盘底座（27000）</v>
          </cell>
          <cell r="D116" t="str">
            <v>建设工程合同</v>
          </cell>
          <cell r="E116" t="str">
            <v>新疆星期天装饰工程有限公司（刘建军）</v>
          </cell>
          <cell r="F116">
            <v>43678</v>
          </cell>
          <cell r="G116">
            <v>2750000</v>
          </cell>
          <cell r="H116">
            <v>2594339.62</v>
          </cell>
          <cell r="I116" t="str">
            <v>否</v>
          </cell>
          <cell r="J116" t="str">
            <v>否</v>
          </cell>
          <cell r="K116" t="str">
            <v>否</v>
          </cell>
        </row>
        <row r="116">
          <cell r="M116">
            <v>1</v>
          </cell>
          <cell r="N116">
            <v>2811643.28</v>
          </cell>
        </row>
        <row r="117">
          <cell r="B117" t="str">
            <v>JZ-ZX-19</v>
          </cell>
          <cell r="C117" t="str">
            <v>沁春锦苑35#楼屋面琉璃瓦工程</v>
          </cell>
          <cell r="D117" t="str">
            <v>其他合同</v>
          </cell>
          <cell r="E117" t="str">
            <v>新疆星期天装饰工程有限公司</v>
          </cell>
          <cell r="F117">
            <v>43663</v>
          </cell>
          <cell r="G117">
            <v>145600</v>
          </cell>
          <cell r="H117">
            <v>144158.42</v>
          </cell>
          <cell r="I117" t="str">
            <v>否</v>
          </cell>
          <cell r="J117" t="str">
            <v>否</v>
          </cell>
          <cell r="K117" t="str">
            <v>否</v>
          </cell>
        </row>
        <row r="117">
          <cell r="M117">
            <v>1</v>
          </cell>
          <cell r="N117">
            <v>25099.01</v>
          </cell>
        </row>
        <row r="118">
          <cell r="B118" t="str">
            <v>JC-GW-01</v>
          </cell>
          <cell r="C118" t="str">
            <v>沁春锦苑室外管网设计</v>
          </cell>
          <cell r="D118" t="str">
            <v>技术合同</v>
          </cell>
          <cell r="E118" t="str">
            <v>库尔勒开拓规划设计研究院</v>
          </cell>
          <cell r="F118">
            <v>43463</v>
          </cell>
          <cell r="G118">
            <v>80000</v>
          </cell>
          <cell r="H118">
            <v>75471.7</v>
          </cell>
          <cell r="I118" t="str">
            <v>否</v>
          </cell>
          <cell r="J118" t="str">
            <v>否</v>
          </cell>
          <cell r="K118" t="str">
            <v>是</v>
          </cell>
          <cell r="L118" t="str">
            <v>可售建筑面积法</v>
          </cell>
          <cell r="M118">
            <v>0.338555832480367</v>
          </cell>
          <cell r="N118">
            <v>76626.81</v>
          </cell>
        </row>
        <row r="119">
          <cell r="B119" t="str">
            <v>JC-LH-19</v>
          </cell>
          <cell r="C119" t="str">
            <v>库尔勒花锦集商业街美陈</v>
          </cell>
          <cell r="D119" t="str">
            <v>建设工程合同</v>
          </cell>
          <cell r="E119" t="str">
            <v>新疆唯想文化发展有限责任公司</v>
          </cell>
          <cell r="F119">
            <v>44348</v>
          </cell>
          <cell r="G119">
            <v>385274.6</v>
          </cell>
          <cell r="H119">
            <v>0</v>
          </cell>
          <cell r="I119" t="str">
            <v>否</v>
          </cell>
          <cell r="J119" t="str">
            <v>否</v>
          </cell>
          <cell r="K119" t="str">
            <v>否</v>
          </cell>
        </row>
        <row r="119">
          <cell r="M119">
            <v>1</v>
          </cell>
          <cell r="N119">
            <v>385274.6</v>
          </cell>
        </row>
        <row r="120">
          <cell r="B120" t="str">
            <v>JC-WL-01</v>
          </cell>
          <cell r="C120" t="str">
            <v>沁春锦苑一期、二期、三期三网合一FTTH工程施工合同（绿）</v>
          </cell>
          <cell r="D120" t="str">
            <v>建设工程合同</v>
          </cell>
          <cell r="E120" t="str">
            <v>新疆鑫宇恒建设工程有限公司（蒋华）</v>
          </cell>
          <cell r="F120">
            <v>44130</v>
          </cell>
          <cell r="G120">
            <v>94864</v>
          </cell>
          <cell r="H120">
            <v>98502.75</v>
          </cell>
          <cell r="I120" t="str">
            <v>否</v>
          </cell>
          <cell r="J120" t="str">
            <v>否</v>
          </cell>
          <cell r="K120" t="str">
            <v>否</v>
          </cell>
        </row>
        <row r="120">
          <cell r="M120">
            <v>1</v>
          </cell>
          <cell r="N120">
            <v>98502.75</v>
          </cell>
        </row>
        <row r="121">
          <cell r="B121" t="str">
            <v>QQ-ST-01</v>
          </cell>
          <cell r="C121" t="str">
            <v>土石方、垃圾</v>
          </cell>
          <cell r="D121" t="str">
            <v>运输合同</v>
          </cell>
          <cell r="E121" t="str">
            <v>徐增起</v>
          </cell>
          <cell r="F121">
            <v>44148</v>
          </cell>
          <cell r="G121">
            <v>334125</v>
          </cell>
          <cell r="H121">
            <v>330816.83</v>
          </cell>
          <cell r="I121" t="str">
            <v>否</v>
          </cell>
          <cell r="J121" t="str">
            <v>否</v>
          </cell>
          <cell r="K121" t="str">
            <v>否</v>
          </cell>
        </row>
        <row r="121">
          <cell r="M121">
            <v>1</v>
          </cell>
          <cell r="N121">
            <v>330816.83</v>
          </cell>
        </row>
        <row r="122">
          <cell r="B122" t="str">
            <v>JC-LS-04</v>
          </cell>
          <cell r="C122" t="str">
            <v>沁春锦苑（住宅部分）技术服务合同书</v>
          </cell>
          <cell r="D122" t="str">
            <v>其他合同</v>
          </cell>
          <cell r="E122" t="str">
            <v>上海坤喆企业管理中心</v>
          </cell>
          <cell r="F122">
            <v>44148</v>
          </cell>
          <cell r="G122">
            <v>1000000</v>
          </cell>
          <cell r="H122">
            <v>943396.23</v>
          </cell>
          <cell r="I122" t="str">
            <v>否</v>
          </cell>
          <cell r="J122" t="str">
            <v>否</v>
          </cell>
          <cell r="K122" t="str">
            <v>是</v>
          </cell>
          <cell r="L122" t="str">
            <v>手工填写分摊比例</v>
          </cell>
          <cell r="M122">
            <v>0.3183</v>
          </cell>
          <cell r="N122">
            <v>1000000</v>
          </cell>
        </row>
        <row r="123">
          <cell r="B123" t="str">
            <v>JC-LS-03</v>
          </cell>
          <cell r="C123" t="str">
            <v>沁园春锦BIM咨询服务协议</v>
          </cell>
          <cell r="D123" t="str">
            <v>技术合同</v>
          </cell>
          <cell r="E123" t="str">
            <v>新疆佳联筑创建筑科技有限公司</v>
          </cell>
          <cell r="F123" t="str">
            <v>2020/09/1</v>
          </cell>
          <cell r="G123">
            <v>170000</v>
          </cell>
          <cell r="H123">
            <v>0</v>
          </cell>
          <cell r="I123" t="str">
            <v>否</v>
          </cell>
          <cell r="J123" t="str">
            <v>否</v>
          </cell>
          <cell r="K123" t="str">
            <v>是</v>
          </cell>
          <cell r="L123" t="str">
            <v>可售建筑面积法</v>
          </cell>
          <cell r="M123">
            <v>0.338555832480367</v>
          </cell>
          <cell r="N123">
            <v>119801.98</v>
          </cell>
        </row>
        <row r="124">
          <cell r="B124" t="str">
            <v>JC-LS-02</v>
          </cell>
          <cell r="C124" t="str">
            <v>沁园春锦建设用地土壤氡水平检测</v>
          </cell>
          <cell r="D124" t="str">
            <v>技术合同</v>
          </cell>
          <cell r="E124" t="str">
            <v>核工业二一六大队</v>
          </cell>
          <cell r="F124" t="str">
            <v>2020/09/1</v>
          </cell>
          <cell r="G124">
            <v>35000</v>
          </cell>
          <cell r="H124">
            <v>0</v>
          </cell>
          <cell r="I124" t="str">
            <v>否</v>
          </cell>
          <cell r="J124" t="str">
            <v>否</v>
          </cell>
          <cell r="K124" t="str">
            <v>是</v>
          </cell>
          <cell r="L124" t="str">
            <v>可售建筑面积法</v>
          </cell>
          <cell r="M124">
            <v>0.338555832480367</v>
          </cell>
          <cell r="N124">
            <v>33018.87</v>
          </cell>
        </row>
        <row r="125">
          <cell r="B125" t="str">
            <v>JC-LS-01</v>
          </cell>
          <cell r="C125" t="str">
            <v>沁春锦苑沁春景苑绿色建筑心机指标申报材料</v>
          </cell>
          <cell r="D125" t="str">
            <v>技术合同</v>
          </cell>
          <cell r="E125" t="str">
            <v>北京中城科绿色建筑科技有限公司</v>
          </cell>
          <cell r="F125">
            <v>44166</v>
          </cell>
          <cell r="G125">
            <v>100000</v>
          </cell>
          <cell r="H125">
            <v>0</v>
          </cell>
          <cell r="I125" t="str">
            <v>否</v>
          </cell>
          <cell r="J125" t="str">
            <v>否</v>
          </cell>
          <cell r="K125" t="str">
            <v>是</v>
          </cell>
          <cell r="L125" t="str">
            <v>手工填写分摊比例</v>
          </cell>
          <cell r="M125">
            <v>0.3183</v>
          </cell>
          <cell r="N125">
            <v>94339.62</v>
          </cell>
        </row>
        <row r="126">
          <cell r="B126" t="str">
            <v>JC-TCC-01</v>
          </cell>
          <cell r="C126" t="str">
            <v>沁春锦苑驻车器</v>
          </cell>
          <cell r="D126" t="str">
            <v>其他合同</v>
          </cell>
          <cell r="E126" t="str">
            <v>巴州青橄榄电子科技有限公司（党曌）</v>
          </cell>
          <cell r="F126">
            <v>44927</v>
          </cell>
          <cell r="G126">
            <v>6880</v>
          </cell>
          <cell r="H126">
            <v>0</v>
          </cell>
          <cell r="I126" t="str">
            <v>否</v>
          </cell>
          <cell r="J126" t="str">
            <v>否</v>
          </cell>
          <cell r="K126" t="str">
            <v>是</v>
          </cell>
          <cell r="L126" t="str">
            <v>可售建筑面积法</v>
          </cell>
          <cell r="M126">
            <v>0.338555832480367</v>
          </cell>
          <cell r="N126">
            <v>6679.61</v>
          </cell>
        </row>
        <row r="127">
          <cell r="B127" t="str">
            <v>JZ-QT-04</v>
          </cell>
          <cell r="C127" t="str">
            <v>沁春锦苑19#楼隔墙装修合同</v>
          </cell>
          <cell r="D127" t="str">
            <v>建设工程合同</v>
          </cell>
          <cell r="E127" t="str">
            <v>巴州辰尚广告传媒有限公司</v>
          </cell>
          <cell r="F127">
            <v>44103</v>
          </cell>
          <cell r="G127">
            <v>153600</v>
          </cell>
          <cell r="H127">
            <v>0</v>
          </cell>
          <cell r="I127" t="str">
            <v>否</v>
          </cell>
          <cell r="J127" t="str">
            <v>否</v>
          </cell>
          <cell r="K127" t="str">
            <v>否</v>
          </cell>
        </row>
        <row r="127">
          <cell r="M127">
            <v>1</v>
          </cell>
          <cell r="N127">
            <v>118811.88</v>
          </cell>
        </row>
        <row r="128">
          <cell r="B128" t="str">
            <v>JC-QT-25</v>
          </cell>
          <cell r="C128" t="str">
            <v>沁春锦苑地下车库标识牌、快速门采购及安装工程</v>
          </cell>
          <cell r="D128" t="str">
            <v>买卖合同</v>
          </cell>
          <cell r="E128" t="str">
            <v>巴州方程视广告有限公司（刘亭）</v>
          </cell>
          <cell r="F128">
            <v>45138</v>
          </cell>
          <cell r="G128">
            <v>150000</v>
          </cell>
          <cell r="H128">
            <v>0</v>
          </cell>
          <cell r="I128" t="str">
            <v>否</v>
          </cell>
          <cell r="J128" t="str">
            <v>否</v>
          </cell>
          <cell r="K128" t="str">
            <v>否</v>
          </cell>
        </row>
        <row r="128">
          <cell r="M128">
            <v>1</v>
          </cell>
          <cell r="N128">
            <v>0</v>
          </cell>
        </row>
        <row r="129">
          <cell r="B129" t="str">
            <v>J-2-4</v>
          </cell>
          <cell r="C129" t="str">
            <v>沁春锦苑25#-30#号楼防火防盗门</v>
          </cell>
          <cell r="D129" t="str">
            <v>买卖合同</v>
          </cell>
          <cell r="E129" t="str">
            <v>库尔勒永绍商贸有限公司（项邵于）</v>
          </cell>
          <cell r="F129">
            <v>43899</v>
          </cell>
          <cell r="G129">
            <v>657322</v>
          </cell>
          <cell r="H129">
            <v>657322</v>
          </cell>
          <cell r="I129" t="str">
            <v>否</v>
          </cell>
          <cell r="J129" t="str">
            <v>否</v>
          </cell>
          <cell r="K129" t="str">
            <v>否</v>
          </cell>
        </row>
        <row r="129">
          <cell r="M129">
            <v>1</v>
          </cell>
          <cell r="N129">
            <v>581700.88</v>
          </cell>
        </row>
        <row r="130">
          <cell r="B130" t="str">
            <v>JC-Q-1</v>
          </cell>
          <cell r="C130" t="str">
            <v>32#-34#天然气安装工程委托建设管理协议书</v>
          </cell>
          <cell r="D130" t="str">
            <v>其他合同</v>
          </cell>
          <cell r="E130" t="str">
            <v>新疆南天城建（集团）股份有限公司</v>
          </cell>
          <cell r="F130">
            <v>43952</v>
          </cell>
          <cell r="G130">
            <v>233060.79</v>
          </cell>
          <cell r="H130">
            <v>213817.24</v>
          </cell>
          <cell r="I130" t="str">
            <v>否</v>
          </cell>
          <cell r="J130" t="str">
            <v>否</v>
          </cell>
          <cell r="K130" t="str">
            <v>否</v>
          </cell>
        </row>
        <row r="130">
          <cell r="M130">
            <v>1</v>
          </cell>
          <cell r="N130">
            <v>213817.24</v>
          </cell>
        </row>
        <row r="131">
          <cell r="B131" t="str">
            <v>JC-Q-2</v>
          </cell>
          <cell r="C131" t="str">
            <v>25-30#天然气安装工程委托建设管理协议书</v>
          </cell>
          <cell r="D131" t="str">
            <v>其他合同</v>
          </cell>
          <cell r="E131" t="str">
            <v>新疆南天城建（集团）股份有限公司</v>
          </cell>
          <cell r="F131">
            <v>43952</v>
          </cell>
          <cell r="G131">
            <v>715161.32</v>
          </cell>
          <cell r="H131">
            <v>656111.3</v>
          </cell>
          <cell r="I131" t="str">
            <v>否</v>
          </cell>
          <cell r="J131" t="str">
            <v>否</v>
          </cell>
          <cell r="K131" t="str">
            <v>否</v>
          </cell>
        </row>
        <row r="131">
          <cell r="M131">
            <v>1</v>
          </cell>
          <cell r="N131">
            <v>656111.3</v>
          </cell>
        </row>
        <row r="132">
          <cell r="B132" t="str">
            <v>JC-XF-1</v>
          </cell>
          <cell r="C132" t="str">
            <v>（1#32#33#34#室内消防）</v>
          </cell>
          <cell r="D132" t="str">
            <v>其他合同</v>
          </cell>
          <cell r="E132" t="str">
            <v>新疆中洲建设工程有限责任公司（巩红卫）</v>
          </cell>
          <cell r="F132">
            <v>44156</v>
          </cell>
          <cell r="G132">
            <v>260000</v>
          </cell>
          <cell r="H132">
            <v>238532.11</v>
          </cell>
          <cell r="I132" t="str">
            <v>否</v>
          </cell>
          <cell r="J132" t="str">
            <v>否</v>
          </cell>
          <cell r="K132" t="str">
            <v>否</v>
          </cell>
        </row>
        <row r="132">
          <cell r="M132">
            <v>1</v>
          </cell>
          <cell r="N132">
            <v>238532.11</v>
          </cell>
        </row>
        <row r="133">
          <cell r="B133" t="str">
            <v>JC-GD-01</v>
          </cell>
          <cell r="C133" t="str">
            <v>沁春锦苑临时用电及高压开闭所迁移改造合同</v>
          </cell>
          <cell r="D133" t="str">
            <v>其他合同</v>
          </cell>
          <cell r="E133" t="str">
            <v>新疆拓宇电力建设工程有限公司（何永权）</v>
          </cell>
          <cell r="F133">
            <v>44210</v>
          </cell>
          <cell r="G133">
            <v>510000</v>
          </cell>
          <cell r="H133">
            <v>407064.22</v>
          </cell>
          <cell r="I133" t="str">
            <v>否</v>
          </cell>
          <cell r="J133" t="str">
            <v>否</v>
          </cell>
          <cell r="K133" t="str">
            <v>否</v>
          </cell>
        </row>
        <row r="133">
          <cell r="M133">
            <v>1</v>
          </cell>
          <cell r="N133">
            <v>407064.22</v>
          </cell>
        </row>
        <row r="134">
          <cell r="B134" t="str">
            <v>JC-QT-01</v>
          </cell>
          <cell r="C134" t="str">
            <v>沁春锦苑19#-30#楼栋牌、单元牌、楼层牌、户室牌制作安装合同</v>
          </cell>
          <cell r="D134" t="str">
            <v>其他合同</v>
          </cell>
          <cell r="E134" t="str">
            <v>巴州方程视广告有限公司（刘亭）</v>
          </cell>
          <cell r="F134">
            <v>44214</v>
          </cell>
          <cell r="G134">
            <v>46000</v>
          </cell>
          <cell r="H134">
            <v>0</v>
          </cell>
          <cell r="I134" t="str">
            <v>否</v>
          </cell>
          <cell r="J134" t="str">
            <v>否</v>
          </cell>
          <cell r="K134" t="str">
            <v>否</v>
          </cell>
        </row>
        <row r="134">
          <cell r="M134">
            <v>1</v>
          </cell>
          <cell r="N134">
            <v>45544.55</v>
          </cell>
        </row>
        <row r="135">
          <cell r="B135" t="str">
            <v>JC-LH-1</v>
          </cell>
          <cell r="C135" t="str">
            <v>沁春锦苑1#32#33#34#35#、大门亮化工程合同</v>
          </cell>
          <cell r="D135" t="str">
            <v>买卖合同</v>
          </cell>
          <cell r="E135" t="str">
            <v>巴州青橄榄电子科技有限公司（党曌）</v>
          </cell>
          <cell r="F135">
            <v>44210</v>
          </cell>
          <cell r="G135">
            <v>193000</v>
          </cell>
          <cell r="H135">
            <v>0</v>
          </cell>
          <cell r="I135" t="str">
            <v>否</v>
          </cell>
          <cell r="J135" t="str">
            <v>否</v>
          </cell>
          <cell r="K135" t="str">
            <v>否</v>
          </cell>
        </row>
        <row r="135">
          <cell r="M135">
            <v>1</v>
          </cell>
          <cell r="N135">
            <v>191089.1</v>
          </cell>
        </row>
        <row r="136">
          <cell r="B136" t="str">
            <v>JC-LH-2</v>
          </cell>
          <cell r="C136" t="str">
            <v>沁春锦苑一期二批次景观绿化（25-30#）+提升附属合同</v>
          </cell>
          <cell r="D136" t="str">
            <v>其他合同</v>
          </cell>
          <cell r="E136" t="str">
            <v>乌鲁木齐大漠林海绿化有限责任公司（蔚晓芳）</v>
          </cell>
          <cell r="F136">
            <v>44099</v>
          </cell>
          <cell r="G136">
            <v>10100000</v>
          </cell>
          <cell r="H136">
            <v>9266055.05</v>
          </cell>
          <cell r="I136" t="str">
            <v>否</v>
          </cell>
          <cell r="J136" t="str">
            <v>否</v>
          </cell>
          <cell r="K136" t="str">
            <v>否</v>
          </cell>
        </row>
        <row r="136">
          <cell r="M136">
            <v>1</v>
          </cell>
          <cell r="N136">
            <v>9266055.11</v>
          </cell>
        </row>
        <row r="137">
          <cell r="B137" t="str">
            <v>JC-FHM-03</v>
          </cell>
          <cell r="C137" t="str">
            <v>25-30#楼进户门智能锁购销安装合同</v>
          </cell>
          <cell r="D137" t="str">
            <v>买卖合同</v>
          </cell>
          <cell r="E137" t="str">
            <v>库尔勒永绍商贸有限公司（项邵于）</v>
          </cell>
          <cell r="F137">
            <v>44328</v>
          </cell>
          <cell r="G137">
            <v>128800</v>
          </cell>
          <cell r="H137">
            <v>0</v>
          </cell>
          <cell r="I137" t="str">
            <v>否</v>
          </cell>
          <cell r="J137" t="str">
            <v>否</v>
          </cell>
          <cell r="K137" t="str">
            <v>否</v>
          </cell>
        </row>
        <row r="137">
          <cell r="M137">
            <v>1</v>
          </cell>
          <cell r="N137">
            <v>113982.3</v>
          </cell>
        </row>
        <row r="138">
          <cell r="B138" t="str">
            <v>JC-QT-03</v>
          </cell>
          <cell r="C138" t="str">
            <v>25#-30#楼后花园围栏制作</v>
          </cell>
          <cell r="D138" t="str">
            <v>其他合同</v>
          </cell>
          <cell r="E138" t="str">
            <v>巴州冠华商贸有限公司</v>
          </cell>
          <cell r="F138">
            <v>44418</v>
          </cell>
          <cell r="G138">
            <v>89250</v>
          </cell>
          <cell r="H138">
            <v>78982.3</v>
          </cell>
          <cell r="I138" t="str">
            <v>否</v>
          </cell>
          <cell r="J138" t="str">
            <v>否</v>
          </cell>
          <cell r="K138" t="str">
            <v>否</v>
          </cell>
        </row>
        <row r="138">
          <cell r="M138">
            <v>1</v>
          </cell>
          <cell r="N138">
            <v>78982.3</v>
          </cell>
        </row>
        <row r="139">
          <cell r="B139" t="str">
            <v>Q-CH-6</v>
          </cell>
          <cell r="C139" t="str">
            <v>测绘合同书地下人防车库测绘</v>
          </cell>
          <cell r="D139" t="str">
            <v>技术合同</v>
          </cell>
          <cell r="E139" t="str">
            <v>库尔勒天平房地产价格评估事务所（有限责任公司）</v>
          </cell>
          <cell r="F139">
            <v>44425</v>
          </cell>
          <cell r="G139">
            <v>3513</v>
          </cell>
          <cell r="H139">
            <v>0</v>
          </cell>
          <cell r="I139" t="str">
            <v>否</v>
          </cell>
          <cell r="J139" t="str">
            <v>否</v>
          </cell>
          <cell r="K139" t="str">
            <v>否</v>
          </cell>
        </row>
        <row r="139">
          <cell r="M139">
            <v>1</v>
          </cell>
          <cell r="N139">
            <v>0</v>
          </cell>
        </row>
        <row r="140">
          <cell r="B140" t="str">
            <v>其他合同-01</v>
          </cell>
          <cell r="C140" t="str">
            <v>装修购木楼梯（样板间）</v>
          </cell>
          <cell r="D140" t="str">
            <v>建设工程合同</v>
          </cell>
          <cell r="E140" t="str">
            <v>乌鲁木齐水磨沟福满地装饰经销部</v>
          </cell>
          <cell r="F140">
            <v>44148</v>
          </cell>
          <cell r="G140">
            <v>38500</v>
          </cell>
          <cell r="H140">
            <v>38500</v>
          </cell>
          <cell r="I140" t="str">
            <v>否</v>
          </cell>
          <cell r="J140" t="str">
            <v>否</v>
          </cell>
          <cell r="K140" t="str">
            <v>否</v>
          </cell>
        </row>
        <row r="140">
          <cell r="M140">
            <v>1</v>
          </cell>
          <cell r="N140">
            <v>38500</v>
          </cell>
        </row>
        <row r="141">
          <cell r="B141" t="str">
            <v>其他合同-07</v>
          </cell>
          <cell r="C141" t="str">
            <v>库尔勒市杜鹃路施工合同</v>
          </cell>
          <cell r="D141" t="str">
            <v>建设工程合同</v>
          </cell>
          <cell r="E141" t="str">
            <v>张强（652829198305200755）</v>
          </cell>
          <cell r="F141">
            <v>44148</v>
          </cell>
          <cell r="G141">
            <v>900000</v>
          </cell>
          <cell r="H141">
            <v>0</v>
          </cell>
          <cell r="I141" t="str">
            <v>否</v>
          </cell>
          <cell r="J141" t="str">
            <v>否</v>
          </cell>
          <cell r="K141" t="str">
            <v>否</v>
          </cell>
        </row>
        <row r="141">
          <cell r="M141">
            <v>1</v>
          </cell>
          <cell r="N141">
            <v>0</v>
          </cell>
        </row>
        <row r="142">
          <cell r="B142" t="str">
            <v>其他合同-02</v>
          </cell>
          <cell r="C142" t="str">
            <v>机械租赁费（挖掘机）</v>
          </cell>
          <cell r="D142" t="str">
            <v>租赁合同</v>
          </cell>
          <cell r="E142" t="str">
            <v>姚宏伟</v>
          </cell>
          <cell r="F142">
            <v>44148</v>
          </cell>
          <cell r="G142">
            <v>15688.56</v>
          </cell>
          <cell r="H142">
            <v>0</v>
          </cell>
          <cell r="I142" t="str">
            <v>否</v>
          </cell>
          <cell r="J142" t="str">
            <v>否</v>
          </cell>
          <cell r="K142" t="str">
            <v>否</v>
          </cell>
        </row>
        <row r="142">
          <cell r="M142">
            <v>1</v>
          </cell>
          <cell r="N142">
            <v>0</v>
          </cell>
        </row>
        <row r="143">
          <cell r="B143" t="str">
            <v>JC-XF-02-01</v>
          </cell>
          <cell r="C143" t="str">
            <v>1#19#20#-34#35#)室外-1#.32-35#</v>
          </cell>
          <cell r="D143" t="str">
            <v>其他合同</v>
          </cell>
          <cell r="E143" t="str">
            <v>新疆中洲建设工程有限责任公司（巩红卫）</v>
          </cell>
          <cell r="F143">
            <v>43804</v>
          </cell>
          <cell r="G143">
            <v>440690</v>
          </cell>
          <cell r="H143">
            <v>404302.75</v>
          </cell>
          <cell r="I143" t="str">
            <v>否</v>
          </cell>
          <cell r="J143" t="str">
            <v>否</v>
          </cell>
          <cell r="K143" t="str">
            <v>否</v>
          </cell>
        </row>
        <row r="143">
          <cell r="M143">
            <v>1</v>
          </cell>
          <cell r="N143">
            <v>404302.75</v>
          </cell>
        </row>
        <row r="144">
          <cell r="B144" t="str">
            <v>JC-XF-02</v>
          </cell>
          <cell r="C144" t="str">
            <v>1#19#20#-34#35#)室外</v>
          </cell>
          <cell r="D144" t="str">
            <v>其他合同</v>
          </cell>
          <cell r="E144" t="str">
            <v>新疆中洲建设工程有限责任公司（巩红卫）</v>
          </cell>
          <cell r="F144">
            <v>43804</v>
          </cell>
          <cell r="G144">
            <v>3809310</v>
          </cell>
          <cell r="H144">
            <v>3494779.82</v>
          </cell>
          <cell r="I144" t="str">
            <v>否</v>
          </cell>
          <cell r="J144" t="str">
            <v>否</v>
          </cell>
          <cell r="K144" t="str">
            <v>否</v>
          </cell>
        </row>
        <row r="144">
          <cell r="M144">
            <v>1</v>
          </cell>
          <cell r="N144">
            <v>3494779.83</v>
          </cell>
        </row>
        <row r="145">
          <cell r="B145" t="str">
            <v>Q-SJ-3-01</v>
          </cell>
          <cell r="C145" t="str">
            <v>12-15、18-22#、38#建设工程设计合同（民用建设工程设计合同）-37#楼</v>
          </cell>
          <cell r="D145" t="str">
            <v>技术合同</v>
          </cell>
          <cell r="E145" t="str">
            <v>新疆益诚开拓空间规划建筑设计研究院有限公司</v>
          </cell>
          <cell r="F145">
            <v>43983</v>
          </cell>
          <cell r="G145">
            <v>16314.8</v>
          </cell>
          <cell r="H145">
            <v>15391.32</v>
          </cell>
          <cell r="I145" t="str">
            <v>否</v>
          </cell>
          <cell r="J145" t="str">
            <v>否</v>
          </cell>
          <cell r="K145" t="str">
            <v>是</v>
          </cell>
          <cell r="L145" t="str">
            <v>可售建筑面积法</v>
          </cell>
          <cell r="M145">
            <v>0.338555832480367</v>
          </cell>
          <cell r="N145">
            <v>15391.32</v>
          </cell>
        </row>
        <row r="146">
          <cell r="B146" t="str">
            <v>其他合同-08</v>
          </cell>
          <cell r="C146" t="str">
            <v>沁春锦苑三期人防工程审图费</v>
          </cell>
          <cell r="D146" t="str">
            <v>其他合同</v>
          </cell>
          <cell r="E146" t="str">
            <v>新疆新城建工程设计审查有限公司</v>
          </cell>
          <cell r="F146">
            <v>44148</v>
          </cell>
          <cell r="G146">
            <v>13624</v>
          </cell>
          <cell r="H146">
            <v>12852.83</v>
          </cell>
          <cell r="I146" t="str">
            <v>否</v>
          </cell>
          <cell r="J146" t="str">
            <v>否</v>
          </cell>
          <cell r="K146" t="str">
            <v>是</v>
          </cell>
          <cell r="L146" t="str">
            <v>其他分摊方法</v>
          </cell>
          <cell r="M146">
            <v>0.109829243890136</v>
          </cell>
          <cell r="N146">
            <v>12852.83</v>
          </cell>
        </row>
        <row r="147">
          <cell r="B147" t="str">
            <v>JC-LH-16-1</v>
          </cell>
          <cell r="C147" t="str">
            <v>4-11、16、17#楼31#楼景观绿化（幼儿园）</v>
          </cell>
          <cell r="D147" t="str">
            <v>其他合同</v>
          </cell>
          <cell r="E147" t="str">
            <v>新疆通力建设集团股份有限公司（蔚晓芳）</v>
          </cell>
          <cell r="F147">
            <v>44148</v>
          </cell>
          <cell r="G147">
            <v>100000</v>
          </cell>
          <cell r="H147">
            <v>91743.12</v>
          </cell>
          <cell r="I147" t="str">
            <v>否</v>
          </cell>
          <cell r="J147" t="str">
            <v>否</v>
          </cell>
          <cell r="K147" t="str">
            <v>是</v>
          </cell>
          <cell r="L147" t="str">
            <v>可售建筑面积法</v>
          </cell>
          <cell r="M147">
            <v>0.338555832480367</v>
          </cell>
          <cell r="N147">
            <v>91743.12</v>
          </cell>
        </row>
        <row r="148">
          <cell r="B148" t="str">
            <v>JZ-SY-01-02</v>
          </cell>
          <cell r="C148" t="str">
            <v>沁春锦苑1#35#、大门楼施工协议（大门#）</v>
          </cell>
          <cell r="D148" t="str">
            <v>建设工程合同</v>
          </cell>
          <cell r="E148" t="str">
            <v>新疆通力建设集团股份有限公司（孟）</v>
          </cell>
          <cell r="F148">
            <v>44148</v>
          </cell>
          <cell r="G148">
            <v>355911.42</v>
          </cell>
          <cell r="H148">
            <v>326524.24</v>
          </cell>
          <cell r="I148" t="str">
            <v>否</v>
          </cell>
          <cell r="J148" t="str">
            <v>否</v>
          </cell>
          <cell r="K148" t="str">
            <v>是</v>
          </cell>
          <cell r="L148" t="str">
            <v>可售建筑面积法</v>
          </cell>
          <cell r="M148">
            <v>0.338555832480367</v>
          </cell>
          <cell r="N148">
            <v>326524.24</v>
          </cell>
        </row>
        <row r="149">
          <cell r="B149" t="str">
            <v>JZ-ZX-20</v>
          </cell>
          <cell r="C149" t="str">
            <v>沁春锦苑1#35#楼大门外墙装修合同</v>
          </cell>
          <cell r="D149" t="str">
            <v>建设工程合同</v>
          </cell>
          <cell r="E149" t="str">
            <v>新疆通力建设集团股份有限公司（刘建军）</v>
          </cell>
          <cell r="F149">
            <v>44148</v>
          </cell>
          <cell r="G149">
            <v>4414863.18</v>
          </cell>
          <cell r="H149">
            <v>4050333.19</v>
          </cell>
          <cell r="I149" t="str">
            <v>否</v>
          </cell>
          <cell r="J149" t="str">
            <v>否</v>
          </cell>
          <cell r="K149" t="str">
            <v>否</v>
          </cell>
        </row>
        <row r="149">
          <cell r="M149">
            <v>1</v>
          </cell>
          <cell r="N149">
            <v>4050333.19</v>
          </cell>
        </row>
        <row r="150">
          <cell r="B150" t="str">
            <v>JZ-ZT-04-01</v>
          </cell>
          <cell r="C150" t="str">
            <v>沁春锦苑18#、21#、22#楼、37#社区、地下车库及人防部分建设工程（37#社区）</v>
          </cell>
          <cell r="D150" t="str">
            <v>建设工程合同</v>
          </cell>
          <cell r="E150" t="str">
            <v>新疆通力建设集团股份有限公司（高）</v>
          </cell>
          <cell r="F150">
            <v>44597</v>
          </cell>
          <cell r="G150">
            <v>3069771.85</v>
          </cell>
          <cell r="H150">
            <v>2816304.45</v>
          </cell>
          <cell r="I150" t="str">
            <v>否</v>
          </cell>
          <cell r="J150" t="str">
            <v>否</v>
          </cell>
          <cell r="K150" t="str">
            <v>是</v>
          </cell>
          <cell r="L150" t="str">
            <v>可售建筑面积法</v>
          </cell>
          <cell r="M150">
            <v>0.338555832480367</v>
          </cell>
          <cell r="N150">
            <v>2816304.44</v>
          </cell>
        </row>
        <row r="151">
          <cell r="B151" t="str">
            <v>JZ-ZT-04-02</v>
          </cell>
          <cell r="C151" t="str">
            <v>沁春锦苑18#、21#、22#楼、37#社区、地下车库及人防部分建设工程（地下人防）</v>
          </cell>
          <cell r="D151" t="str">
            <v>建设工程合同</v>
          </cell>
          <cell r="E151" t="str">
            <v>新疆通力建设集团股份有限公司（高）</v>
          </cell>
          <cell r="F151">
            <v>44597</v>
          </cell>
          <cell r="G151">
            <v>26703208</v>
          </cell>
          <cell r="H151">
            <v>24498355.96</v>
          </cell>
          <cell r="I151" t="str">
            <v>否</v>
          </cell>
          <cell r="J151" t="str">
            <v>否</v>
          </cell>
          <cell r="K151" t="str">
            <v>是</v>
          </cell>
          <cell r="L151" t="str">
            <v>其他分摊方法</v>
          </cell>
          <cell r="M151">
            <v>0.109829243890136</v>
          </cell>
          <cell r="N151">
            <v>24498355.96</v>
          </cell>
        </row>
        <row r="152">
          <cell r="B152" t="str">
            <v>JC-YL-02-01</v>
          </cell>
          <cell r="C152" t="str">
            <v>沁春锦苑4-11#16#17#楼31#楼园林景观、道路及停车位、铺装、景观照明工程</v>
          </cell>
          <cell r="D152" t="str">
            <v>建设工程合同</v>
          </cell>
          <cell r="E152" t="str">
            <v>新疆通力建设集团股份有限公司（杜奇志）</v>
          </cell>
          <cell r="F152">
            <v>44478</v>
          </cell>
          <cell r="G152">
            <v>396989</v>
          </cell>
          <cell r="H152">
            <v>364210.09</v>
          </cell>
          <cell r="I152" t="str">
            <v>否</v>
          </cell>
          <cell r="J152" t="str">
            <v>否</v>
          </cell>
          <cell r="K152" t="str">
            <v>是</v>
          </cell>
          <cell r="L152" t="str">
            <v>可售建筑面积法</v>
          </cell>
          <cell r="M152">
            <v>0.338555832480367</v>
          </cell>
          <cell r="N152">
            <v>348687.16</v>
          </cell>
        </row>
        <row r="153">
          <cell r="B153" t="str">
            <v>JC-LS-05</v>
          </cell>
          <cell r="C153" t="str">
            <v>沁春锦苑中水处理土建、挡墙、警卫室‘铺装工程</v>
          </cell>
          <cell r="D153" t="str">
            <v>建设工程合同</v>
          </cell>
          <cell r="E153" t="str">
            <v>新疆通力建设集团股份有限公司（曾建国）</v>
          </cell>
          <cell r="F153">
            <v>44357</v>
          </cell>
          <cell r="G153">
            <v>1900000</v>
          </cell>
          <cell r="H153">
            <v>1802402.64220183</v>
          </cell>
          <cell r="I153" t="str">
            <v>否</v>
          </cell>
          <cell r="J153" t="str">
            <v>否</v>
          </cell>
          <cell r="K153" t="str">
            <v>是</v>
          </cell>
          <cell r="L153" t="str">
            <v>可售建筑面积法</v>
          </cell>
          <cell r="M153">
            <v>0.338555832480367</v>
          </cell>
          <cell r="N153">
            <v>1802402.6446789</v>
          </cell>
        </row>
        <row r="154">
          <cell r="B154" t="str">
            <v>其他合同-51-3</v>
          </cell>
          <cell r="C154" t="str">
            <v>35#楼竣工测</v>
          </cell>
          <cell r="D154" t="str">
            <v>技术合同</v>
          </cell>
          <cell r="E154" t="str">
            <v>新疆天拓空间信息测绘院有限公司</v>
          </cell>
          <cell r="F154">
            <v>44148</v>
          </cell>
          <cell r="G154">
            <v>6128.72</v>
          </cell>
          <cell r="H154">
            <v>5781.81</v>
          </cell>
          <cell r="I154" t="str">
            <v>否</v>
          </cell>
          <cell r="J154" t="str">
            <v>否</v>
          </cell>
          <cell r="K154" t="str">
            <v>否</v>
          </cell>
        </row>
        <row r="154">
          <cell r="M154">
            <v>1</v>
          </cell>
          <cell r="N154">
            <v>5781.8</v>
          </cell>
        </row>
        <row r="155">
          <cell r="B155" t="str">
            <v>其他合同-51-4</v>
          </cell>
          <cell r="C155" t="str">
            <v>32-34#楼竣工测</v>
          </cell>
          <cell r="D155" t="str">
            <v>技术合同</v>
          </cell>
          <cell r="E155" t="str">
            <v>新疆天拓空间信息测绘院有限公司</v>
          </cell>
          <cell r="F155">
            <v>44148</v>
          </cell>
          <cell r="G155">
            <v>13407.8</v>
          </cell>
          <cell r="H155">
            <v>12648.87</v>
          </cell>
          <cell r="I155" t="str">
            <v>否</v>
          </cell>
          <cell r="J155" t="str">
            <v>否</v>
          </cell>
          <cell r="K155" t="str">
            <v>否</v>
          </cell>
        </row>
        <row r="155">
          <cell r="M155">
            <v>1</v>
          </cell>
          <cell r="N155">
            <v>12648.87</v>
          </cell>
        </row>
        <row r="156">
          <cell r="B156" t="str">
            <v>其他合同-51-5</v>
          </cell>
          <cell r="C156" t="str">
            <v>2#3#36#楼竣工测</v>
          </cell>
          <cell r="D156" t="str">
            <v>技术合同</v>
          </cell>
          <cell r="E156" t="str">
            <v>新疆天拓空间信息测绘院有限公司</v>
          </cell>
          <cell r="F156">
            <v>44148</v>
          </cell>
          <cell r="G156">
            <v>18422.5</v>
          </cell>
          <cell r="H156">
            <v>17379.72</v>
          </cell>
          <cell r="I156" t="str">
            <v>否</v>
          </cell>
          <cell r="J156" t="str">
            <v>否</v>
          </cell>
          <cell r="K156" t="str">
            <v>否</v>
          </cell>
        </row>
        <row r="156">
          <cell r="M156">
            <v>1</v>
          </cell>
          <cell r="N156">
            <v>0</v>
          </cell>
        </row>
        <row r="157">
          <cell r="B157" t="str">
            <v>其他合同-51-6</v>
          </cell>
          <cell r="C157" t="str">
            <v>31#楼竣工测</v>
          </cell>
          <cell r="D157" t="str">
            <v>技术合同</v>
          </cell>
          <cell r="E157" t="str">
            <v>新疆天拓空间信息测绘院有限公司</v>
          </cell>
          <cell r="F157">
            <v>44148</v>
          </cell>
          <cell r="G157">
            <v>8663.26</v>
          </cell>
          <cell r="H157">
            <v>8172.89</v>
          </cell>
          <cell r="I157" t="str">
            <v>否</v>
          </cell>
          <cell r="J157" t="str">
            <v>否</v>
          </cell>
          <cell r="K157" t="str">
            <v>是</v>
          </cell>
          <cell r="L157" t="str">
            <v>可售建筑面积法</v>
          </cell>
          <cell r="M157">
            <v>0.338555832480367</v>
          </cell>
          <cell r="N157">
            <v>8172.89</v>
          </cell>
        </row>
        <row r="158">
          <cell r="B158" t="str">
            <v>其他合同-51-9</v>
          </cell>
          <cell r="C158" t="str">
            <v>19#20#23#24#竣工测量</v>
          </cell>
          <cell r="D158" t="str">
            <v>技术合同</v>
          </cell>
          <cell r="E158" t="str">
            <v>新疆天拓空间信息测绘有限公司</v>
          </cell>
          <cell r="F158">
            <v>44148</v>
          </cell>
          <cell r="G158">
            <v>17667</v>
          </cell>
          <cell r="H158">
            <v>16666.98</v>
          </cell>
          <cell r="I158" t="str">
            <v>否</v>
          </cell>
          <cell r="J158" t="str">
            <v>否</v>
          </cell>
          <cell r="K158" t="str">
            <v>否</v>
          </cell>
        </row>
        <row r="158">
          <cell r="M158">
            <v>1</v>
          </cell>
          <cell r="N158">
            <v>16666.98</v>
          </cell>
        </row>
        <row r="159">
          <cell r="B159" t="str">
            <v>其他合同-51-10</v>
          </cell>
          <cell r="C159" t="str">
            <v>37#楼竣工测</v>
          </cell>
          <cell r="D159" t="str">
            <v>技术合同</v>
          </cell>
          <cell r="E159" t="str">
            <v>新疆天拓空间信息测绘有限公司</v>
          </cell>
          <cell r="F159">
            <v>44148</v>
          </cell>
          <cell r="G159">
            <v>3978</v>
          </cell>
          <cell r="H159">
            <v>3752.83</v>
          </cell>
          <cell r="I159" t="str">
            <v>否</v>
          </cell>
          <cell r="J159" t="str">
            <v>否</v>
          </cell>
          <cell r="K159" t="str">
            <v>是</v>
          </cell>
          <cell r="L159" t="str">
            <v>可售建筑面积法</v>
          </cell>
          <cell r="M159">
            <v>0.338555832480367</v>
          </cell>
          <cell r="N159">
            <v>3752.83</v>
          </cell>
        </row>
        <row r="160">
          <cell r="B160" t="str">
            <v>其他合同-26</v>
          </cell>
          <cell r="C160" t="str">
            <v>钢槽等</v>
          </cell>
          <cell r="D160" t="str">
            <v>其他合同</v>
          </cell>
          <cell r="E160" t="str">
            <v>新疆天和利源商贸有限公司</v>
          </cell>
          <cell r="F160">
            <v>44148</v>
          </cell>
          <cell r="G160">
            <v>57373</v>
          </cell>
          <cell r="H160">
            <v>54125.47</v>
          </cell>
          <cell r="I160" t="str">
            <v>否</v>
          </cell>
          <cell r="J160" t="str">
            <v>否</v>
          </cell>
          <cell r="K160" t="str">
            <v>否</v>
          </cell>
        </row>
        <row r="160">
          <cell r="M160">
            <v>1</v>
          </cell>
          <cell r="N160">
            <v>50772.58</v>
          </cell>
        </row>
        <row r="161">
          <cell r="B161" t="str">
            <v>JC-GD-03-2</v>
          </cell>
          <cell r="C161" t="str">
            <v>电气外网供货安装合同（4#-17#31#-36#、12#-38#）36#</v>
          </cell>
          <cell r="D161" t="str">
            <v>其他合同</v>
          </cell>
          <cell r="E161" t="str">
            <v>新疆拓宇电力建设工程有限公司（何永权）</v>
          </cell>
          <cell r="F161">
            <v>44271</v>
          </cell>
          <cell r="G161">
            <v>11291</v>
          </cell>
          <cell r="H161">
            <v>10358.72</v>
          </cell>
          <cell r="I161" t="str">
            <v>否</v>
          </cell>
          <cell r="J161" t="str">
            <v>否</v>
          </cell>
          <cell r="K161" t="str">
            <v>否</v>
          </cell>
        </row>
        <row r="161">
          <cell r="M161">
            <v>1</v>
          </cell>
          <cell r="N161">
            <v>0</v>
          </cell>
        </row>
        <row r="162">
          <cell r="B162" t="str">
            <v>其他合同-62</v>
          </cell>
          <cell r="C162" t="str">
            <v>沁春锦苑人防车库移动电站设备采购安装工程安装合同</v>
          </cell>
          <cell r="D162" t="str">
            <v>其他合同</v>
          </cell>
          <cell r="E162" t="str">
            <v>新疆拓宇电力建设工程有限公司（何永权）</v>
          </cell>
          <cell r="F162">
            <v>45132</v>
          </cell>
          <cell r="G162">
            <v>275000</v>
          </cell>
          <cell r="H162">
            <v>201834.86</v>
          </cell>
          <cell r="I162" t="str">
            <v>否</v>
          </cell>
          <cell r="J162" t="str">
            <v>否</v>
          </cell>
          <cell r="K162" t="str">
            <v>是</v>
          </cell>
          <cell r="L162" t="str">
            <v>其他分摊方法</v>
          </cell>
          <cell r="M162">
            <v>0.109829243890136</v>
          </cell>
          <cell r="N162">
            <v>201834.86</v>
          </cell>
        </row>
        <row r="163">
          <cell r="B163" t="str">
            <v>其他合同-28</v>
          </cell>
          <cell r="C163" t="str">
            <v>建设工程造价咨询合同</v>
          </cell>
          <cell r="D163" t="str">
            <v>技术合同</v>
          </cell>
          <cell r="E163" t="str">
            <v>新疆申光建设工程项目管理有限公司巴州分公司</v>
          </cell>
          <cell r="F163">
            <v>43402</v>
          </cell>
          <cell r="G163">
            <v>4000</v>
          </cell>
          <cell r="H163">
            <v>3883.49</v>
          </cell>
          <cell r="I163" t="str">
            <v>否</v>
          </cell>
          <cell r="J163" t="str">
            <v>否</v>
          </cell>
          <cell r="K163" t="str">
            <v>否</v>
          </cell>
        </row>
        <row r="163">
          <cell r="M163">
            <v>1</v>
          </cell>
          <cell r="N163">
            <v>3883.49</v>
          </cell>
        </row>
        <row r="164">
          <cell r="B164" t="str">
            <v>JC-Q-11</v>
          </cell>
          <cell r="C164" t="str">
            <v>37#天然气安装工程</v>
          </cell>
          <cell r="D164" t="str">
            <v>其他合同</v>
          </cell>
          <cell r="E164" t="str">
            <v>新疆南天城建（集团）股份有限公司</v>
          </cell>
          <cell r="F164">
            <v>44440</v>
          </cell>
          <cell r="G164">
            <v>75277.74</v>
          </cell>
          <cell r="H164">
            <v>69062.15</v>
          </cell>
          <cell r="I164" t="str">
            <v>否</v>
          </cell>
          <cell r="J164" t="str">
            <v>否</v>
          </cell>
          <cell r="K164" t="str">
            <v>是</v>
          </cell>
          <cell r="L164" t="str">
            <v>可售建筑面积法</v>
          </cell>
          <cell r="M164">
            <v>0.338555832480367</v>
          </cell>
          <cell r="N164">
            <v>69062.15</v>
          </cell>
        </row>
        <row r="165">
          <cell r="B165" t="str">
            <v>其他合同-10</v>
          </cell>
          <cell r="C165" t="str">
            <v>35#1#警卫室、消防控制室空气检测（刘品全、孟凡勇、刘建军）</v>
          </cell>
          <cell r="D165" t="str">
            <v>技术合同</v>
          </cell>
          <cell r="E165" t="str">
            <v>新疆梨城新创检测服务有限公司</v>
          </cell>
          <cell r="F165">
            <v>44148</v>
          </cell>
          <cell r="G165">
            <v>7440</v>
          </cell>
          <cell r="H165">
            <v>7018.87</v>
          </cell>
          <cell r="I165" t="str">
            <v>否</v>
          </cell>
          <cell r="J165" t="str">
            <v>否</v>
          </cell>
          <cell r="K165" t="str">
            <v>否</v>
          </cell>
        </row>
        <row r="165">
          <cell r="M165">
            <v>1</v>
          </cell>
          <cell r="N165">
            <v>7018.87</v>
          </cell>
        </row>
        <row r="166">
          <cell r="B166" t="str">
            <v>J-2-2-01</v>
          </cell>
          <cell r="C166" t="str">
            <v>25#26#27#34#断桥铝合金窗工程-34#楼</v>
          </cell>
          <cell r="D166" t="str">
            <v>买卖合同</v>
          </cell>
          <cell r="E166" t="str">
            <v>新疆弘信可仁建筑装饰工程有限责任公司</v>
          </cell>
          <cell r="F166">
            <v>43921</v>
          </cell>
          <cell r="G166">
            <v>192651.2</v>
          </cell>
          <cell r="H166">
            <v>170487.79</v>
          </cell>
          <cell r="I166" t="str">
            <v>否</v>
          </cell>
          <cell r="J166" t="str">
            <v>否</v>
          </cell>
          <cell r="K166" t="str">
            <v>否</v>
          </cell>
        </row>
        <row r="166">
          <cell r="M166">
            <v>1</v>
          </cell>
          <cell r="N166">
            <v>170487.79</v>
          </cell>
        </row>
        <row r="167">
          <cell r="B167" t="str">
            <v>其他合同-29</v>
          </cell>
          <cell r="C167" t="str">
            <v>供水管道安装（自来水接口）</v>
          </cell>
          <cell r="D167" t="str">
            <v>其他合同</v>
          </cell>
          <cell r="E167" t="str">
            <v>新疆昌源水务集团库尔勒银泉供水有限公司工程分公司</v>
          </cell>
          <cell r="F167">
            <v>44148</v>
          </cell>
          <cell r="G167">
            <v>51449.12</v>
          </cell>
          <cell r="H167">
            <v>0</v>
          </cell>
          <cell r="I167" t="str">
            <v>否</v>
          </cell>
          <cell r="J167" t="str">
            <v>否</v>
          </cell>
          <cell r="K167" t="str">
            <v>是</v>
          </cell>
          <cell r="L167" t="str">
            <v>可售建筑面积法</v>
          </cell>
          <cell r="M167">
            <v>0.338555832480367</v>
          </cell>
          <cell r="N167">
            <v>11561.55</v>
          </cell>
        </row>
        <row r="168">
          <cell r="B168" t="str">
            <v>其他合同-30</v>
          </cell>
          <cell r="C168" t="str">
            <v>装修设计合同</v>
          </cell>
          <cell r="D168" t="str">
            <v>技术合同</v>
          </cell>
          <cell r="E168" t="str">
            <v>乌鲁木齐优替姆环境工程设计有限公司</v>
          </cell>
          <cell r="F168">
            <v>44175</v>
          </cell>
          <cell r="G168">
            <v>155107</v>
          </cell>
          <cell r="H168">
            <v>0</v>
          </cell>
          <cell r="I168" t="str">
            <v>否</v>
          </cell>
          <cell r="J168" t="str">
            <v>否</v>
          </cell>
          <cell r="K168" t="str">
            <v>否</v>
          </cell>
        </row>
        <row r="168">
          <cell r="M168">
            <v>1</v>
          </cell>
          <cell r="N168">
            <v>0</v>
          </cell>
        </row>
        <row r="169">
          <cell r="B169" t="str">
            <v>其他合同-32</v>
          </cell>
          <cell r="C169" t="str">
            <v>沁春锦苑35#楼防火玻璃制作及安装</v>
          </cell>
          <cell r="D169" t="str">
            <v>其他合同</v>
          </cell>
          <cell r="E169" t="str">
            <v>乌鲁木齐尚硕商贸有限公司</v>
          </cell>
          <cell r="F169">
            <v>44148</v>
          </cell>
          <cell r="G169">
            <v>15000</v>
          </cell>
          <cell r="H169">
            <v>13274.34</v>
          </cell>
          <cell r="I169" t="str">
            <v>否</v>
          </cell>
          <cell r="J169" t="str">
            <v>否</v>
          </cell>
          <cell r="K169" t="str">
            <v>否</v>
          </cell>
        </row>
        <row r="169">
          <cell r="M169">
            <v>1</v>
          </cell>
          <cell r="N169">
            <v>13274.34</v>
          </cell>
        </row>
        <row r="170">
          <cell r="B170" t="str">
            <v>其他合同-33</v>
          </cell>
          <cell r="C170" t="str">
            <v>新疆消防工程施工合同</v>
          </cell>
          <cell r="D170" t="str">
            <v>建设工程合同</v>
          </cell>
          <cell r="E170" t="str">
            <v>乌鲁木齐久安消防有限公司巴州分公司</v>
          </cell>
          <cell r="F170">
            <v>43676</v>
          </cell>
          <cell r="G170">
            <v>187000</v>
          </cell>
          <cell r="H170">
            <v>181553.4</v>
          </cell>
          <cell r="I170" t="str">
            <v>否</v>
          </cell>
          <cell r="J170" t="str">
            <v>否</v>
          </cell>
          <cell r="K170" t="str">
            <v>否</v>
          </cell>
        </row>
        <row r="170">
          <cell r="M170">
            <v>1</v>
          </cell>
          <cell r="N170">
            <v>181553.4</v>
          </cell>
        </row>
        <row r="171">
          <cell r="B171" t="str">
            <v>其他合同-65</v>
          </cell>
          <cell r="C171" t="str">
            <v>（石材）材料购销合同</v>
          </cell>
          <cell r="D171" t="str">
            <v>其他合同</v>
          </cell>
          <cell r="E171" t="str">
            <v>托里县天和石业发展有限总公司</v>
          </cell>
          <cell r="F171">
            <v>43641</v>
          </cell>
          <cell r="G171">
            <v>197940.27</v>
          </cell>
          <cell r="H171">
            <v>192175.02</v>
          </cell>
          <cell r="I171" t="str">
            <v>否</v>
          </cell>
          <cell r="J171" t="str">
            <v>否</v>
          </cell>
          <cell r="K171" t="str">
            <v>是</v>
          </cell>
          <cell r="L171" t="str">
            <v>可售建筑面积法</v>
          </cell>
          <cell r="M171">
            <v>0.338555832480367</v>
          </cell>
          <cell r="N171">
            <v>192175.02</v>
          </cell>
        </row>
        <row r="172">
          <cell r="B172" t="str">
            <v>JC-DL-06</v>
          </cell>
          <cell r="C172" t="str">
            <v>沁春景苑人防室外线缆采购合同</v>
          </cell>
          <cell r="D172" t="str">
            <v>其他合同</v>
          </cell>
          <cell r="E172" t="str">
            <v>新疆胡杨线缆制造有限公司</v>
          </cell>
          <cell r="F172">
            <v>45040</v>
          </cell>
          <cell r="G172">
            <v>337900</v>
          </cell>
          <cell r="H172">
            <v>299026.54</v>
          </cell>
          <cell r="I172" t="str">
            <v>否</v>
          </cell>
          <cell r="J172" t="str">
            <v>否</v>
          </cell>
          <cell r="K172" t="str">
            <v>是</v>
          </cell>
          <cell r="L172" t="str">
            <v>其他分摊方法</v>
          </cell>
          <cell r="M172">
            <v>0.109829243890136</v>
          </cell>
          <cell r="N172">
            <v>299026.54</v>
          </cell>
        </row>
        <row r="173">
          <cell r="B173" t="str">
            <v>JC-TCC-03</v>
          </cell>
          <cell r="C173" t="str">
            <v>沁园春景机械师停车位基础设计合同</v>
          </cell>
          <cell r="D173" t="str">
            <v>技术合同</v>
          </cell>
          <cell r="E173" t="str">
            <v>四川中七建筑规划设计有限公司新疆第六分公司</v>
          </cell>
          <cell r="F173">
            <v>44762</v>
          </cell>
          <cell r="G173">
            <v>10000</v>
          </cell>
          <cell r="H173">
            <v>9433.96</v>
          </cell>
          <cell r="I173" t="str">
            <v>否</v>
          </cell>
          <cell r="J173" t="str">
            <v>否</v>
          </cell>
          <cell r="K173" t="str">
            <v>是</v>
          </cell>
          <cell r="L173" t="str">
            <v>可售建筑面积法</v>
          </cell>
          <cell r="M173">
            <v>0.338555832480367</v>
          </cell>
          <cell r="N173">
            <v>9433.96</v>
          </cell>
        </row>
        <row r="174">
          <cell r="B174" t="str">
            <v>其他合同-35</v>
          </cell>
          <cell r="C174" t="str">
            <v>35#楼软装</v>
          </cell>
          <cell r="D174" t="str">
            <v>其他合同</v>
          </cell>
          <cell r="E174" t="str">
            <v>上海雅潮木业有限公司</v>
          </cell>
          <cell r="F174">
            <v>44162</v>
          </cell>
          <cell r="G174">
            <v>5000</v>
          </cell>
          <cell r="H174">
            <v>0</v>
          </cell>
          <cell r="I174" t="str">
            <v>否</v>
          </cell>
          <cell r="J174" t="str">
            <v>否</v>
          </cell>
          <cell r="K174" t="str">
            <v>否</v>
          </cell>
        </row>
        <row r="174">
          <cell r="M174">
            <v>1</v>
          </cell>
          <cell r="N174">
            <v>0</v>
          </cell>
        </row>
        <row r="175">
          <cell r="B175" t="str">
            <v>其他合同-42</v>
          </cell>
          <cell r="C175" t="str">
            <v>PE管300*117米、110*1434米、闸阀110*1个</v>
          </cell>
          <cell r="D175" t="str">
            <v>其他合同</v>
          </cell>
          <cell r="E175" t="str">
            <v>沙依巴格区阿里路新康达体育用品商行</v>
          </cell>
          <cell r="F175">
            <v>44144</v>
          </cell>
          <cell r="G175">
            <v>20160</v>
          </cell>
          <cell r="H175">
            <v>0</v>
          </cell>
          <cell r="I175" t="str">
            <v>否</v>
          </cell>
          <cell r="J175" t="str">
            <v>否</v>
          </cell>
          <cell r="K175" t="str">
            <v>否</v>
          </cell>
        </row>
        <row r="175">
          <cell r="M175">
            <v>1</v>
          </cell>
          <cell r="N175">
            <v>19918.87</v>
          </cell>
        </row>
        <row r="176">
          <cell r="B176" t="str">
            <v>JC-LH-06</v>
          </cell>
          <cell r="C176" t="str">
            <v>新增产品合同</v>
          </cell>
          <cell r="D176" t="str">
            <v>其他合同</v>
          </cell>
          <cell r="E176" t="str">
            <v>曲阳县石磊石材雕塑有限公司</v>
          </cell>
          <cell r="F176">
            <v>43679</v>
          </cell>
          <cell r="G176">
            <v>177200</v>
          </cell>
          <cell r="H176">
            <v>0</v>
          </cell>
          <cell r="I176" t="str">
            <v>否</v>
          </cell>
          <cell r="J176" t="str">
            <v>否</v>
          </cell>
          <cell r="K176" t="str">
            <v>是</v>
          </cell>
          <cell r="L176" t="str">
            <v>可售建筑面积法</v>
          </cell>
          <cell r="M176">
            <v>0.338555832480367</v>
          </cell>
          <cell r="N176">
            <v>82300.88</v>
          </cell>
        </row>
        <row r="177">
          <cell r="B177" t="str">
            <v>其他合同-43</v>
          </cell>
          <cell r="C177" t="str">
            <v>人造草坪</v>
          </cell>
          <cell r="D177" t="str">
            <v>其他合同</v>
          </cell>
          <cell r="E177" t="str">
            <v>青岛博翔远生态园林有限公司</v>
          </cell>
          <cell r="F177">
            <v>44587</v>
          </cell>
          <cell r="G177">
            <v>38000</v>
          </cell>
          <cell r="H177">
            <v>0</v>
          </cell>
          <cell r="I177" t="str">
            <v>否</v>
          </cell>
          <cell r="J177" t="str">
            <v>否</v>
          </cell>
          <cell r="K177" t="str">
            <v>否</v>
          </cell>
        </row>
        <row r="177">
          <cell r="M177">
            <v>1</v>
          </cell>
          <cell r="N177">
            <v>32964.6</v>
          </cell>
        </row>
        <row r="178">
          <cell r="B178" t="str">
            <v>其他合同-44</v>
          </cell>
          <cell r="C178" t="str">
            <v>路林林（土方拉运）</v>
          </cell>
          <cell r="D178" t="str">
            <v>运输合同</v>
          </cell>
          <cell r="E178" t="str">
            <v>路林林</v>
          </cell>
          <cell r="F178">
            <v>44144</v>
          </cell>
          <cell r="G178">
            <v>33380</v>
          </cell>
          <cell r="H178">
            <v>0</v>
          </cell>
          <cell r="I178" t="str">
            <v>否</v>
          </cell>
          <cell r="J178" t="str">
            <v>否</v>
          </cell>
          <cell r="K178" t="str">
            <v>否</v>
          </cell>
        </row>
        <row r="178">
          <cell r="M178">
            <v>1</v>
          </cell>
          <cell r="N178">
            <v>159140.44</v>
          </cell>
        </row>
        <row r="179">
          <cell r="B179" t="str">
            <v>其他合同-45</v>
          </cell>
          <cell r="C179" t="str">
            <v>土方拉运</v>
          </cell>
          <cell r="D179" t="str">
            <v>运输合同</v>
          </cell>
          <cell r="E179" t="str">
            <v>卢静</v>
          </cell>
          <cell r="F179">
            <v>44144</v>
          </cell>
          <cell r="G179">
            <v>313330</v>
          </cell>
          <cell r="H179">
            <v>0</v>
          </cell>
          <cell r="I179" t="str">
            <v>否</v>
          </cell>
          <cell r="J179" t="str">
            <v>否</v>
          </cell>
          <cell r="K179" t="str">
            <v>否</v>
          </cell>
        </row>
        <row r="179">
          <cell r="M179">
            <v>1</v>
          </cell>
          <cell r="N179">
            <v>309971.45</v>
          </cell>
        </row>
        <row r="180">
          <cell r="B180" t="str">
            <v>其他合同-46</v>
          </cell>
          <cell r="C180" t="str">
            <v>机械租赁费</v>
          </cell>
          <cell r="D180" t="str">
            <v>其他合同</v>
          </cell>
          <cell r="E180" t="str">
            <v>库尔勒忠华建筑工程机械设备租赁部</v>
          </cell>
          <cell r="F180">
            <v>44144</v>
          </cell>
          <cell r="G180">
            <v>100000</v>
          </cell>
          <cell r="H180">
            <v>0</v>
          </cell>
          <cell r="I180" t="str">
            <v>否</v>
          </cell>
          <cell r="J180" t="str">
            <v>否</v>
          </cell>
          <cell r="K180" t="str">
            <v>否</v>
          </cell>
        </row>
        <row r="180">
          <cell r="M180">
            <v>1</v>
          </cell>
          <cell r="N180">
            <v>99009.9</v>
          </cell>
        </row>
        <row r="181">
          <cell r="B181" t="str">
            <v>其他合同-47</v>
          </cell>
          <cell r="C181" t="str">
            <v>景观用钢材</v>
          </cell>
          <cell r="D181" t="str">
            <v>其他合同</v>
          </cell>
          <cell r="E181" t="str">
            <v>库尔勒振兴飞翔电动工具总汇</v>
          </cell>
          <cell r="F181">
            <v>44144</v>
          </cell>
          <cell r="G181">
            <v>57373</v>
          </cell>
          <cell r="H181">
            <v>0</v>
          </cell>
          <cell r="I181" t="str">
            <v>否</v>
          </cell>
          <cell r="J181" t="str">
            <v>否</v>
          </cell>
          <cell r="K181" t="str">
            <v>否</v>
          </cell>
        </row>
        <row r="181">
          <cell r="M181">
            <v>1</v>
          </cell>
          <cell r="N181">
            <v>2975</v>
          </cell>
        </row>
        <row r="182">
          <cell r="B182" t="str">
            <v>其他合同-06</v>
          </cell>
          <cell r="C182" t="str">
            <v>彩钢板购销及安装合同</v>
          </cell>
          <cell r="D182" t="str">
            <v>其他合同</v>
          </cell>
          <cell r="E182" t="str">
            <v>库尔勒徐保中彩钢厂</v>
          </cell>
          <cell r="F182">
            <v>44196</v>
          </cell>
          <cell r="G182">
            <v>32615</v>
          </cell>
          <cell r="H182">
            <v>0</v>
          </cell>
          <cell r="I182" t="str">
            <v>否</v>
          </cell>
          <cell r="J182" t="str">
            <v>否</v>
          </cell>
          <cell r="K182" t="str">
            <v>否</v>
          </cell>
        </row>
        <row r="182">
          <cell r="M182">
            <v>1</v>
          </cell>
          <cell r="N182">
            <v>0</v>
          </cell>
        </row>
        <row r="183">
          <cell r="B183" t="str">
            <v>Q-CH-9</v>
          </cell>
          <cell r="C183" t="str">
            <v>25-29号楼红、蓝线图</v>
          </cell>
          <cell r="D183" t="str">
            <v>其他合同</v>
          </cell>
          <cell r="E183" t="str">
            <v>库尔勒天拓勘察测绘院</v>
          </cell>
          <cell r="F183">
            <v>44144</v>
          </cell>
          <cell r="G183">
            <v>9568</v>
          </cell>
          <cell r="H183">
            <v>0</v>
          </cell>
          <cell r="I183" t="str">
            <v>否</v>
          </cell>
          <cell r="J183" t="str">
            <v>否</v>
          </cell>
          <cell r="K183" t="str">
            <v>否</v>
          </cell>
        </row>
        <row r="183">
          <cell r="M183">
            <v>1</v>
          </cell>
          <cell r="N183">
            <v>9256</v>
          </cell>
        </row>
        <row r="184">
          <cell r="B184" t="str">
            <v>其他合同-48</v>
          </cell>
          <cell r="C184" t="str">
            <v>一期景观混凝土</v>
          </cell>
          <cell r="D184" t="str">
            <v>其他合同</v>
          </cell>
          <cell r="E184" t="str">
            <v>库尔勒市万欢建材有限公司</v>
          </cell>
          <cell r="F184">
            <v>44144</v>
          </cell>
          <cell r="G184">
            <v>274810</v>
          </cell>
          <cell r="H184">
            <v>0</v>
          </cell>
          <cell r="I184" t="str">
            <v>否</v>
          </cell>
          <cell r="J184" t="str">
            <v>否</v>
          </cell>
          <cell r="K184" t="str">
            <v>否</v>
          </cell>
        </row>
        <row r="184">
          <cell r="M184">
            <v>1</v>
          </cell>
          <cell r="N184">
            <v>243194.68</v>
          </cell>
        </row>
        <row r="185">
          <cell r="B185" t="str">
            <v>其他合同-37</v>
          </cell>
          <cell r="C185" t="str">
            <v>景观用水泵</v>
          </cell>
          <cell r="D185" t="str">
            <v>其他合同</v>
          </cell>
          <cell r="E185" t="str">
            <v>库尔勒市碧海蓝天水族馆</v>
          </cell>
          <cell r="F185">
            <v>44144</v>
          </cell>
          <cell r="G185">
            <v>2975</v>
          </cell>
          <cell r="H185">
            <v>0</v>
          </cell>
          <cell r="I185" t="str">
            <v>否</v>
          </cell>
          <cell r="J185" t="str">
            <v>否</v>
          </cell>
          <cell r="K185" t="str">
            <v>否</v>
          </cell>
        </row>
        <row r="185">
          <cell r="M185">
            <v>1</v>
          </cell>
          <cell r="N185">
            <v>3960</v>
          </cell>
        </row>
        <row r="186">
          <cell r="B186" t="str">
            <v>其他合同-49</v>
          </cell>
          <cell r="C186" t="str">
            <v>购PVC管等、井盖</v>
          </cell>
          <cell r="D186" t="str">
            <v>其他合同</v>
          </cell>
          <cell r="E186" t="str">
            <v>库尔勒经济技术开发区源茂林腾建材店</v>
          </cell>
          <cell r="F186">
            <v>44144</v>
          </cell>
          <cell r="G186">
            <v>33180</v>
          </cell>
          <cell r="H186">
            <v>0</v>
          </cell>
          <cell r="I186" t="str">
            <v>否</v>
          </cell>
          <cell r="J186" t="str">
            <v>否</v>
          </cell>
          <cell r="K186" t="str">
            <v>否</v>
          </cell>
        </row>
        <row r="186">
          <cell r="M186">
            <v>1</v>
          </cell>
          <cell r="N186">
            <v>33180</v>
          </cell>
        </row>
        <row r="187">
          <cell r="B187" t="str">
            <v>其他合同-13</v>
          </cell>
          <cell r="C187" t="str">
            <v>沁春锦苑2#楼临时路口封闭</v>
          </cell>
          <cell r="D187" t="str">
            <v>其他合同</v>
          </cell>
          <cell r="E187" t="str">
            <v>库尔勒疆里广告设计室</v>
          </cell>
          <cell r="F187">
            <v>44144</v>
          </cell>
          <cell r="G187">
            <v>3000</v>
          </cell>
          <cell r="H187">
            <v>0</v>
          </cell>
          <cell r="I187" t="str">
            <v>否</v>
          </cell>
          <cell r="J187" t="str">
            <v>否</v>
          </cell>
          <cell r="K187" t="str">
            <v>否</v>
          </cell>
        </row>
        <row r="187">
          <cell r="M187">
            <v>1</v>
          </cell>
          <cell r="N187">
            <v>0</v>
          </cell>
        </row>
        <row r="188">
          <cell r="B188" t="str">
            <v>其他合同-11</v>
          </cell>
          <cell r="C188" t="str">
            <v>空调设备安装</v>
          </cell>
          <cell r="D188" t="str">
            <v>其他合同</v>
          </cell>
          <cell r="E188" t="str">
            <v>库尔勒江伟通发五金店</v>
          </cell>
          <cell r="F188">
            <v>44144</v>
          </cell>
          <cell r="G188">
            <v>65360</v>
          </cell>
          <cell r="H188">
            <v>0</v>
          </cell>
          <cell r="I188" t="str">
            <v>否</v>
          </cell>
          <cell r="J188" t="str">
            <v>否</v>
          </cell>
          <cell r="K188" t="str">
            <v>否</v>
          </cell>
        </row>
        <row r="188">
          <cell r="M188">
            <v>1</v>
          </cell>
          <cell r="N188">
            <v>56000</v>
          </cell>
        </row>
        <row r="189">
          <cell r="B189" t="str">
            <v>JZ-MC-06-01</v>
          </cell>
          <cell r="C189" t="str">
            <v>沁春锦苑4#6#8#11#16#31#、36#楼铝合金门窗-幼儿园</v>
          </cell>
          <cell r="D189" t="str">
            <v>买卖合同</v>
          </cell>
          <cell r="E189" t="str">
            <v>库尔勒坚乐美建筑工程有限责任公司（郑长银）</v>
          </cell>
          <cell r="F189">
            <v>44144</v>
          </cell>
          <cell r="G189">
            <v>140629.11</v>
          </cell>
          <cell r="H189">
            <v>124450.54</v>
          </cell>
          <cell r="I189" t="str">
            <v>否</v>
          </cell>
          <cell r="J189" t="str">
            <v>否</v>
          </cell>
          <cell r="K189" t="str">
            <v>是</v>
          </cell>
          <cell r="L189" t="str">
            <v>可售建筑面积法</v>
          </cell>
          <cell r="M189">
            <v>0.338555832480367</v>
          </cell>
          <cell r="N189">
            <v>167791.85840708</v>
          </cell>
        </row>
        <row r="190">
          <cell r="B190" t="str">
            <v>其他合同-61</v>
          </cell>
          <cell r="C190" t="str">
            <v>沁春锦苑大门钢结构工程</v>
          </cell>
          <cell r="D190" t="str">
            <v>买卖合同</v>
          </cell>
          <cell r="E190" t="str">
            <v>库尔勒坚乐美建筑工程有限责任公司（郑长银）</v>
          </cell>
          <cell r="F190">
            <v>43758</v>
          </cell>
          <cell r="G190">
            <v>120000</v>
          </cell>
          <cell r="H190">
            <v>0</v>
          </cell>
          <cell r="I190" t="str">
            <v>否</v>
          </cell>
          <cell r="J190" t="str">
            <v>否</v>
          </cell>
          <cell r="K190" t="str">
            <v>是</v>
          </cell>
          <cell r="L190" t="str">
            <v>可售建筑面积法</v>
          </cell>
          <cell r="M190">
            <v>0.338555832480367</v>
          </cell>
          <cell r="N190">
            <v>106194.7</v>
          </cell>
        </row>
        <row r="191">
          <cell r="B191" t="str">
            <v>JC-LH-20</v>
          </cell>
          <cell r="C191" t="str">
            <v>沁春锦苑小区景观廊架工程</v>
          </cell>
          <cell r="D191" t="str">
            <v>其他合同</v>
          </cell>
          <cell r="E191" t="str">
            <v>库尔勒坚乐美建筑工程有限责任公司（郑长银）</v>
          </cell>
          <cell r="F191">
            <v>43629</v>
          </cell>
          <cell r="G191">
            <v>400000</v>
          </cell>
          <cell r="H191">
            <v>0</v>
          </cell>
          <cell r="I191" t="str">
            <v>否</v>
          </cell>
          <cell r="J191" t="str">
            <v>否</v>
          </cell>
          <cell r="K191" t="str">
            <v>是</v>
          </cell>
          <cell r="L191" t="str">
            <v>可售建筑面积法</v>
          </cell>
          <cell r="M191">
            <v>0.338555832480367</v>
          </cell>
          <cell r="N191">
            <v>353982.32</v>
          </cell>
        </row>
        <row r="192">
          <cell r="B192" t="str">
            <v>其他合同-39</v>
          </cell>
          <cell r="C192" t="str">
            <v>电 缆线</v>
          </cell>
          <cell r="D192" t="str">
            <v>其他合同</v>
          </cell>
          <cell r="E192" t="str">
            <v>库尔勒光普物资供应站</v>
          </cell>
          <cell r="F192">
            <v>44144</v>
          </cell>
          <cell r="G192">
            <v>600</v>
          </cell>
          <cell r="H192">
            <v>0</v>
          </cell>
          <cell r="I192" t="str">
            <v>否</v>
          </cell>
          <cell r="J192" t="str">
            <v>否</v>
          </cell>
          <cell r="K192" t="str">
            <v>否</v>
          </cell>
        </row>
        <row r="192">
          <cell r="M192">
            <v>1</v>
          </cell>
          <cell r="N192">
            <v>3283</v>
          </cell>
        </row>
        <row r="193">
          <cell r="B193" t="str">
            <v>其他合同-12</v>
          </cell>
          <cell r="C193" t="str">
            <v>购双面胶等</v>
          </cell>
          <cell r="D193" t="str">
            <v>其他合同</v>
          </cell>
          <cell r="E193" t="str">
            <v>库尔勒高瑞强五金建材店</v>
          </cell>
          <cell r="F193">
            <v>44144</v>
          </cell>
          <cell r="G193">
            <v>3019</v>
          </cell>
          <cell r="H193">
            <v>0</v>
          </cell>
          <cell r="I193" t="str">
            <v>否</v>
          </cell>
          <cell r="J193" t="str">
            <v>否</v>
          </cell>
          <cell r="K193" t="str">
            <v>否</v>
          </cell>
        </row>
        <row r="193">
          <cell r="M193">
            <v>1</v>
          </cell>
          <cell r="N193">
            <v>336</v>
          </cell>
        </row>
        <row r="194">
          <cell r="B194" t="str">
            <v>其他合同-14</v>
          </cell>
          <cell r="C194" t="str">
            <v>沁春锦苑塑木条</v>
          </cell>
          <cell r="D194" t="str">
            <v>其他合同</v>
          </cell>
          <cell r="E194" t="str">
            <v>库尔勒诚鑫远建材经销部</v>
          </cell>
          <cell r="F194">
            <v>44144</v>
          </cell>
          <cell r="G194">
            <v>20160</v>
          </cell>
          <cell r="H194">
            <v>0</v>
          </cell>
          <cell r="I194" t="str">
            <v>否</v>
          </cell>
          <cell r="J194" t="str">
            <v>否</v>
          </cell>
          <cell r="K194" t="str">
            <v>是</v>
          </cell>
          <cell r="L194" t="str">
            <v>可售建筑面积法</v>
          </cell>
          <cell r="M194">
            <v>0.338555832480367</v>
          </cell>
          <cell r="N194">
            <v>1188</v>
          </cell>
        </row>
        <row r="195">
          <cell r="B195" t="str">
            <v>零星-02</v>
          </cell>
          <cell r="C195" t="str">
            <v>沁春锦苑35#中央空调</v>
          </cell>
          <cell r="D195" t="str">
            <v>其他合同</v>
          </cell>
          <cell r="E195" t="str">
            <v>库尔勒超科商贸有限公司</v>
          </cell>
          <cell r="F195">
            <v>43629</v>
          </cell>
          <cell r="G195">
            <v>235000</v>
          </cell>
          <cell r="H195">
            <v>207964.6</v>
          </cell>
          <cell r="I195" t="str">
            <v>否</v>
          </cell>
          <cell r="J195" t="str">
            <v>否</v>
          </cell>
          <cell r="K195" t="str">
            <v>否</v>
          </cell>
        </row>
        <row r="195">
          <cell r="M195">
            <v>1</v>
          </cell>
          <cell r="N195">
            <v>207964.6</v>
          </cell>
        </row>
        <row r="196">
          <cell r="B196" t="str">
            <v>其他合同-15</v>
          </cell>
          <cell r="C196" t="str">
            <v>电 缆线</v>
          </cell>
          <cell r="D196" t="str">
            <v>其他合同</v>
          </cell>
          <cell r="E196" t="str">
            <v>库尔勒爱德利电器经销部</v>
          </cell>
          <cell r="F196">
            <v>44144</v>
          </cell>
          <cell r="G196">
            <v>1600</v>
          </cell>
          <cell r="H196">
            <v>0</v>
          </cell>
          <cell r="I196" t="str">
            <v>否</v>
          </cell>
          <cell r="J196" t="str">
            <v>否</v>
          </cell>
          <cell r="K196" t="str">
            <v>否</v>
          </cell>
        </row>
        <row r="196">
          <cell r="M196">
            <v>1</v>
          </cell>
          <cell r="N196">
            <v>1600</v>
          </cell>
        </row>
        <row r="197">
          <cell r="B197" t="str">
            <v>其他合同-16</v>
          </cell>
          <cell r="C197" t="str">
            <v>镀锌矩管</v>
          </cell>
          <cell r="D197" t="str">
            <v>其他合同</v>
          </cell>
          <cell r="E197" t="str">
            <v>金牛区鑫欣弘建材经销部</v>
          </cell>
          <cell r="F197">
            <v>44144</v>
          </cell>
          <cell r="G197">
            <v>33000</v>
          </cell>
          <cell r="H197">
            <v>0</v>
          </cell>
          <cell r="I197" t="str">
            <v>否</v>
          </cell>
          <cell r="J197" t="str">
            <v>否</v>
          </cell>
          <cell r="K197" t="str">
            <v>否</v>
          </cell>
        </row>
        <row r="197">
          <cell r="M197">
            <v>1</v>
          </cell>
          <cell r="N197">
            <v>33000</v>
          </cell>
        </row>
        <row r="198">
          <cell r="B198" t="str">
            <v>其他合同-17</v>
          </cell>
          <cell r="C198" t="str">
            <v>何银昌（土方拉运）</v>
          </cell>
          <cell r="D198" t="str">
            <v>运输合同</v>
          </cell>
          <cell r="E198" t="str">
            <v>何银昌</v>
          </cell>
          <cell r="F198" t="str">
            <v>2020/06/1</v>
          </cell>
          <cell r="G198">
            <v>116760</v>
          </cell>
          <cell r="H198">
            <v>0</v>
          </cell>
          <cell r="I198" t="str">
            <v>否</v>
          </cell>
          <cell r="J198" t="str">
            <v>否</v>
          </cell>
          <cell r="K198" t="str">
            <v>否</v>
          </cell>
        </row>
        <row r="198">
          <cell r="M198">
            <v>1</v>
          </cell>
          <cell r="N198">
            <v>117400</v>
          </cell>
        </row>
        <row r="199">
          <cell r="B199" t="str">
            <v>其他合同-18</v>
          </cell>
          <cell r="C199" t="str">
            <v>定制柜体</v>
          </cell>
          <cell r="D199" t="str">
            <v>其他合同</v>
          </cell>
          <cell r="E199" t="str">
            <v>高新区弘固建材经销部</v>
          </cell>
          <cell r="F199" t="str">
            <v>2020/06/1</v>
          </cell>
          <cell r="G199">
            <v>244000</v>
          </cell>
          <cell r="H199">
            <v>0</v>
          </cell>
          <cell r="I199" t="str">
            <v>否</v>
          </cell>
          <cell r="J199" t="str">
            <v>否</v>
          </cell>
          <cell r="K199" t="str">
            <v>否</v>
          </cell>
        </row>
        <row r="199">
          <cell r="M199">
            <v>1</v>
          </cell>
          <cell r="N199">
            <v>0</v>
          </cell>
        </row>
        <row r="200">
          <cell r="B200" t="str">
            <v>其他合同-19</v>
          </cell>
          <cell r="C200" t="str">
            <v>材料款-美缝施工</v>
          </cell>
          <cell r="D200" t="str">
            <v>建设工程合同</v>
          </cell>
          <cell r="E200" t="str">
            <v>成都创立佳建材有限公司</v>
          </cell>
          <cell r="F200" t="str">
            <v>2020/06/1</v>
          </cell>
          <cell r="G200">
            <v>13000</v>
          </cell>
          <cell r="H200">
            <v>0</v>
          </cell>
          <cell r="I200" t="str">
            <v>否</v>
          </cell>
          <cell r="J200" t="str">
            <v>否</v>
          </cell>
          <cell r="K200" t="str">
            <v>否</v>
          </cell>
        </row>
        <row r="200">
          <cell r="M200">
            <v>1</v>
          </cell>
          <cell r="N200">
            <v>13000</v>
          </cell>
        </row>
        <row r="201">
          <cell r="B201" t="str">
            <v>JZ-JL-04-02</v>
          </cell>
          <cell r="C201" t="str">
            <v>建设工程监理合同</v>
          </cell>
          <cell r="D201" t="str">
            <v>技术合同</v>
          </cell>
          <cell r="E201" t="str">
            <v>巴州智诚工程项目管理服务有限公司</v>
          </cell>
          <cell r="F201" t="str">
            <v>2020/06/1</v>
          </cell>
          <cell r="G201">
            <v>14911.56</v>
          </cell>
          <cell r="H201">
            <v>14069.03</v>
          </cell>
          <cell r="I201" t="str">
            <v>否</v>
          </cell>
          <cell r="J201" t="str">
            <v>否</v>
          </cell>
          <cell r="K201" t="str">
            <v>是</v>
          </cell>
          <cell r="L201" t="str">
            <v>可售建筑面积法</v>
          </cell>
          <cell r="M201">
            <v>0.338555832480367</v>
          </cell>
          <cell r="N201">
            <v>14069.03</v>
          </cell>
        </row>
        <row r="202">
          <cell r="B202" t="str">
            <v>JZ-JL-04-03</v>
          </cell>
          <cell r="C202" t="str">
            <v>建设工程监理合同</v>
          </cell>
          <cell r="D202" t="str">
            <v>技术合同</v>
          </cell>
          <cell r="E202" t="str">
            <v>巴州智诚工程项目管理服务有限公司</v>
          </cell>
          <cell r="F202" t="str">
            <v>2020/06/1</v>
          </cell>
          <cell r="G202">
            <v>63244.44</v>
          </cell>
          <cell r="H202">
            <v>0</v>
          </cell>
          <cell r="I202" t="str">
            <v>否</v>
          </cell>
          <cell r="J202" t="str">
            <v>否</v>
          </cell>
          <cell r="K202" t="str">
            <v>是</v>
          </cell>
          <cell r="L202" t="str">
            <v>其他分摊方法</v>
          </cell>
          <cell r="M202">
            <v>0.109829243890136</v>
          </cell>
          <cell r="N202">
            <v>44773.42</v>
          </cell>
        </row>
        <row r="203">
          <cell r="B203" t="str">
            <v>JZ-JL-05-01</v>
          </cell>
          <cell r="C203" t="str">
            <v>建设工程监理合同</v>
          </cell>
          <cell r="D203" t="str">
            <v>技术合同</v>
          </cell>
          <cell r="E203" t="str">
            <v>巴州智诚工程项目管理服务有限公司</v>
          </cell>
          <cell r="F203">
            <v>43920</v>
          </cell>
          <cell r="G203">
            <v>17587.8</v>
          </cell>
          <cell r="H203">
            <v>17413.66</v>
          </cell>
          <cell r="I203" t="str">
            <v>否</v>
          </cell>
          <cell r="J203" t="str">
            <v>否</v>
          </cell>
          <cell r="K203" t="str">
            <v>是</v>
          </cell>
          <cell r="L203" t="str">
            <v>可售建筑面积法</v>
          </cell>
          <cell r="M203">
            <v>0.338555832480367</v>
          </cell>
          <cell r="N203">
            <v>17413.66</v>
          </cell>
        </row>
        <row r="204">
          <cell r="B204" t="str">
            <v>其他合同-60</v>
          </cell>
          <cell r="C204" t="str">
            <v>沁春锦苑绿色建筑环评噪音监测费</v>
          </cell>
          <cell r="D204" t="str">
            <v>技术合同</v>
          </cell>
          <cell r="E204" t="str">
            <v>巴州永诚环境检测技术服务有限公司</v>
          </cell>
          <cell r="F204" t="str">
            <v>2020/06/1</v>
          </cell>
          <cell r="G204">
            <v>5000</v>
          </cell>
          <cell r="H204">
            <v>0</v>
          </cell>
          <cell r="I204" t="str">
            <v>否</v>
          </cell>
          <cell r="J204" t="str">
            <v>否</v>
          </cell>
          <cell r="K204" t="str">
            <v>是</v>
          </cell>
          <cell r="L204" t="str">
            <v>手工填写分摊比例</v>
          </cell>
          <cell r="M204">
            <v>0.3183</v>
          </cell>
          <cell r="N204">
            <v>5000</v>
          </cell>
        </row>
        <row r="205">
          <cell r="B205" t="str">
            <v>JC-GD-04</v>
          </cell>
          <cell r="C205" t="str">
            <v>沁春锦苑二期施工临时用电线路安装合同</v>
          </cell>
          <cell r="D205" t="str">
            <v>建设工程合同</v>
          </cell>
          <cell r="E205" t="str">
            <v>巴州鑫磊机电设备开关有限责任公司、新疆创昊电力建设工程有限公司巴州分公司</v>
          </cell>
          <cell r="F205">
            <v>43936</v>
          </cell>
          <cell r="G205">
            <v>110000</v>
          </cell>
          <cell r="H205">
            <v>0</v>
          </cell>
          <cell r="I205" t="str">
            <v>否</v>
          </cell>
          <cell r="J205" t="str">
            <v>否</v>
          </cell>
          <cell r="K205" t="str">
            <v>否</v>
          </cell>
        </row>
        <row r="205">
          <cell r="M205">
            <v>1</v>
          </cell>
          <cell r="N205">
            <v>99748.32</v>
          </cell>
        </row>
        <row r="206">
          <cell r="B206" t="str">
            <v>JC-GD-03-8</v>
          </cell>
          <cell r="C206" t="str">
            <v>电气外网供货安装合同（4#-17#31#-36#、12#-38#）3#</v>
          </cell>
          <cell r="D206" t="str">
            <v>其他合同</v>
          </cell>
          <cell r="E206" t="str">
            <v>巴州鑫磊机电设备开关有限责任公司（张国宏）</v>
          </cell>
          <cell r="F206">
            <v>44271</v>
          </cell>
          <cell r="G206">
            <v>14273</v>
          </cell>
          <cell r="H206">
            <v>0</v>
          </cell>
          <cell r="I206" t="str">
            <v>否</v>
          </cell>
          <cell r="J206" t="str">
            <v>否</v>
          </cell>
          <cell r="K206" t="str">
            <v>否</v>
          </cell>
        </row>
        <row r="206">
          <cell r="M206">
            <v>1</v>
          </cell>
          <cell r="N206">
            <v>0</v>
          </cell>
        </row>
        <row r="207">
          <cell r="B207" t="str">
            <v>其他合同-03</v>
          </cell>
          <cell r="C207" t="str">
            <v>一期铁皮围栏工程</v>
          </cell>
          <cell r="D207" t="str">
            <v>其他合同</v>
          </cell>
          <cell r="E207" t="str">
            <v>巴州香柏树电子科技有限公司</v>
          </cell>
          <cell r="F207" t="str">
            <v>2020/06/1</v>
          </cell>
          <cell r="G207">
            <v>300000</v>
          </cell>
          <cell r="H207">
            <v>0</v>
          </cell>
          <cell r="I207" t="str">
            <v>否</v>
          </cell>
          <cell r="J207" t="str">
            <v>否</v>
          </cell>
          <cell r="K207" t="str">
            <v>否</v>
          </cell>
        </row>
        <row r="207">
          <cell r="M207">
            <v>1</v>
          </cell>
          <cell r="N207">
            <v>297029.7</v>
          </cell>
        </row>
        <row r="208">
          <cell r="B208" t="str">
            <v>其他合同-001</v>
          </cell>
          <cell r="C208" t="str">
            <v>沁春锦苑35#楼楼顶灯管更换合同</v>
          </cell>
          <cell r="D208" t="str">
            <v>其他合同</v>
          </cell>
          <cell r="E208" t="str">
            <v>巴州水木堂建筑装饰有限公司（倪）</v>
          </cell>
          <cell r="F208">
            <v>44414</v>
          </cell>
          <cell r="G208">
            <v>45000</v>
          </cell>
          <cell r="H208">
            <v>0</v>
          </cell>
          <cell r="I208" t="str">
            <v>否</v>
          </cell>
          <cell r="J208" t="str">
            <v>否</v>
          </cell>
          <cell r="K208" t="str">
            <v>否</v>
          </cell>
        </row>
        <row r="208">
          <cell r="M208">
            <v>1</v>
          </cell>
          <cell r="N208">
            <v>44554.46</v>
          </cell>
        </row>
        <row r="209">
          <cell r="B209" t="str">
            <v>其他合同-21</v>
          </cell>
          <cell r="C209" t="str">
            <v>土石方外运</v>
          </cell>
          <cell r="D209" t="str">
            <v>运输合同</v>
          </cell>
          <cell r="E209" t="str">
            <v>巴州荣耀建筑工程有限公司</v>
          </cell>
          <cell r="F209" t="str">
            <v>2020/06/1</v>
          </cell>
          <cell r="G209">
            <v>142673</v>
          </cell>
          <cell r="H209">
            <v>0</v>
          </cell>
          <cell r="I209" t="str">
            <v>否</v>
          </cell>
          <cell r="J209" t="str">
            <v>否</v>
          </cell>
          <cell r="K209" t="str">
            <v>否</v>
          </cell>
        </row>
        <row r="209">
          <cell r="M209">
            <v>1</v>
          </cell>
          <cell r="N209">
            <v>130892.66</v>
          </cell>
        </row>
        <row r="210">
          <cell r="B210" t="str">
            <v>JZ-ZX-03</v>
          </cell>
          <cell r="C210" t="str">
            <v>沁春锦苑26#28#30#楼门斗装修</v>
          </cell>
          <cell r="D210" t="str">
            <v>建设工程合同</v>
          </cell>
          <cell r="E210" t="str">
            <v>巴州理想家建筑装饰有限公司（倪）</v>
          </cell>
          <cell r="F210">
            <v>44086</v>
          </cell>
          <cell r="G210">
            <v>953414.65</v>
          </cell>
          <cell r="H210">
            <v>0</v>
          </cell>
          <cell r="I210" t="str">
            <v>否</v>
          </cell>
          <cell r="J210" t="str">
            <v>否</v>
          </cell>
          <cell r="K210" t="str">
            <v>否</v>
          </cell>
        </row>
        <row r="210">
          <cell r="M210">
            <v>1</v>
          </cell>
          <cell r="N210">
            <v>874692.37</v>
          </cell>
        </row>
        <row r="211">
          <cell r="B211" t="str">
            <v>其他合同-25</v>
          </cell>
          <cell r="C211" t="str">
            <v>沁春锦苑路岩石</v>
          </cell>
          <cell r="D211" t="str">
            <v>其他合同</v>
          </cell>
          <cell r="E211" t="str">
            <v>巴州聚好水泥制品有限公司</v>
          </cell>
          <cell r="F211" t="str">
            <v>2020/06/1</v>
          </cell>
          <cell r="G211">
            <v>60657.71</v>
          </cell>
          <cell r="H211">
            <v>0</v>
          </cell>
          <cell r="I211" t="str">
            <v>否</v>
          </cell>
          <cell r="J211" t="str">
            <v>否</v>
          </cell>
          <cell r="K211" t="str">
            <v>否</v>
          </cell>
        </row>
        <row r="211">
          <cell r="M211">
            <v>1</v>
          </cell>
          <cell r="N211">
            <v>53679.39</v>
          </cell>
        </row>
        <row r="212">
          <cell r="B212" t="str">
            <v>其他合同-40</v>
          </cell>
          <cell r="C212" t="str">
            <v>钢塑管</v>
          </cell>
          <cell r="D212" t="str">
            <v>其他合同</v>
          </cell>
          <cell r="E212" t="str">
            <v>巴州锦林家政服务有限责任公司</v>
          </cell>
          <cell r="F212" t="str">
            <v>2020/06/1</v>
          </cell>
          <cell r="G212">
            <v>13000</v>
          </cell>
          <cell r="H212">
            <v>0</v>
          </cell>
          <cell r="I212" t="str">
            <v>否</v>
          </cell>
          <cell r="J212" t="str">
            <v>否</v>
          </cell>
          <cell r="K212" t="str">
            <v>否</v>
          </cell>
        </row>
        <row r="212">
          <cell r="M212">
            <v>1</v>
          </cell>
          <cell r="N212">
            <v>13000</v>
          </cell>
        </row>
        <row r="213">
          <cell r="B213" t="str">
            <v>其他合同-56</v>
          </cell>
          <cell r="C213" t="str">
            <v>19#20#23#24#、25-30#、1#、大门审图费</v>
          </cell>
          <cell r="D213" t="str">
            <v>买卖合同</v>
          </cell>
          <cell r="E213" t="str">
            <v>巴州建筑工程施工图设计文件审查中心</v>
          </cell>
          <cell r="F213" t="str">
            <v>2020/06/1</v>
          </cell>
          <cell r="G213">
            <v>115587</v>
          </cell>
          <cell r="H213">
            <v>0</v>
          </cell>
          <cell r="I213" t="str">
            <v>否</v>
          </cell>
          <cell r="J213" t="str">
            <v>否</v>
          </cell>
          <cell r="K213" t="str">
            <v>否</v>
          </cell>
        </row>
        <row r="213">
          <cell r="M213">
            <v>1</v>
          </cell>
          <cell r="N213">
            <v>109044.34</v>
          </cell>
        </row>
        <row r="214">
          <cell r="B214" t="str">
            <v>其他合同-58</v>
          </cell>
          <cell r="C214" t="str">
            <v>沁春锦苑幼儿园审图费</v>
          </cell>
          <cell r="D214" t="str">
            <v>技术合同</v>
          </cell>
          <cell r="E214" t="str">
            <v>巴州建筑工程施工图设计文件审查中心</v>
          </cell>
          <cell r="F214" t="str">
            <v>2020/06/1</v>
          </cell>
          <cell r="G214">
            <v>2849</v>
          </cell>
          <cell r="H214">
            <v>2687.74</v>
          </cell>
          <cell r="I214" t="str">
            <v>否</v>
          </cell>
          <cell r="J214" t="str">
            <v>否</v>
          </cell>
          <cell r="K214" t="str">
            <v>是</v>
          </cell>
          <cell r="L214" t="str">
            <v>可售建筑面积法</v>
          </cell>
          <cell r="M214">
            <v>0.338555832480367</v>
          </cell>
          <cell r="N214">
            <v>2687.74</v>
          </cell>
        </row>
        <row r="215">
          <cell r="B215" t="str">
            <v>其他合同-53</v>
          </cell>
          <cell r="C215" t="str">
            <v>一期消防工程</v>
          </cell>
          <cell r="D215" t="str">
            <v>其他合同</v>
          </cell>
          <cell r="E215" t="str">
            <v>巴州建邦建筑工程有限公司</v>
          </cell>
          <cell r="F215" t="str">
            <v>2020/06/1</v>
          </cell>
          <cell r="G215">
            <v>1950000</v>
          </cell>
          <cell r="H215">
            <v>0</v>
          </cell>
          <cell r="I215" t="str">
            <v>否</v>
          </cell>
          <cell r="J215" t="str">
            <v>否</v>
          </cell>
          <cell r="K215" t="str">
            <v>否</v>
          </cell>
        </row>
        <row r="215">
          <cell r="M215">
            <v>1</v>
          </cell>
          <cell r="N215">
            <v>1950000</v>
          </cell>
        </row>
        <row r="216">
          <cell r="B216" t="str">
            <v>Q-SC-1</v>
          </cell>
          <cell r="C216" t="str">
            <v>建设工程勘察合同（32#33#34#、25#-30#）</v>
          </cell>
          <cell r="D216" t="str">
            <v>技术合同</v>
          </cell>
          <cell r="E216" t="str">
            <v>巴州基安岩土工程勘察设计有限责任公司</v>
          </cell>
          <cell r="F216">
            <v>43582</v>
          </cell>
          <cell r="G216">
            <v>33000</v>
          </cell>
          <cell r="H216">
            <v>0</v>
          </cell>
          <cell r="I216" t="str">
            <v>否</v>
          </cell>
          <cell r="J216" t="str">
            <v>否</v>
          </cell>
          <cell r="K216" t="str">
            <v>否</v>
          </cell>
        </row>
        <row r="216">
          <cell r="M216">
            <v>1</v>
          </cell>
          <cell r="N216">
            <v>28301.89</v>
          </cell>
        </row>
        <row r="217">
          <cell r="B217" t="str">
            <v>Q-SC-1-01</v>
          </cell>
          <cell r="C217" t="str">
            <v>建设工程勘察合同（32#33#34#）</v>
          </cell>
          <cell r="D217" t="str">
            <v>技术合同</v>
          </cell>
          <cell r="E217" t="str">
            <v>巴州基安岩土工程勘察设计有限责任公司</v>
          </cell>
          <cell r="F217">
            <v>43582</v>
          </cell>
          <cell r="G217">
            <v>5649</v>
          </cell>
          <cell r="H217">
            <v>0</v>
          </cell>
          <cell r="I217" t="str">
            <v>否</v>
          </cell>
          <cell r="J217" t="str">
            <v>否</v>
          </cell>
          <cell r="K217" t="str">
            <v>否</v>
          </cell>
        </row>
        <row r="217">
          <cell r="M217">
            <v>1</v>
          </cell>
          <cell r="N217">
            <v>5250</v>
          </cell>
        </row>
        <row r="218">
          <cell r="B218" t="str">
            <v>其他合同-23</v>
          </cell>
          <cell r="C218" t="str">
            <v>35#楼电缆维修</v>
          </cell>
          <cell r="D218" t="str">
            <v>其他合同</v>
          </cell>
          <cell r="E218" t="str">
            <v>巴州华通博大商贸有限公司</v>
          </cell>
          <cell r="F218" t="str">
            <v>2020/06/1</v>
          </cell>
          <cell r="G218">
            <v>18000</v>
          </cell>
          <cell r="H218">
            <v>0</v>
          </cell>
          <cell r="I218" t="str">
            <v>否</v>
          </cell>
          <cell r="J218" t="str">
            <v>否</v>
          </cell>
          <cell r="K218" t="str">
            <v>否</v>
          </cell>
        </row>
        <row r="218">
          <cell r="M218">
            <v>1</v>
          </cell>
          <cell r="N218">
            <v>15929.2</v>
          </cell>
        </row>
        <row r="219">
          <cell r="B219" t="str">
            <v>其他合同-24</v>
          </cell>
          <cell r="C219" t="str">
            <v>购PVC管等、井盖</v>
          </cell>
          <cell r="D219" t="str">
            <v>其他合同</v>
          </cell>
          <cell r="E219" t="str">
            <v>巴州胡锦诚林商贸有限公司</v>
          </cell>
          <cell r="F219" t="str">
            <v>2020/06/1</v>
          </cell>
          <cell r="G219">
            <v>33180</v>
          </cell>
          <cell r="H219">
            <v>0</v>
          </cell>
          <cell r="I219" t="str">
            <v>否</v>
          </cell>
          <cell r="J219" t="str">
            <v>否</v>
          </cell>
          <cell r="K219" t="str">
            <v>否</v>
          </cell>
        </row>
        <row r="219">
          <cell r="M219">
            <v>1</v>
          </cell>
          <cell r="N219">
            <v>70300.88</v>
          </cell>
        </row>
        <row r="220">
          <cell r="B220" t="str">
            <v>JC-QT-21-01</v>
          </cell>
          <cell r="C220" t="str">
            <v>12#-15#38#、18#21#后花园围栏制作安装、31#楼防盗窗安装-幼儿园</v>
          </cell>
          <cell r="D220" t="str">
            <v>买卖合同</v>
          </cell>
          <cell r="E220" t="str">
            <v>巴州冠华商贸有限公司</v>
          </cell>
          <cell r="F220">
            <v>44662</v>
          </cell>
          <cell r="G220">
            <v>2440</v>
          </cell>
          <cell r="H220">
            <v>2159.29</v>
          </cell>
          <cell r="I220" t="str">
            <v>否</v>
          </cell>
          <cell r="J220" t="str">
            <v>否</v>
          </cell>
          <cell r="K220" t="str">
            <v>是</v>
          </cell>
          <cell r="L220" t="str">
            <v>可售建筑面积法</v>
          </cell>
          <cell r="M220">
            <v>0.338555832480367</v>
          </cell>
          <cell r="N220">
            <v>2159.29</v>
          </cell>
        </row>
        <row r="221">
          <cell r="B221" t="str">
            <v>其他合同-54</v>
          </cell>
          <cell r="C221" t="str">
            <v>沁春锦苑19#20#23#24#楼后花园围栏制作</v>
          </cell>
          <cell r="D221" t="str">
            <v>其他合同</v>
          </cell>
          <cell r="E221" t="str">
            <v>巴州冠华商贸有限公司</v>
          </cell>
          <cell r="F221">
            <v>44128</v>
          </cell>
          <cell r="G221">
            <v>74366.25</v>
          </cell>
          <cell r="H221">
            <v>65810.84</v>
          </cell>
          <cell r="I221" t="str">
            <v>否</v>
          </cell>
          <cell r="J221" t="str">
            <v>否</v>
          </cell>
          <cell r="K221" t="str">
            <v>否</v>
          </cell>
        </row>
        <row r="221">
          <cell r="M221">
            <v>1</v>
          </cell>
          <cell r="N221">
            <v>58248.36</v>
          </cell>
        </row>
        <row r="222">
          <cell r="B222" t="str">
            <v>JZ-QT-01</v>
          </cell>
          <cell r="C222" t="str">
            <v>沁春锦苑25-30#楼门斗装修补充工程施工合同</v>
          </cell>
          <cell r="D222" t="str">
            <v>建设工程合同</v>
          </cell>
          <cell r="E222" t="str">
            <v>巴州冠弘建筑装饰有限公司（倪大伟）</v>
          </cell>
          <cell r="F222">
            <v>44454</v>
          </cell>
          <cell r="G222">
            <v>61000</v>
          </cell>
          <cell r="H222">
            <v>0</v>
          </cell>
          <cell r="I222" t="str">
            <v>否</v>
          </cell>
          <cell r="J222" t="str">
            <v>否</v>
          </cell>
          <cell r="K222" t="str">
            <v>否</v>
          </cell>
        </row>
        <row r="222">
          <cell r="M222">
            <v>1</v>
          </cell>
          <cell r="N222">
            <v>60396.04</v>
          </cell>
        </row>
        <row r="223">
          <cell r="B223" t="str">
            <v>JC-QT-18</v>
          </cell>
          <cell r="C223" t="str">
            <v>沁春锦苑施工围挡安装</v>
          </cell>
          <cell r="D223" t="str">
            <v>建设工程合同</v>
          </cell>
          <cell r="E223" t="str">
            <v>巴州方程视广告有限公司（刘亭）</v>
          </cell>
          <cell r="F223">
            <v>44911</v>
          </cell>
          <cell r="G223">
            <v>24714</v>
          </cell>
          <cell r="H223">
            <v>0</v>
          </cell>
          <cell r="I223" t="str">
            <v>否</v>
          </cell>
          <cell r="J223" t="str">
            <v>否</v>
          </cell>
          <cell r="K223" t="str">
            <v>否</v>
          </cell>
        </row>
        <row r="223">
          <cell r="M223">
            <v>1</v>
          </cell>
          <cell r="N223">
            <v>0</v>
          </cell>
        </row>
        <row r="224">
          <cell r="B224" t="str">
            <v>JC-LH-18-01</v>
          </cell>
          <cell r="C224" t="str">
            <v>沁春锦苑亮化及商业新增亮化</v>
          </cell>
          <cell r="D224" t="str">
            <v>其他合同</v>
          </cell>
          <cell r="E224" t="str">
            <v>巴州方程视广告有限公司（刘亭）</v>
          </cell>
          <cell r="F224">
            <v>44525</v>
          </cell>
          <cell r="G224">
            <v>998750</v>
          </cell>
          <cell r="H224">
            <v>0</v>
          </cell>
          <cell r="I224" t="str">
            <v>否</v>
          </cell>
          <cell r="J224" t="str">
            <v>否</v>
          </cell>
          <cell r="K224" t="str">
            <v>是</v>
          </cell>
          <cell r="L224" t="str">
            <v>可售建筑面积法</v>
          </cell>
          <cell r="M224">
            <v>0.338555832480367</v>
          </cell>
          <cell r="N224">
            <v>91089.11</v>
          </cell>
        </row>
        <row r="225">
          <cell r="B225" t="str">
            <v>零星-01</v>
          </cell>
          <cell r="C225" t="str">
            <v>沁春锦苑小区灭蚊灯（40个）</v>
          </cell>
          <cell r="D225" t="str">
            <v>其他合同</v>
          </cell>
          <cell r="E225" t="str">
            <v>巴州方程视广告有限公司（刘亭）</v>
          </cell>
          <cell r="F225">
            <v>44730</v>
          </cell>
          <cell r="G225">
            <v>13800</v>
          </cell>
          <cell r="H225">
            <v>0</v>
          </cell>
          <cell r="I225" t="str">
            <v>否</v>
          </cell>
          <cell r="J225" t="str">
            <v>否</v>
          </cell>
          <cell r="K225" t="str">
            <v>是</v>
          </cell>
          <cell r="L225" t="str">
            <v>可售建筑面积法</v>
          </cell>
          <cell r="M225">
            <v>0.338555832480367</v>
          </cell>
          <cell r="N225">
            <v>12212.39</v>
          </cell>
        </row>
        <row r="226">
          <cell r="B226" t="str">
            <v>JC-LH-09</v>
          </cell>
          <cell r="C226" t="str">
            <v>沁春锦苑小区商业新增亮化工程</v>
          </cell>
          <cell r="D226" t="str">
            <v>其他合同</v>
          </cell>
          <cell r="E226" t="str">
            <v>巴州方程视广告有限公司</v>
          </cell>
          <cell r="F226">
            <v>44585</v>
          </cell>
          <cell r="G226">
            <v>77000</v>
          </cell>
          <cell r="H226">
            <v>0</v>
          </cell>
          <cell r="I226" t="str">
            <v>否</v>
          </cell>
          <cell r="J226" t="str">
            <v>否</v>
          </cell>
          <cell r="K226" t="str">
            <v>是</v>
          </cell>
          <cell r="L226" t="str">
            <v>可售建筑面积法</v>
          </cell>
          <cell r="M226">
            <v>0.338555832480367</v>
          </cell>
          <cell r="N226">
            <v>27087.38</v>
          </cell>
        </row>
        <row r="227">
          <cell r="B227" t="str">
            <v>JC-LH-08</v>
          </cell>
          <cell r="C227" t="str">
            <v>沁春锦苑小区亮化工程</v>
          </cell>
          <cell r="D227" t="str">
            <v>其他合同</v>
          </cell>
          <cell r="E227" t="str">
            <v>巴州方程视广告有限公司</v>
          </cell>
          <cell r="F227">
            <v>44572</v>
          </cell>
          <cell r="G227">
            <v>15000</v>
          </cell>
          <cell r="H227">
            <v>0</v>
          </cell>
          <cell r="I227" t="str">
            <v>否</v>
          </cell>
          <cell r="J227" t="str">
            <v>否</v>
          </cell>
          <cell r="K227" t="str">
            <v>是</v>
          </cell>
          <cell r="L227" t="str">
            <v>可售建筑面积法</v>
          </cell>
          <cell r="M227">
            <v>0.338555832480367</v>
          </cell>
          <cell r="N227">
            <v>0</v>
          </cell>
        </row>
        <row r="228">
          <cell r="B228" t="str">
            <v>其他合同-41</v>
          </cell>
          <cell r="C228" t="str">
            <v>建设工程设计合同（专业建设工程）</v>
          </cell>
          <cell r="D228" t="str">
            <v>技术合同</v>
          </cell>
          <cell r="E228" t="str">
            <v>安徽宏泰交通工程设计研究院有限公司</v>
          </cell>
          <cell r="F228">
            <v>43338</v>
          </cell>
          <cell r="G228">
            <v>50000</v>
          </cell>
          <cell r="H228">
            <v>0</v>
          </cell>
          <cell r="I228" t="str">
            <v>否</v>
          </cell>
          <cell r="J228" t="str">
            <v>否</v>
          </cell>
          <cell r="K228" t="str">
            <v>是</v>
          </cell>
          <cell r="L228" t="str">
            <v>可售建筑面积法</v>
          </cell>
          <cell r="M228">
            <v>0.338555832480367</v>
          </cell>
          <cell r="N228">
            <v>47169.81</v>
          </cell>
        </row>
        <row r="229">
          <cell r="B229" t="str">
            <v>JC-MP-01</v>
          </cell>
          <cell r="C229" t="str">
            <v>地名数字门牌制作合同</v>
          </cell>
          <cell r="D229" t="str">
            <v>技术合同</v>
          </cell>
          <cell r="E229" t="str">
            <v>巴州昱人计算机服务有限公司</v>
          </cell>
          <cell r="F229">
            <v>44117</v>
          </cell>
          <cell r="G229">
            <v>11432</v>
          </cell>
          <cell r="H229">
            <v>0</v>
          </cell>
          <cell r="I229" t="str">
            <v>否</v>
          </cell>
          <cell r="J229" t="str">
            <v>否</v>
          </cell>
          <cell r="K229" t="str">
            <v>否</v>
          </cell>
        </row>
        <row r="229">
          <cell r="M229">
            <v>1</v>
          </cell>
          <cell r="N229">
            <v>11318.81</v>
          </cell>
        </row>
        <row r="230">
          <cell r="B230" t="str">
            <v>JC-MP-02</v>
          </cell>
          <cell r="C230" t="str">
            <v>地名数字门牌制作合同</v>
          </cell>
          <cell r="D230" t="str">
            <v>技术合同</v>
          </cell>
          <cell r="E230" t="str">
            <v>巴州昱人计算机服务有限公司</v>
          </cell>
          <cell r="F230">
            <v>44117</v>
          </cell>
          <cell r="G230">
            <v>18846</v>
          </cell>
          <cell r="H230">
            <v>0</v>
          </cell>
          <cell r="I230" t="str">
            <v>否</v>
          </cell>
          <cell r="J230" t="str">
            <v>否</v>
          </cell>
          <cell r="K230" t="str">
            <v>否</v>
          </cell>
        </row>
        <row r="230">
          <cell r="M230">
            <v>1</v>
          </cell>
          <cell r="N230">
            <v>18659.41</v>
          </cell>
        </row>
        <row r="231">
          <cell r="B231" t="str">
            <v>JC-MP-03</v>
          </cell>
          <cell r="C231" t="str">
            <v>地名数字门牌制作合同-住宅</v>
          </cell>
          <cell r="D231" t="str">
            <v>技术合同</v>
          </cell>
          <cell r="E231" t="str">
            <v>巴州昱人计算机服务有限公司</v>
          </cell>
          <cell r="F231">
            <v>44117</v>
          </cell>
          <cell r="G231">
            <v>33500</v>
          </cell>
          <cell r="H231">
            <v>0</v>
          </cell>
          <cell r="I231" t="str">
            <v>否</v>
          </cell>
          <cell r="J231" t="str">
            <v>否</v>
          </cell>
          <cell r="K231" t="str">
            <v>否</v>
          </cell>
        </row>
        <row r="231">
          <cell r="M231">
            <v>1</v>
          </cell>
          <cell r="N231">
            <v>8570.51</v>
          </cell>
        </row>
        <row r="232">
          <cell r="B232" t="str">
            <v>GG-SQ-02</v>
          </cell>
          <cell r="C232" t="str">
            <v>37#社区用房壁挂炉</v>
          </cell>
          <cell r="D232" t="str">
            <v>买卖合同</v>
          </cell>
          <cell r="E232" t="str">
            <v>库尔勒刘世春电器维修部</v>
          </cell>
          <cell r="F232">
            <v>45356</v>
          </cell>
          <cell r="G232">
            <v>44660</v>
          </cell>
          <cell r="H232">
            <v>0</v>
          </cell>
          <cell r="I232" t="str">
            <v>否</v>
          </cell>
          <cell r="J232" t="str">
            <v>否</v>
          </cell>
          <cell r="K232" t="str">
            <v>是</v>
          </cell>
          <cell r="L232" t="str">
            <v>可售建筑面积法</v>
          </cell>
          <cell r="M232">
            <v>0.338555832480367</v>
          </cell>
          <cell r="N232">
            <v>44660.19</v>
          </cell>
        </row>
        <row r="233">
          <cell r="B233" t="str">
            <v>CQ-001</v>
          </cell>
          <cell r="C233" t="str">
            <v>巴州建新公路维护有限公司</v>
          </cell>
          <cell r="D233" t="str">
            <v>产权转移书据</v>
          </cell>
          <cell r="E233" t="str">
            <v>巴州建新公路维护有限公司</v>
          </cell>
          <cell r="F233">
            <v>41703</v>
          </cell>
          <cell r="G233">
            <v>6200000</v>
          </cell>
          <cell r="H233">
            <v>4078800</v>
          </cell>
          <cell r="I233" t="str">
            <v>否</v>
          </cell>
          <cell r="J233" t="str">
            <v>否</v>
          </cell>
          <cell r="K233" t="str">
            <v>是</v>
          </cell>
          <cell r="L233" t="str">
            <v>占地面积法</v>
          </cell>
          <cell r="M233">
            <v>0.356664307154603</v>
          </cell>
          <cell r="N233">
            <v>4078800</v>
          </cell>
        </row>
        <row r="234">
          <cell r="B234" t="str">
            <v>JC-QT-09</v>
          </cell>
          <cell r="C234" t="str">
            <v>1#楼改造施工协议</v>
          </cell>
          <cell r="D234" t="str">
            <v>建设工程合同</v>
          </cell>
          <cell r="E234" t="str">
            <v>新疆精诚所至装饰工程有限责任公司（金克）</v>
          </cell>
          <cell r="F234">
            <v>44900</v>
          </cell>
          <cell r="G234">
            <v>23072.67</v>
          </cell>
          <cell r="H234">
            <v>22844.23</v>
          </cell>
          <cell r="I234" t="str">
            <v>否</v>
          </cell>
          <cell r="J234" t="str">
            <v>否</v>
          </cell>
          <cell r="K234" t="str">
            <v>否</v>
          </cell>
        </row>
        <row r="234">
          <cell r="M234">
            <v>1</v>
          </cell>
          <cell r="N234">
            <v>22844.23</v>
          </cell>
        </row>
        <row r="235">
          <cell r="B235" t="str">
            <v>JZ-QT-06</v>
          </cell>
          <cell r="C235" t="str">
            <v>沁春锦苑1#商业楼改造工程，为固定总价合同。不含税价为108910.89元，税款暂定为1089.11元。</v>
          </cell>
          <cell r="D235" t="str">
            <v>建设工程合同</v>
          </cell>
          <cell r="E235" t="str">
            <v>巴州冠弘建筑装饰有限公司</v>
          </cell>
          <cell r="F235">
            <v>45089</v>
          </cell>
          <cell r="G235">
            <v>110000</v>
          </cell>
          <cell r="H235">
            <v>108910.89</v>
          </cell>
          <cell r="I235" t="str">
            <v>否</v>
          </cell>
          <cell r="J235" t="str">
            <v>否</v>
          </cell>
          <cell r="K235" t="str">
            <v>否</v>
          </cell>
        </row>
        <row r="235">
          <cell r="M235">
            <v>1</v>
          </cell>
          <cell r="N235">
            <v>87128.72</v>
          </cell>
        </row>
        <row r="236">
          <cell r="B236" t="str">
            <v>GGPT-01</v>
          </cell>
          <cell r="C236" t="str">
            <v>沁春锦苑机械车位监控系统安装工程</v>
          </cell>
          <cell r="D236" t="str">
            <v>其他合同</v>
          </cell>
          <cell r="E236" t="str">
            <v>巴州青橄榄电子科技有限公司（党曌）</v>
          </cell>
        </row>
        <row r="236">
          <cell r="G236">
            <v>16000</v>
          </cell>
          <cell r="H236">
            <v>15841.5841584158</v>
          </cell>
          <cell r="I236" t="str">
            <v>否</v>
          </cell>
          <cell r="J236" t="str">
            <v>否</v>
          </cell>
          <cell r="K236" t="str">
            <v>是</v>
          </cell>
          <cell r="L236" t="str">
            <v>可售建筑面积法</v>
          </cell>
          <cell r="M236">
            <v>0.338555832480367</v>
          </cell>
          <cell r="N236">
            <v>12673.27</v>
          </cell>
        </row>
        <row r="237">
          <cell r="B237" t="str">
            <v>GGPT-02</v>
          </cell>
          <cell r="C237" t="str">
            <v>增加沁春锦苑人防地下室车库监控、道闸施工补充协议</v>
          </cell>
          <cell r="D237" t="str">
            <v>其他合同</v>
          </cell>
          <cell r="E237" t="str">
            <v>巴州青橄榄电子科技有限公司（党曌）</v>
          </cell>
          <cell r="F237">
            <v>45316</v>
          </cell>
          <cell r="G237">
            <v>234981.38</v>
          </cell>
          <cell r="H237">
            <v>232654.831683168</v>
          </cell>
          <cell r="I237" t="str">
            <v>否</v>
          </cell>
          <cell r="J237" t="str">
            <v>否</v>
          </cell>
          <cell r="K237" t="str">
            <v>是</v>
          </cell>
          <cell r="L237" t="str">
            <v>可售建筑面积法</v>
          </cell>
          <cell r="M237">
            <v>0.338555832480367</v>
          </cell>
          <cell r="N237">
            <v>232654.83</v>
          </cell>
        </row>
        <row r="243">
          <cell r="H243">
            <v>0</v>
          </cell>
        </row>
      </sheetData>
      <sheetData sheetId="10"/>
      <sheetData sheetId="11"/>
      <sheetData sheetId="1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I78"/>
  <sheetViews>
    <sheetView zoomScale="55" zoomScaleNormal="55" topLeftCell="A45" workbookViewId="0">
      <selection activeCell="H26" sqref="H26:R26"/>
    </sheetView>
  </sheetViews>
  <sheetFormatPr defaultColWidth="11" defaultRowHeight="15.65"/>
  <cols>
    <col min="1" max="1" width="6.11594202898551" style="510" customWidth="1"/>
    <col min="2" max="2" width="22.1159420289855" style="510" customWidth="1"/>
    <col min="3" max="3" width="15.3840579710145" style="510" customWidth="1"/>
    <col min="4" max="5" width="5.88405797101449" style="510" customWidth="1"/>
    <col min="6" max="6" width="11.8840579710145" style="510" customWidth="1"/>
    <col min="7" max="7" width="10.1159420289855" style="510" customWidth="1"/>
    <col min="8" max="8" width="5.88405797101449" style="510" customWidth="1"/>
    <col min="9" max="9" width="13.1159420289855" style="510" customWidth="1"/>
    <col min="10" max="10" width="12.1159420289855" style="510" customWidth="1"/>
    <col min="11" max="11" width="1.61594202898551" style="510" customWidth="1"/>
    <col min="12" max="12" width="12.8840579710145" style="510" customWidth="1"/>
    <col min="13" max="17" width="5.88405797101449" style="510" customWidth="1"/>
    <col min="18" max="18" width="5.61594202898551" style="510" customWidth="1"/>
    <col min="19" max="31" width="5.88405797101449" style="510" customWidth="1"/>
    <col min="32" max="32" width="7.11594202898551" style="510" customWidth="1"/>
    <col min="33" max="34" width="5.88405797101449" style="510" customWidth="1"/>
    <col min="35" max="35" width="12.6159420289855" style="510" customWidth="1"/>
    <col min="36" max="16384" width="11" style="510"/>
  </cols>
  <sheetData>
    <row r="1" s="510" customFormat="1" ht="36.3" spans="1:35">
      <c r="A1" s="511" t="s">
        <v>0</v>
      </c>
      <c r="B1" s="512"/>
      <c r="C1" s="512"/>
      <c r="D1" s="512"/>
      <c r="E1" s="512"/>
      <c r="F1" s="512"/>
      <c r="G1" s="512"/>
      <c r="H1" s="512"/>
      <c r="I1" s="512"/>
      <c r="J1" s="512"/>
      <c r="K1" s="512"/>
      <c r="L1" s="512"/>
      <c r="M1" s="512"/>
      <c r="N1" s="512"/>
      <c r="O1" s="512"/>
      <c r="P1" s="512"/>
      <c r="Q1" s="512"/>
      <c r="R1" s="512"/>
      <c r="S1" s="512"/>
      <c r="T1" s="512"/>
      <c r="U1" s="512"/>
      <c r="V1" s="512"/>
      <c r="W1" s="512"/>
      <c r="X1" s="512"/>
      <c r="Y1" s="512"/>
      <c r="Z1" s="512"/>
      <c r="AA1" s="512"/>
      <c r="AB1" s="512"/>
      <c r="AC1" s="512"/>
      <c r="AD1" s="512"/>
      <c r="AE1" s="512"/>
      <c r="AF1" s="512"/>
      <c r="AG1" s="512"/>
      <c r="AH1" s="512"/>
      <c r="AI1" s="512"/>
    </row>
    <row r="2" s="510" customFormat="1" ht="26.25" spans="1:35">
      <c r="A2" s="513" t="s">
        <v>1</v>
      </c>
      <c r="B2" s="513"/>
      <c r="C2" s="513"/>
      <c r="D2" s="513"/>
      <c r="E2" s="513"/>
      <c r="F2" s="513"/>
      <c r="G2" s="513"/>
      <c r="H2" s="513"/>
      <c r="I2" s="513"/>
      <c r="J2" s="513"/>
      <c r="K2" s="513"/>
      <c r="L2" s="513"/>
      <c r="M2" s="513"/>
      <c r="N2" s="513"/>
      <c r="O2" s="513"/>
      <c r="P2" s="513"/>
      <c r="Q2" s="513"/>
      <c r="R2" s="513"/>
      <c r="S2" s="513"/>
      <c r="T2" s="513"/>
      <c r="U2" s="513"/>
      <c r="V2" s="513"/>
      <c r="W2" s="513"/>
      <c r="X2" s="513"/>
      <c r="Y2" s="513"/>
      <c r="Z2" s="513"/>
      <c r="AA2" s="513"/>
      <c r="AB2" s="513"/>
      <c r="AC2" s="513"/>
      <c r="AD2" s="513"/>
      <c r="AE2" s="513"/>
      <c r="AF2" s="513"/>
      <c r="AG2" s="513"/>
      <c r="AH2" s="513"/>
      <c r="AI2" s="513"/>
    </row>
    <row r="3" s="510" customFormat="1" ht="36" customHeight="1" spans="1:35">
      <c r="A3" s="514" t="s">
        <v>2</v>
      </c>
      <c r="B3" s="514"/>
      <c r="C3" s="515" t="s">
        <v>3</v>
      </c>
      <c r="D3" s="515"/>
      <c r="E3" s="515"/>
      <c r="F3" s="515"/>
      <c r="G3" s="516" t="s">
        <v>4</v>
      </c>
      <c r="H3" s="516"/>
      <c r="I3" s="523" t="s">
        <v>5</v>
      </c>
      <c r="J3" s="523"/>
      <c r="K3" s="523"/>
      <c r="L3" s="523"/>
      <c r="M3" s="523"/>
      <c r="N3" s="523"/>
      <c r="O3" s="523"/>
      <c r="P3" s="523"/>
      <c r="Q3" s="523"/>
      <c r="R3" s="523"/>
      <c r="S3" s="523"/>
      <c r="T3" s="523"/>
      <c r="U3" s="523"/>
      <c r="V3" s="523"/>
      <c r="W3" s="523"/>
      <c r="X3" s="523"/>
      <c r="Y3" s="523"/>
      <c r="Z3" s="523" t="s">
        <v>6</v>
      </c>
      <c r="AA3" s="523"/>
      <c r="AB3" s="523"/>
      <c r="AC3" s="528">
        <v>45547</v>
      </c>
      <c r="AD3" s="528"/>
      <c r="AE3" s="528"/>
      <c r="AF3" s="528"/>
      <c r="AG3" s="528"/>
      <c r="AH3" s="528"/>
      <c r="AI3" s="528"/>
    </row>
    <row r="4" s="510" customFormat="1" ht="36" customHeight="1" spans="1:35">
      <c r="A4" s="517" t="s">
        <v>7</v>
      </c>
      <c r="B4" s="517"/>
      <c r="C4" s="517"/>
      <c r="D4" s="517"/>
      <c r="E4" s="517"/>
      <c r="F4" s="517"/>
      <c r="G4" s="517"/>
      <c r="H4" s="517"/>
      <c r="I4" s="517"/>
      <c r="J4" s="517"/>
      <c r="K4" s="517"/>
      <c r="L4" s="517"/>
      <c r="M4" s="517"/>
      <c r="N4" s="517"/>
      <c r="O4" s="517"/>
      <c r="P4" s="517"/>
      <c r="Q4" s="517"/>
      <c r="R4" s="517"/>
      <c r="S4" s="517"/>
      <c r="T4" s="517"/>
      <c r="U4" s="517"/>
      <c r="V4" s="517"/>
      <c r="W4" s="517"/>
      <c r="X4" s="517"/>
      <c r="Y4" s="517"/>
      <c r="Z4" s="517" t="s">
        <v>8</v>
      </c>
      <c r="AA4" s="517"/>
      <c r="AB4" s="517"/>
      <c r="AC4" s="517"/>
      <c r="AD4" s="517"/>
      <c r="AE4" s="517"/>
      <c r="AF4" s="517"/>
      <c r="AG4" s="517"/>
      <c r="AH4" s="517"/>
      <c r="AI4" s="517"/>
    </row>
    <row r="5" s="510" customFormat="1" ht="36" customHeight="1" spans="1:35">
      <c r="A5" s="518" t="s">
        <v>9</v>
      </c>
      <c r="B5" s="518"/>
      <c r="C5" s="518"/>
      <c r="D5" s="518"/>
      <c r="E5" s="518"/>
      <c r="F5" s="518"/>
      <c r="G5" s="518"/>
      <c r="H5" s="518"/>
      <c r="I5" s="518"/>
      <c r="J5" s="518"/>
      <c r="K5" s="518"/>
      <c r="L5" s="518"/>
      <c r="M5" s="518"/>
      <c r="N5" s="518"/>
      <c r="O5" s="518"/>
      <c r="P5" s="518"/>
      <c r="Q5" s="518"/>
      <c r="R5" s="518"/>
      <c r="S5" s="518"/>
      <c r="T5" s="518"/>
      <c r="U5" s="518"/>
      <c r="V5" s="518"/>
      <c r="W5" s="518"/>
      <c r="X5" s="518"/>
      <c r="Y5" s="518"/>
      <c r="Z5" s="518"/>
      <c r="AA5" s="518"/>
      <c r="AB5" s="518"/>
      <c r="AC5" s="518"/>
      <c r="AD5" s="518"/>
      <c r="AE5" s="518"/>
      <c r="AF5" s="518"/>
      <c r="AG5" s="518"/>
      <c r="AH5" s="518"/>
      <c r="AI5" s="518"/>
    </row>
    <row r="6" s="510" customFormat="1" ht="36" customHeight="1" spans="1:35">
      <c r="A6" t="s">
        <v>10</v>
      </c>
      <c r="B6"/>
      <c r="C6"/>
      <c r="D6" t="s">
        <v>11</v>
      </c>
      <c r="E6"/>
      <c r="F6"/>
      <c r="G6"/>
      <c r="H6" t="s">
        <v>12</v>
      </c>
      <c r="I6"/>
      <c r="J6"/>
      <c r="K6"/>
      <c r="L6"/>
      <c r="M6"/>
      <c r="N6"/>
      <c r="O6"/>
      <c r="P6"/>
      <c r="Q6"/>
      <c r="R6"/>
      <c r="S6" s="525" t="s">
        <v>13</v>
      </c>
      <c r="T6" s="525"/>
      <c r="U6" s="525"/>
      <c r="V6" s="525"/>
      <c r="W6" s="525"/>
      <c r="X6" t="s">
        <v>14</v>
      </c>
      <c r="Y6"/>
      <c r="Z6"/>
      <c r="AA6"/>
      <c r="AB6"/>
      <c r="AC6"/>
      <c r="AD6"/>
      <c r="AE6"/>
      <c r="AF6"/>
      <c r="AG6" t="s">
        <v>15</v>
      </c>
      <c r="AH6"/>
      <c r="AI6"/>
    </row>
    <row r="7" s="510" customFormat="1" ht="36" customHeight="1" spans="1:35">
      <c r="A7" t="s">
        <v>16</v>
      </c>
      <c r="B7"/>
      <c r="C7"/>
      <c r="D7" t="s">
        <v>17</v>
      </c>
      <c r="E7"/>
      <c r="F7"/>
      <c r="G7"/>
      <c r="H7"/>
      <c r="I7"/>
      <c r="J7"/>
      <c r="K7"/>
      <c r="L7"/>
      <c r="M7"/>
      <c r="N7"/>
      <c r="O7"/>
      <c r="P7"/>
      <c r="Q7"/>
      <c r="R7"/>
      <c r="S7"/>
      <c r="T7"/>
      <c r="U7"/>
      <c r="V7"/>
      <c r="W7"/>
      <c r="X7" t="s">
        <v>18</v>
      </c>
      <c r="Y7"/>
      <c r="Z7"/>
      <c r="AA7"/>
      <c r="AB7"/>
      <c r="AC7"/>
      <c r="AD7"/>
      <c r="AE7"/>
      <c r="AF7"/>
      <c r="AG7">
        <v>195777000</v>
      </c>
      <c r="AH7"/>
      <c r="AI7"/>
    </row>
    <row r="8" s="510" customFormat="1" ht="36" customHeight="1" spans="1:35">
      <c r="A8" s="519" t="s">
        <v>19</v>
      </c>
      <c r="B8" s="520"/>
      <c r="C8" s="521"/>
      <c r="D8" s="519" t="s">
        <v>20</v>
      </c>
      <c r="E8" s="520"/>
      <c r="F8" s="520"/>
      <c r="G8" s="521"/>
      <c r="H8" t="s">
        <v>21</v>
      </c>
      <c r="I8"/>
      <c r="J8"/>
      <c r="K8"/>
      <c r="L8"/>
      <c r="M8"/>
      <c r="N8"/>
      <c r="O8"/>
      <c r="P8"/>
      <c r="Q8"/>
      <c r="R8"/>
      <c r="S8" s="519" t="s">
        <v>22</v>
      </c>
      <c r="T8" s="520"/>
      <c r="U8" s="520"/>
      <c r="V8" s="520"/>
      <c r="W8" s="521"/>
      <c r="X8" s="526" t="s">
        <v>23</v>
      </c>
      <c r="Y8" s="529"/>
      <c r="Z8" s="529"/>
      <c r="AA8" s="529"/>
      <c r="AB8" s="529"/>
      <c r="AC8" s="529"/>
      <c r="AD8" s="529"/>
      <c r="AE8" s="529"/>
      <c r="AF8" s="530"/>
      <c r="AG8" s="524">
        <v>42563</v>
      </c>
      <c r="AH8" s="524"/>
      <c r="AI8" s="524"/>
    </row>
    <row r="9" s="510" customFormat="1" ht="36" customHeight="1" spans="1:35">
      <c r="A9" t="s">
        <v>24</v>
      </c>
      <c r="B9"/>
      <c r="C9"/>
      <c r="D9">
        <v>40521.01</v>
      </c>
      <c r="E9"/>
      <c r="F9"/>
      <c r="G9"/>
      <c r="H9" t="s">
        <v>25</v>
      </c>
      <c r="I9"/>
      <c r="J9"/>
      <c r="K9"/>
      <c r="L9">
        <v>62251.88</v>
      </c>
      <c r="M9"/>
      <c r="N9"/>
      <c r="O9"/>
      <c r="P9"/>
      <c r="Q9"/>
      <c r="R9"/>
      <c r="S9" t="s">
        <v>26</v>
      </c>
      <c r="T9"/>
      <c r="U9"/>
      <c r="V9"/>
      <c r="W9"/>
      <c r="X9">
        <v>0</v>
      </c>
      <c r="Y9"/>
      <c r="Z9"/>
      <c r="AA9"/>
      <c r="AB9" t="s">
        <v>27</v>
      </c>
      <c r="AC9"/>
      <c r="AD9"/>
      <c r="AE9"/>
      <c r="AF9"/>
      <c r="AG9">
        <v>1.35</v>
      </c>
      <c r="AH9"/>
      <c r="AI9" s="533"/>
    </row>
    <row r="10" s="510" customFormat="1" ht="36" customHeight="1" spans="1:35">
      <c r="A10" t="s">
        <v>28</v>
      </c>
      <c r="B10"/>
      <c r="C10"/>
      <c r="D10">
        <v>0.35</v>
      </c>
      <c r="E10"/>
      <c r="F10"/>
      <c r="G10"/>
      <c r="H10" t="s">
        <v>29</v>
      </c>
      <c r="I10"/>
      <c r="J10"/>
      <c r="K10"/>
      <c r="L10" s="524">
        <v>43525</v>
      </c>
      <c r="M10" s="524"/>
      <c r="N10" s="524"/>
      <c r="O10" s="524"/>
      <c r="P10" s="524"/>
      <c r="Q10" s="524"/>
      <c r="R10" s="524"/>
      <c r="S10" t="s">
        <v>30</v>
      </c>
      <c r="T10"/>
      <c r="U10"/>
      <c r="V10"/>
      <c r="W10"/>
      <c r="X10" s="527">
        <v>45276</v>
      </c>
      <c r="Y10" s="531"/>
      <c r="Z10" s="531"/>
      <c r="AA10" s="532"/>
      <c r="AB10" t="s">
        <v>31</v>
      </c>
      <c r="AC10"/>
      <c r="AD10"/>
      <c r="AE10"/>
      <c r="AF10"/>
      <c r="AG10" s="524">
        <v>44148</v>
      </c>
      <c r="AH10" s="524"/>
      <c r="AI10" s="534"/>
    </row>
    <row r="11" s="510" customFormat="1" ht="36" customHeight="1" spans="1:35">
      <c r="A11" s="518" t="s">
        <v>32</v>
      </c>
      <c r="B11" s="518"/>
      <c r="C11" s="518"/>
      <c r="D11" s="518"/>
      <c r="E11" s="518"/>
      <c r="F11" s="518"/>
      <c r="G11" s="518"/>
      <c r="H11" s="518"/>
      <c r="I11" s="518"/>
      <c r="J11" s="518"/>
      <c r="K11" s="518"/>
      <c r="L11" s="518"/>
      <c r="M11" s="518"/>
      <c r="N11" s="518"/>
      <c r="O11" s="518"/>
      <c r="P11" s="518"/>
      <c r="Q11" s="518"/>
      <c r="R11" s="518"/>
      <c r="S11" s="518"/>
      <c r="T11" s="518"/>
      <c r="U11" s="518"/>
      <c r="V11" s="518"/>
      <c r="W11" s="518"/>
      <c r="X11" s="518"/>
      <c r="Y11" s="518"/>
      <c r="Z11" s="518"/>
      <c r="AA11" s="518"/>
      <c r="AB11" s="518"/>
      <c r="AC11" s="518"/>
      <c r="AD11" s="518"/>
      <c r="AE11" s="518"/>
      <c r="AF11" s="518"/>
      <c r="AG11" s="518"/>
      <c r="AH11" s="518"/>
      <c r="AI11" s="518"/>
    </row>
    <row r="12" s="510" customFormat="1" ht="36" customHeight="1" spans="1:35">
      <c r="A12" s="492" t="s">
        <v>33</v>
      </c>
      <c r="B12" s="492" t="s">
        <v>34</v>
      </c>
      <c r="C12" s="492" t="s">
        <v>35</v>
      </c>
      <c r="D12" s="492"/>
      <c r="E12" s="492"/>
      <c r="F12" s="492"/>
      <c r="G12" s="492"/>
      <c r="H12" s="492"/>
      <c r="I12" s="492"/>
      <c r="J12" s="492"/>
      <c r="K12" s="492"/>
      <c r="L12" s="492"/>
      <c r="M12" s="492"/>
      <c r="N12" s="492"/>
      <c r="O12" s="492"/>
      <c r="P12" s="492"/>
      <c r="Q12" s="492" t="s">
        <v>36</v>
      </c>
      <c r="R12" s="492"/>
      <c r="S12" s="492"/>
      <c r="T12" s="492"/>
      <c r="U12" s="492"/>
      <c r="V12" s="492"/>
      <c r="W12" s="492"/>
      <c r="X12" s="492"/>
      <c r="Y12" s="492"/>
      <c r="Z12" s="492"/>
      <c r="AA12" s="492" t="s">
        <v>37</v>
      </c>
      <c r="AB12" s="492"/>
      <c r="AC12" s="492"/>
      <c r="AD12" s="492"/>
      <c r="AE12" s="492"/>
      <c r="AF12" s="492"/>
      <c r="AG12" s="492"/>
      <c r="AH12" s="492"/>
      <c r="AI12" s="492"/>
    </row>
    <row r="13" s="510" customFormat="1" ht="36" customHeight="1" spans="1:35">
      <c r="A13" s="522" t="s">
        <v>38</v>
      </c>
      <c r="B13" s="522" t="s">
        <v>39</v>
      </c>
      <c r="C13" t="s">
        <v>40</v>
      </c>
      <c r="D13"/>
      <c r="E13"/>
      <c r="F13"/>
      <c r="G13"/>
      <c r="H13"/>
      <c r="I13"/>
      <c r="J13"/>
      <c r="K13"/>
      <c r="L13"/>
      <c r="M13"/>
      <c r="N13"/>
      <c r="O13"/>
      <c r="P13"/>
      <c r="Q13">
        <v>82660000</v>
      </c>
      <c r="R13"/>
      <c r="S13"/>
      <c r="T13"/>
      <c r="U13"/>
      <c r="V13"/>
      <c r="W13"/>
      <c r="X13"/>
      <c r="Y13"/>
      <c r="Z13"/>
      <c r="AA13">
        <v>23850</v>
      </c>
      <c r="AB13"/>
      <c r="AC13"/>
      <c r="AD13"/>
      <c r="AE13"/>
      <c r="AF13"/>
      <c r="AG13"/>
      <c r="AH13"/>
      <c r="AI13"/>
    </row>
    <row r="14" s="510" customFormat="1" ht="36" customHeight="1" spans="1:35">
      <c r="A14" t="s">
        <v>41</v>
      </c>
      <c r="B14" t="s">
        <v>42</v>
      </c>
      <c r="C14" t="s">
        <v>43</v>
      </c>
      <c r="D14"/>
      <c r="E14"/>
      <c r="F14"/>
      <c r="G14"/>
      <c r="H14"/>
      <c r="I14"/>
      <c r="J14"/>
      <c r="K14"/>
      <c r="L14"/>
      <c r="M14"/>
      <c r="N14"/>
      <c r="O14"/>
      <c r="P14"/>
      <c r="Q14">
        <v>7245000</v>
      </c>
      <c r="R14"/>
      <c r="S14"/>
      <c r="T14"/>
      <c r="U14"/>
      <c r="V14"/>
      <c r="W14"/>
      <c r="X14"/>
      <c r="Y14"/>
      <c r="Z14"/>
      <c r="AA14">
        <v>1990</v>
      </c>
      <c r="AB14"/>
      <c r="AC14"/>
      <c r="AD14"/>
      <c r="AE14"/>
      <c r="AF14"/>
      <c r="AG14"/>
      <c r="AH14"/>
      <c r="AI14"/>
    </row>
    <row r="15" s="510" customFormat="1" ht="36" customHeight="1" spans="1:35">
      <c r="A15" t="s">
        <v>44</v>
      </c>
      <c r="B15" t="s">
        <v>45</v>
      </c>
      <c r="C15" t="s">
        <v>46</v>
      </c>
      <c r="D15"/>
      <c r="E15"/>
      <c r="F15"/>
      <c r="G15"/>
      <c r="H15"/>
      <c r="I15"/>
      <c r="J15"/>
      <c r="K15"/>
      <c r="L15"/>
      <c r="M15"/>
      <c r="N15"/>
      <c r="O15"/>
      <c r="P15"/>
      <c r="Q15">
        <v>96730000</v>
      </c>
      <c r="R15"/>
      <c r="S15"/>
      <c r="T15"/>
      <c r="U15"/>
      <c r="V15"/>
      <c r="W15"/>
      <c r="X15"/>
      <c r="Y15"/>
      <c r="Z15"/>
      <c r="AA15">
        <v>34911.88</v>
      </c>
      <c r="AB15"/>
      <c r="AC15"/>
      <c r="AD15"/>
      <c r="AE15"/>
      <c r="AF15"/>
      <c r="AG15"/>
      <c r="AH15"/>
      <c r="AI15"/>
    </row>
    <row r="16" s="510" customFormat="1" ht="36" customHeight="1" spans="1:35">
      <c r="A16" t="s">
        <v>47</v>
      </c>
      <c r="B16" t="s">
        <v>48</v>
      </c>
      <c r="C16" t="s">
        <v>49</v>
      </c>
      <c r="D16"/>
      <c r="E16"/>
      <c r="F16"/>
      <c r="G16"/>
      <c r="H16"/>
      <c r="I16"/>
      <c r="J16"/>
      <c r="K16"/>
      <c r="L16"/>
      <c r="M16"/>
      <c r="N16"/>
      <c r="O16"/>
      <c r="P16"/>
      <c r="Q16">
        <v>4500000</v>
      </c>
      <c r="R16"/>
      <c r="S16"/>
      <c r="T16"/>
      <c r="U16"/>
      <c r="V16"/>
      <c r="W16"/>
      <c r="X16"/>
      <c r="Y16"/>
      <c r="Z16"/>
      <c r="AA16">
        <v>1500</v>
      </c>
      <c r="AB16"/>
      <c r="AC16"/>
      <c r="AD16"/>
      <c r="AE16"/>
      <c r="AF16"/>
      <c r="AG16"/>
      <c r="AH16"/>
      <c r="AI16"/>
    </row>
    <row r="17" s="510" customFormat="1" ht="36" customHeight="1" spans="1:35">
      <c r="A17" s="518" t="s">
        <v>50</v>
      </c>
      <c r="B17" s="518"/>
      <c r="C17" s="518"/>
      <c r="D17" s="518"/>
      <c r="E17" s="518"/>
      <c r="F17" s="518"/>
      <c r="G17" s="518"/>
      <c r="H17" s="518"/>
      <c r="I17" s="518"/>
      <c r="J17" s="518"/>
      <c r="K17" s="518"/>
      <c r="L17" s="518"/>
      <c r="M17" s="518"/>
      <c r="N17" s="518"/>
      <c r="O17" s="518"/>
      <c r="P17" s="518"/>
      <c r="Q17" s="518"/>
      <c r="R17" s="518"/>
      <c r="S17" s="518"/>
      <c r="T17" s="518"/>
      <c r="U17" s="518"/>
      <c r="V17" s="518"/>
      <c r="W17" s="518"/>
      <c r="X17" s="518"/>
      <c r="Y17" s="518"/>
      <c r="Z17" s="518"/>
      <c r="AA17" s="518"/>
      <c r="AB17" s="518"/>
      <c r="AC17" s="518"/>
      <c r="AD17" s="518"/>
      <c r="AE17" s="518"/>
      <c r="AF17" s="518"/>
      <c r="AG17" s="518"/>
      <c r="AH17" s="518"/>
      <c r="AI17" s="518"/>
    </row>
    <row r="18" s="510" customFormat="1" ht="36" customHeight="1" spans="1:35">
      <c r="A18" s="492" t="s">
        <v>33</v>
      </c>
      <c r="B18" s="492" t="s">
        <v>51</v>
      </c>
      <c r="C18" s="492" t="s">
        <v>52</v>
      </c>
      <c r="D18" s="492"/>
      <c r="E18" s="492"/>
      <c r="F18" s="492"/>
      <c r="G18" s="492"/>
      <c r="H18" s="492" t="s">
        <v>53</v>
      </c>
      <c r="I18" s="492"/>
      <c r="J18" s="492"/>
      <c r="K18" s="492"/>
      <c r="L18" s="492"/>
      <c r="M18" s="492"/>
      <c r="N18" s="492"/>
      <c r="O18" s="492" t="s">
        <v>54</v>
      </c>
      <c r="P18" s="492"/>
      <c r="Q18" s="492"/>
      <c r="R18" s="492"/>
      <c r="S18" s="492"/>
      <c r="T18" s="492"/>
      <c r="U18" s="492"/>
      <c r="V18" s="492"/>
      <c r="W18" s="492"/>
      <c r="X18" s="492" t="s">
        <v>55</v>
      </c>
      <c r="Y18" s="492"/>
      <c r="Z18" s="492"/>
      <c r="AA18" s="492" t="s">
        <v>56</v>
      </c>
      <c r="AB18" s="492"/>
      <c r="AC18" s="492"/>
      <c r="AD18" s="492"/>
      <c r="AE18" s="492" t="s">
        <v>57</v>
      </c>
      <c r="AF18" s="492"/>
      <c r="AG18" s="492" t="s">
        <v>58</v>
      </c>
      <c r="AH18" s="492"/>
      <c r="AI18" s="492"/>
    </row>
    <row r="19" s="510" customFormat="1" ht="36" customHeight="1" spans="1:35">
      <c r="A19" s="522" t="s">
        <v>38</v>
      </c>
      <c r="B19" s="522" t="s">
        <v>59</v>
      </c>
      <c r="C19" t="s">
        <v>60</v>
      </c>
      <c r="D19"/>
      <c r="E19"/>
      <c r="F19"/>
      <c r="G19"/>
      <c r="H19" t="s">
        <v>61</v>
      </c>
      <c r="I19"/>
      <c r="J19"/>
      <c r="K19"/>
      <c r="L19"/>
      <c r="M19"/>
      <c r="N19"/>
      <c r="O19" t="s">
        <v>62</v>
      </c>
      <c r="P19"/>
      <c r="Q19"/>
      <c r="R19"/>
      <c r="S19"/>
      <c r="T19"/>
      <c r="U19"/>
      <c r="V19"/>
      <c r="W19"/>
      <c r="X19" t="s">
        <v>63</v>
      </c>
      <c r="Y19"/>
      <c r="Z19"/>
      <c r="AA19">
        <v>40521.01</v>
      </c>
      <c r="AB19"/>
      <c r="AC19"/>
      <c r="AD19"/>
      <c r="AE19">
        <v>50</v>
      </c>
      <c r="AF19"/>
      <c r="AG19" s="527" t="s">
        <v>64</v>
      </c>
      <c r="AH19" s="531"/>
      <c r="AI19" s="532"/>
    </row>
    <row r="20" s="510" customFormat="1" ht="36" customHeight="1" spans="1:35">
      <c r="A20" s="518" t="s">
        <v>65</v>
      </c>
      <c r="B20" s="518"/>
      <c r="C20" s="518"/>
      <c r="D20" s="518"/>
      <c r="E20" s="518"/>
      <c r="F20" s="518"/>
      <c r="G20" s="518"/>
      <c r="H20" s="518"/>
      <c r="I20" s="518"/>
      <c r="J20" s="518"/>
      <c r="K20" s="518"/>
      <c r="L20" s="518"/>
      <c r="M20" s="518"/>
      <c r="N20" s="518"/>
      <c r="O20" s="518"/>
      <c r="P20" s="518"/>
      <c r="Q20" s="518"/>
      <c r="R20" s="518"/>
      <c r="S20" s="518"/>
      <c r="T20" s="518"/>
      <c r="U20" s="518"/>
      <c r="V20" s="518"/>
      <c r="W20" s="518"/>
      <c r="X20" s="518"/>
      <c r="Y20" s="518"/>
      <c r="Z20" s="518"/>
      <c r="AA20" s="518"/>
      <c r="AB20" s="518"/>
      <c r="AC20" s="518"/>
      <c r="AD20" s="518"/>
      <c r="AE20" s="518"/>
      <c r="AF20" s="518"/>
      <c r="AG20" s="518"/>
      <c r="AH20" s="518"/>
      <c r="AI20" s="518"/>
    </row>
    <row r="21" s="510" customFormat="1" ht="36" customHeight="1" spans="1:35">
      <c r="A21" s="492" t="s">
        <v>33</v>
      </c>
      <c r="B21" s="492" t="s">
        <v>66</v>
      </c>
      <c r="C21" s="492" t="s">
        <v>67</v>
      </c>
      <c r="D21" s="492"/>
      <c r="E21" s="492"/>
      <c r="F21" s="492"/>
      <c r="G21" s="492"/>
      <c r="H21" s="492" t="s">
        <v>68</v>
      </c>
      <c r="I21" s="492"/>
      <c r="J21" s="492"/>
      <c r="K21" s="492"/>
      <c r="L21" s="492"/>
      <c r="M21" s="492"/>
      <c r="N21" s="492"/>
      <c r="O21" s="492"/>
      <c r="P21" s="492"/>
      <c r="Q21" s="492"/>
      <c r="R21" s="492"/>
      <c r="S21" s="492" t="s">
        <v>55</v>
      </c>
      <c r="T21" s="492"/>
      <c r="U21" s="492"/>
      <c r="V21" s="492" t="s">
        <v>69</v>
      </c>
      <c r="W21" s="492"/>
      <c r="X21" s="492"/>
      <c r="Y21" s="492"/>
      <c r="Z21" s="492"/>
      <c r="AA21" s="492" t="s">
        <v>70</v>
      </c>
      <c r="AB21" s="492"/>
      <c r="AC21" s="492"/>
      <c r="AD21" s="492"/>
      <c r="AE21" s="492"/>
      <c r="AF21" s="492"/>
      <c r="AG21" s="492" t="s">
        <v>71</v>
      </c>
      <c r="AH21" s="492"/>
      <c r="AI21" s="492"/>
    </row>
    <row r="22" s="510" customFormat="1" ht="36" customHeight="1" spans="1:35">
      <c r="A22" s="522" t="s">
        <v>38</v>
      </c>
      <c r="B22" s="522" t="s">
        <v>72</v>
      </c>
      <c r="C22" t="s">
        <v>73</v>
      </c>
      <c r="D22"/>
      <c r="E22"/>
      <c r="F22"/>
      <c r="G22"/>
      <c r="H22" t="s">
        <v>74</v>
      </c>
      <c r="I22"/>
      <c r="J22"/>
      <c r="K22"/>
      <c r="L22"/>
      <c r="M22"/>
      <c r="N22"/>
      <c r="O22"/>
      <c r="P22"/>
      <c r="Q22"/>
      <c r="R22"/>
      <c r="S22" t="s">
        <v>63</v>
      </c>
      <c r="T22"/>
      <c r="U22"/>
      <c r="V22">
        <v>152091.92</v>
      </c>
      <c r="W22"/>
      <c r="X22"/>
      <c r="Y22"/>
      <c r="Z22"/>
      <c r="AA22">
        <v>153614.47</v>
      </c>
      <c r="AB22"/>
      <c r="AC22"/>
      <c r="AD22"/>
      <c r="AE22"/>
      <c r="AF22"/>
      <c r="AG22" s="524" t="s">
        <v>75</v>
      </c>
      <c r="AH22"/>
      <c r="AI22"/>
    </row>
    <row r="23" s="510" customFormat="1" ht="36" customHeight="1" spans="1:35">
      <c r="A23" s="518" t="s">
        <v>76</v>
      </c>
      <c r="B23" s="518"/>
      <c r="C23" s="518"/>
      <c r="D23" s="518"/>
      <c r="E23" s="518"/>
      <c r="F23" s="518"/>
      <c r="G23" s="518"/>
      <c r="H23" s="518"/>
      <c r="I23" s="518"/>
      <c r="J23" s="518"/>
      <c r="K23" s="518"/>
      <c r="L23" s="518"/>
      <c r="M23" s="518"/>
      <c r="N23" s="518"/>
      <c r="O23" s="518"/>
      <c r="P23" s="518"/>
      <c r="Q23" s="518"/>
      <c r="R23" s="518"/>
      <c r="S23" s="518"/>
      <c r="T23" s="518"/>
      <c r="U23" s="518"/>
      <c r="V23" s="518"/>
      <c r="W23" s="518"/>
      <c r="X23" s="518"/>
      <c r="Y23" s="518"/>
      <c r="Z23" s="518"/>
      <c r="AA23" s="518"/>
      <c r="AB23" s="518"/>
      <c r="AC23" s="518"/>
      <c r="AD23" s="518"/>
      <c r="AE23" s="518"/>
      <c r="AF23" s="518"/>
      <c r="AG23" s="518"/>
      <c r="AH23" s="518"/>
      <c r="AI23" s="518"/>
    </row>
    <row r="24" s="510" customFormat="1" ht="36" customHeight="1" spans="1:35">
      <c r="A24" s="492" t="s">
        <v>33</v>
      </c>
      <c r="B24" s="492" t="s">
        <v>77</v>
      </c>
      <c r="C24" s="492" t="s">
        <v>78</v>
      </c>
      <c r="D24" s="492"/>
      <c r="E24" s="492"/>
      <c r="F24" s="492"/>
      <c r="G24" s="492"/>
      <c r="H24" s="492" t="s">
        <v>79</v>
      </c>
      <c r="I24" s="492"/>
      <c r="J24" s="492"/>
      <c r="K24" s="492"/>
      <c r="L24" s="492"/>
      <c r="M24" s="492"/>
      <c r="N24" s="492"/>
      <c r="O24" s="492"/>
      <c r="P24" s="492"/>
      <c r="Q24" s="492"/>
      <c r="R24" s="492"/>
      <c r="S24" s="492" t="s">
        <v>70</v>
      </c>
      <c r="T24" s="492"/>
      <c r="U24" s="492"/>
      <c r="V24" s="492"/>
      <c r="W24" s="492"/>
      <c r="X24" s="492"/>
      <c r="Y24" s="492"/>
      <c r="Z24" s="492"/>
      <c r="AA24" s="492" t="s">
        <v>80</v>
      </c>
      <c r="AB24" s="492"/>
      <c r="AC24" s="492"/>
      <c r="AD24" s="492"/>
      <c r="AE24" s="492"/>
      <c r="AF24" s="492"/>
      <c r="AG24" s="492"/>
      <c r="AH24" s="492"/>
      <c r="AI24" s="492"/>
    </row>
    <row r="25" s="510" customFormat="1" ht="36" customHeight="1" spans="1:35">
      <c r="A25" s="522" t="s">
        <v>38</v>
      </c>
      <c r="B25" s="522" t="s">
        <v>81</v>
      </c>
      <c r="C25" t="s">
        <v>82</v>
      </c>
      <c r="D25"/>
      <c r="E25"/>
      <c r="F25"/>
      <c r="G25"/>
      <c r="H25" t="s">
        <v>83</v>
      </c>
      <c r="I25"/>
      <c r="J25"/>
      <c r="K25"/>
      <c r="L25"/>
      <c r="M25"/>
      <c r="N25"/>
      <c r="O25"/>
      <c r="P25"/>
      <c r="Q25"/>
      <c r="R25"/>
      <c r="S25">
        <v>5183.21</v>
      </c>
      <c r="T25"/>
      <c r="U25"/>
      <c r="V25"/>
      <c r="W25"/>
      <c r="X25"/>
      <c r="Y25"/>
      <c r="Z25"/>
      <c r="AA25" s="524" t="s">
        <v>84</v>
      </c>
      <c r="AB25" s="524"/>
      <c r="AC25" s="524"/>
      <c r="AD25" s="524"/>
      <c r="AE25" s="524"/>
      <c r="AF25" s="524"/>
      <c r="AG25" s="524"/>
      <c r="AH25" s="524"/>
      <c r="AI25" s="524"/>
    </row>
    <row r="26" s="510" customFormat="1" ht="36" customHeight="1" spans="1:35">
      <c r="A26" t="s">
        <v>41</v>
      </c>
      <c r="B26" t="s">
        <v>85</v>
      </c>
      <c r="C26" t="s">
        <v>86</v>
      </c>
      <c r="D26"/>
      <c r="E26"/>
      <c r="F26"/>
      <c r="G26"/>
      <c r="H26" t="s">
        <v>83</v>
      </c>
      <c r="I26"/>
      <c r="J26"/>
      <c r="K26"/>
      <c r="L26"/>
      <c r="M26"/>
      <c r="N26"/>
      <c r="O26"/>
      <c r="P26"/>
      <c r="Q26"/>
      <c r="R26"/>
      <c r="S26">
        <v>1404.12</v>
      </c>
      <c r="T26"/>
      <c r="U26"/>
      <c r="V26"/>
      <c r="W26"/>
      <c r="X26"/>
      <c r="Y26"/>
      <c r="Z26"/>
      <c r="AA26" t="s">
        <v>87</v>
      </c>
      <c r="AB26"/>
      <c r="AC26"/>
      <c r="AD26"/>
      <c r="AE26"/>
      <c r="AF26"/>
      <c r="AG26"/>
      <c r="AH26"/>
      <c r="AI26"/>
    </row>
    <row r="27" s="510" customFormat="1" ht="36" customHeight="1" spans="1:35">
      <c r="A27" t="s">
        <v>44</v>
      </c>
      <c r="B27" t="s">
        <v>88</v>
      </c>
      <c r="C27" t="s">
        <v>89</v>
      </c>
      <c r="D27"/>
      <c r="E27"/>
      <c r="F27"/>
      <c r="G27"/>
      <c r="H27" t="s">
        <v>83</v>
      </c>
      <c r="I27"/>
      <c r="J27"/>
      <c r="K27"/>
      <c r="L27"/>
      <c r="M27"/>
      <c r="N27"/>
      <c r="O27"/>
      <c r="P27"/>
      <c r="Q27"/>
      <c r="R27"/>
      <c r="S27">
        <v>4732.91</v>
      </c>
      <c r="T27"/>
      <c r="U27"/>
      <c r="V27"/>
      <c r="W27"/>
      <c r="X27"/>
      <c r="Y27"/>
      <c r="Z27"/>
      <c r="AA27" t="s">
        <v>84</v>
      </c>
      <c r="AB27"/>
      <c r="AC27"/>
      <c r="AD27"/>
      <c r="AE27"/>
      <c r="AF27"/>
      <c r="AG27"/>
      <c r="AH27"/>
      <c r="AI27"/>
    </row>
    <row r="28" s="510" customFormat="1" ht="36" customHeight="1" spans="1:35">
      <c r="A28" t="s">
        <v>47</v>
      </c>
      <c r="B28" t="s">
        <v>90</v>
      </c>
      <c r="C28" t="s">
        <v>91</v>
      </c>
      <c r="D28"/>
      <c r="E28"/>
      <c r="F28"/>
      <c r="G28"/>
      <c r="H28" t="s">
        <v>83</v>
      </c>
      <c r="I28"/>
      <c r="J28"/>
      <c r="K28"/>
      <c r="L28"/>
      <c r="M28"/>
      <c r="N28"/>
      <c r="O28"/>
      <c r="P28"/>
      <c r="Q28"/>
      <c r="R28"/>
      <c r="S28">
        <v>895.28</v>
      </c>
      <c r="T28"/>
      <c r="U28"/>
      <c r="V28"/>
      <c r="W28"/>
      <c r="X28"/>
      <c r="Y28"/>
      <c r="Z28"/>
      <c r="AA28" t="s">
        <v>84</v>
      </c>
      <c r="AB28"/>
      <c r="AC28"/>
      <c r="AD28"/>
      <c r="AE28"/>
      <c r="AF28"/>
      <c r="AG28"/>
      <c r="AH28"/>
      <c r="AI28"/>
    </row>
    <row r="29" s="510" customFormat="1" ht="36" customHeight="1" spans="1:35">
      <c r="A29" t="s">
        <v>92</v>
      </c>
      <c r="B29" t="s">
        <v>93</v>
      </c>
      <c r="C29" t="s">
        <v>94</v>
      </c>
      <c r="D29"/>
      <c r="E29"/>
      <c r="F29"/>
      <c r="G29"/>
      <c r="H29" t="s">
        <v>95</v>
      </c>
      <c r="I29"/>
      <c r="J29"/>
      <c r="K29"/>
      <c r="L29"/>
      <c r="M29"/>
      <c r="N29"/>
      <c r="O29"/>
      <c r="P29"/>
      <c r="Q29"/>
      <c r="R29"/>
      <c r="S29">
        <v>4903.17</v>
      </c>
      <c r="T29"/>
      <c r="U29"/>
      <c r="V29"/>
      <c r="W29"/>
      <c r="X29"/>
      <c r="Y29"/>
      <c r="Z29"/>
      <c r="AA29" t="s">
        <v>96</v>
      </c>
      <c r="AB29"/>
      <c r="AC29"/>
      <c r="AD29"/>
      <c r="AE29"/>
      <c r="AF29"/>
      <c r="AG29"/>
      <c r="AH29"/>
      <c r="AI29"/>
    </row>
    <row r="30" s="510" customFormat="1" ht="36" customHeight="1" spans="1:35">
      <c r="A30" t="s">
        <v>97</v>
      </c>
      <c r="B30" t="s">
        <v>98</v>
      </c>
      <c r="C30" t="s">
        <v>99</v>
      </c>
      <c r="D30"/>
      <c r="E30"/>
      <c r="F30"/>
      <c r="G30"/>
      <c r="H30" t="s">
        <v>83</v>
      </c>
      <c r="I30"/>
      <c r="J30"/>
      <c r="K30"/>
      <c r="L30"/>
      <c r="M30"/>
      <c r="N30"/>
      <c r="O30"/>
      <c r="P30"/>
      <c r="Q30"/>
      <c r="R30"/>
      <c r="S30">
        <v>4249.54</v>
      </c>
      <c r="T30"/>
      <c r="U30"/>
      <c r="V30"/>
      <c r="W30"/>
      <c r="X30"/>
      <c r="Y30"/>
      <c r="Z30"/>
      <c r="AA30" t="s">
        <v>84</v>
      </c>
      <c r="AB30"/>
      <c r="AC30"/>
      <c r="AD30"/>
      <c r="AE30"/>
      <c r="AF30"/>
      <c r="AG30"/>
      <c r="AH30"/>
      <c r="AI30"/>
    </row>
    <row r="31" s="510" customFormat="1" ht="36" customHeight="1" spans="1:35">
      <c r="A31" t="s">
        <v>100</v>
      </c>
      <c r="B31" t="s">
        <v>101</v>
      </c>
      <c r="C31" t="s">
        <v>102</v>
      </c>
      <c r="D31"/>
      <c r="E31"/>
      <c r="F31"/>
      <c r="G31"/>
      <c r="H31" t="s">
        <v>103</v>
      </c>
      <c r="I31"/>
      <c r="J31"/>
      <c r="K31"/>
      <c r="L31"/>
      <c r="M31"/>
      <c r="N31"/>
      <c r="O31"/>
      <c r="P31"/>
      <c r="Q31"/>
      <c r="R31"/>
      <c r="S31">
        <v>1966.65</v>
      </c>
      <c r="T31"/>
      <c r="U31"/>
      <c r="V31"/>
      <c r="W31"/>
      <c r="X31"/>
      <c r="Y31"/>
      <c r="Z31"/>
      <c r="AA31" t="s">
        <v>104</v>
      </c>
      <c r="AB31"/>
      <c r="AC31"/>
      <c r="AD31"/>
      <c r="AE31"/>
      <c r="AF31"/>
      <c r="AG31"/>
      <c r="AH31"/>
      <c r="AI31"/>
    </row>
    <row r="32" s="510" customFormat="1" ht="36" customHeight="1" spans="1:35">
      <c r="A32" t="s">
        <v>105</v>
      </c>
      <c r="B32" t="s">
        <v>106</v>
      </c>
      <c r="C32" t="s">
        <v>107</v>
      </c>
      <c r="D32"/>
      <c r="E32"/>
      <c r="F32"/>
      <c r="G32"/>
      <c r="H32" t="s">
        <v>108</v>
      </c>
      <c r="I32"/>
      <c r="J32"/>
      <c r="K32"/>
      <c r="L32"/>
      <c r="M32"/>
      <c r="N32"/>
      <c r="O32"/>
      <c r="P32"/>
      <c r="Q32"/>
      <c r="R32"/>
      <c r="S32">
        <v>5457.54</v>
      </c>
      <c r="T32"/>
      <c r="U32"/>
      <c r="V32"/>
      <c r="W32"/>
      <c r="X32"/>
      <c r="Y32"/>
      <c r="Z32"/>
      <c r="AA32" t="s">
        <v>96</v>
      </c>
      <c r="AB32"/>
      <c r="AC32"/>
      <c r="AD32"/>
      <c r="AE32"/>
      <c r="AF32"/>
      <c r="AG32"/>
      <c r="AH32"/>
      <c r="AI32"/>
    </row>
    <row r="33" s="510" customFormat="1" ht="36" customHeight="1" spans="1:35">
      <c r="A33" t="s">
        <v>109</v>
      </c>
      <c r="B33" t="s">
        <v>110</v>
      </c>
      <c r="C33" t="s">
        <v>111</v>
      </c>
      <c r="D33"/>
      <c r="E33"/>
      <c r="F33"/>
      <c r="G33"/>
      <c r="H33" t="s">
        <v>108</v>
      </c>
      <c r="I33"/>
      <c r="J33"/>
      <c r="K33"/>
      <c r="L33"/>
      <c r="M33"/>
      <c r="N33"/>
      <c r="O33"/>
      <c r="P33"/>
      <c r="Q33"/>
      <c r="R33"/>
      <c r="S33">
        <v>5342.5</v>
      </c>
      <c r="T33"/>
      <c r="U33"/>
      <c r="V33"/>
      <c r="W33"/>
      <c r="X33"/>
      <c r="Y33"/>
      <c r="Z33"/>
      <c r="AA33" t="s">
        <v>96</v>
      </c>
      <c r="AB33"/>
      <c r="AC33"/>
      <c r="AD33"/>
      <c r="AE33"/>
      <c r="AF33"/>
      <c r="AG33"/>
      <c r="AH33"/>
      <c r="AI33"/>
    </row>
    <row r="34" s="510" customFormat="1" ht="36" customHeight="1" spans="1:35">
      <c r="A34" t="s">
        <v>112</v>
      </c>
      <c r="B34" t="s">
        <v>113</v>
      </c>
      <c r="C34" t="s">
        <v>114</v>
      </c>
      <c r="D34"/>
      <c r="E34"/>
      <c r="F34"/>
      <c r="G34"/>
      <c r="H34" t="s">
        <v>83</v>
      </c>
      <c r="I34"/>
      <c r="J34"/>
      <c r="K34"/>
      <c r="L34"/>
      <c r="M34"/>
      <c r="N34"/>
      <c r="O34"/>
      <c r="P34"/>
      <c r="Q34"/>
      <c r="R34"/>
      <c r="S34">
        <v>4249.54</v>
      </c>
      <c r="T34"/>
      <c r="U34"/>
      <c r="V34"/>
      <c r="W34"/>
      <c r="X34"/>
      <c r="Y34"/>
      <c r="Z34"/>
      <c r="AA34" t="s">
        <v>84</v>
      </c>
      <c r="AB34"/>
      <c r="AC34"/>
      <c r="AD34"/>
      <c r="AE34"/>
      <c r="AF34"/>
      <c r="AG34"/>
      <c r="AH34"/>
      <c r="AI34"/>
    </row>
    <row r="35" s="510" customFormat="1" ht="36" customHeight="1" spans="1:35">
      <c r="A35" t="s">
        <v>115</v>
      </c>
      <c r="B35" t="s">
        <v>116</v>
      </c>
      <c r="C35" t="s">
        <v>117</v>
      </c>
      <c r="D35"/>
      <c r="E35"/>
      <c r="F35"/>
      <c r="G35"/>
      <c r="H35" t="s">
        <v>83</v>
      </c>
      <c r="I35"/>
      <c r="J35"/>
      <c r="K35"/>
      <c r="L35"/>
      <c r="M35"/>
      <c r="N35"/>
      <c r="O35"/>
      <c r="P35"/>
      <c r="Q35"/>
      <c r="R35"/>
      <c r="S35">
        <v>4249.54</v>
      </c>
      <c r="T35"/>
      <c r="U35"/>
      <c r="V35"/>
      <c r="W35"/>
      <c r="X35"/>
      <c r="Y35"/>
      <c r="Z35"/>
      <c r="AA35" t="s">
        <v>84</v>
      </c>
      <c r="AB35"/>
      <c r="AC35"/>
      <c r="AD35"/>
      <c r="AE35"/>
      <c r="AF35"/>
      <c r="AG35"/>
      <c r="AH35"/>
      <c r="AI35"/>
    </row>
    <row r="36" s="510" customFormat="1" ht="36" customHeight="1" spans="1:35">
      <c r="A36" t="s">
        <v>118</v>
      </c>
      <c r="B36" t="s">
        <v>119</v>
      </c>
      <c r="C36" t="s">
        <v>120</v>
      </c>
      <c r="D36"/>
      <c r="E36"/>
      <c r="F36"/>
      <c r="G36"/>
      <c r="H36" t="s">
        <v>83</v>
      </c>
      <c r="I36"/>
      <c r="J36"/>
      <c r="K36"/>
      <c r="L36"/>
      <c r="M36"/>
      <c r="N36"/>
      <c r="O36"/>
      <c r="P36"/>
      <c r="Q36"/>
      <c r="R36"/>
      <c r="S36">
        <v>957.92</v>
      </c>
      <c r="T36"/>
      <c r="U36"/>
      <c r="V36"/>
      <c r="W36"/>
      <c r="X36"/>
      <c r="Y36"/>
      <c r="Z36"/>
      <c r="AA36" t="s">
        <v>84</v>
      </c>
      <c r="AB36"/>
      <c r="AC36"/>
      <c r="AD36"/>
      <c r="AE36"/>
      <c r="AF36"/>
      <c r="AG36"/>
      <c r="AH36"/>
      <c r="AI36"/>
    </row>
    <row r="37" s="510" customFormat="1" ht="36" customHeight="1" spans="1:35">
      <c r="A37" t="s">
        <v>121</v>
      </c>
      <c r="B37" t="s">
        <v>122</v>
      </c>
      <c r="C37" t="s">
        <v>123</v>
      </c>
      <c r="D37"/>
      <c r="E37"/>
      <c r="F37"/>
      <c r="G37"/>
      <c r="H37" t="s">
        <v>108</v>
      </c>
      <c r="I37"/>
      <c r="J37"/>
      <c r="K37"/>
      <c r="L37"/>
      <c r="M37"/>
      <c r="N37"/>
      <c r="O37"/>
      <c r="P37"/>
      <c r="Q37"/>
      <c r="R37"/>
      <c r="S37">
        <v>4538.24</v>
      </c>
      <c r="T37"/>
      <c r="U37"/>
      <c r="V37"/>
      <c r="W37"/>
      <c r="X37"/>
      <c r="Y37"/>
      <c r="Z37"/>
      <c r="AA37" t="s">
        <v>96</v>
      </c>
      <c r="AB37"/>
      <c r="AC37"/>
      <c r="AD37"/>
      <c r="AE37"/>
      <c r="AF37"/>
      <c r="AG37"/>
      <c r="AH37"/>
      <c r="AI37"/>
    </row>
    <row r="38" s="510" customFormat="1" ht="36" customHeight="1" spans="1:35">
      <c r="A38" t="s">
        <v>124</v>
      </c>
      <c r="B38" t="s">
        <v>125</v>
      </c>
      <c r="C38" t="s">
        <v>126</v>
      </c>
      <c r="D38"/>
      <c r="E38"/>
      <c r="F38"/>
      <c r="G38"/>
      <c r="H38" t="s">
        <v>83</v>
      </c>
      <c r="I38"/>
      <c r="J38"/>
      <c r="K38"/>
      <c r="L38"/>
      <c r="M38"/>
      <c r="N38"/>
      <c r="O38"/>
      <c r="P38"/>
      <c r="Q38"/>
      <c r="R38"/>
      <c r="S38">
        <v>1180.48</v>
      </c>
      <c r="T38"/>
      <c r="U38"/>
      <c r="V38"/>
      <c r="W38"/>
      <c r="X38"/>
      <c r="Y38"/>
      <c r="Z38"/>
      <c r="AA38" t="s">
        <v>84</v>
      </c>
      <c r="AB38"/>
      <c r="AC38"/>
      <c r="AD38"/>
      <c r="AE38"/>
      <c r="AF38"/>
      <c r="AG38"/>
      <c r="AH38"/>
      <c r="AI38"/>
    </row>
    <row r="39" s="510" customFormat="1" ht="36" customHeight="1" spans="1:35">
      <c r="A39" t="s">
        <v>127</v>
      </c>
      <c r="B39" t="s">
        <v>128</v>
      </c>
      <c r="C39" t="s">
        <v>129</v>
      </c>
      <c r="D39"/>
      <c r="E39"/>
      <c r="F39"/>
      <c r="G39"/>
      <c r="H39" t="s">
        <v>130</v>
      </c>
      <c r="I39"/>
      <c r="J39"/>
      <c r="K39"/>
      <c r="L39"/>
      <c r="M39"/>
      <c r="N39"/>
      <c r="O39"/>
      <c r="P39"/>
      <c r="Q39"/>
      <c r="R39"/>
      <c r="S39">
        <v>1220.77</v>
      </c>
      <c r="T39"/>
      <c r="U39"/>
      <c r="V39"/>
      <c r="W39"/>
      <c r="X39"/>
      <c r="Y39"/>
      <c r="Z39"/>
      <c r="AA39" t="s">
        <v>96</v>
      </c>
      <c r="AB39"/>
      <c r="AC39"/>
      <c r="AD39"/>
      <c r="AE39"/>
      <c r="AF39"/>
      <c r="AG39"/>
      <c r="AH39"/>
      <c r="AI39"/>
    </row>
    <row r="40" s="510" customFormat="1" ht="36" customHeight="1" spans="1:35">
      <c r="A40" t="s">
        <v>131</v>
      </c>
      <c r="B40" t="s">
        <v>132</v>
      </c>
      <c r="C40" t="s">
        <v>133</v>
      </c>
      <c r="D40"/>
      <c r="E40"/>
      <c r="F40"/>
      <c r="G40"/>
      <c r="H40" t="s">
        <v>83</v>
      </c>
      <c r="I40"/>
      <c r="J40"/>
      <c r="K40"/>
      <c r="L40"/>
      <c r="M40"/>
      <c r="N40"/>
      <c r="O40"/>
      <c r="P40"/>
      <c r="Q40"/>
      <c r="R40"/>
      <c r="S40">
        <v>6029.6</v>
      </c>
      <c r="T40"/>
      <c r="U40"/>
      <c r="V40"/>
      <c r="W40"/>
      <c r="X40"/>
      <c r="Y40"/>
      <c r="Z40"/>
      <c r="AA40" t="s">
        <v>84</v>
      </c>
      <c r="AB40"/>
      <c r="AC40"/>
      <c r="AD40"/>
      <c r="AE40"/>
      <c r="AF40"/>
      <c r="AG40"/>
      <c r="AH40"/>
      <c r="AI40"/>
    </row>
    <row r="41" s="510" customFormat="1" ht="36" customHeight="1" spans="1:35">
      <c r="A41" s="518" t="s">
        <v>134</v>
      </c>
      <c r="B41" s="518"/>
      <c r="C41" s="518"/>
      <c r="D41" s="518"/>
      <c r="E41" s="518"/>
      <c r="F41" s="518"/>
      <c r="G41" s="518"/>
      <c r="H41" s="518"/>
      <c r="I41" s="518"/>
      <c r="J41" s="518"/>
      <c r="K41" s="518"/>
      <c r="L41" s="518"/>
      <c r="M41" s="518"/>
      <c r="N41" s="518"/>
      <c r="O41" s="518"/>
      <c r="P41" s="518"/>
      <c r="Q41" s="518"/>
      <c r="R41" s="518"/>
      <c r="S41" s="518"/>
      <c r="T41" s="518"/>
      <c r="U41" s="518"/>
      <c r="V41" s="518"/>
      <c r="W41" s="518"/>
      <c r="X41" s="518"/>
      <c r="Y41" s="518"/>
      <c r="Z41" s="518"/>
      <c r="AA41" s="518"/>
      <c r="AB41" s="518"/>
      <c r="AC41" s="518"/>
      <c r="AD41" s="518"/>
      <c r="AE41" s="518"/>
      <c r="AF41" s="518"/>
      <c r="AG41" s="518"/>
      <c r="AH41" s="518"/>
      <c r="AI41" s="518"/>
    </row>
    <row r="42" s="510" customFormat="1" ht="36" customHeight="1" spans="1:35">
      <c r="A42" s="492" t="s">
        <v>33</v>
      </c>
      <c r="B42" s="492" t="s">
        <v>135</v>
      </c>
      <c r="C42" s="492" t="s">
        <v>136</v>
      </c>
      <c r="D42" s="492"/>
      <c r="E42" s="492"/>
      <c r="F42" s="492"/>
      <c r="G42" s="492" t="s">
        <v>137</v>
      </c>
      <c r="H42" s="492" t="s">
        <v>70</v>
      </c>
      <c r="I42" s="492"/>
      <c r="J42" s="492"/>
      <c r="K42" s="492"/>
      <c r="L42" s="492"/>
      <c r="M42" s="492"/>
      <c r="N42" s="492"/>
      <c r="O42" s="492" t="s">
        <v>138</v>
      </c>
      <c r="P42" s="492"/>
      <c r="Q42" s="492"/>
      <c r="R42" s="492"/>
      <c r="S42" s="492" t="s">
        <v>139</v>
      </c>
      <c r="T42" s="492"/>
      <c r="U42" s="492"/>
      <c r="V42" s="492"/>
      <c r="W42" s="492"/>
      <c r="X42" s="492" t="s">
        <v>140</v>
      </c>
      <c r="Y42" s="492"/>
      <c r="Z42" s="492"/>
      <c r="AA42" s="492"/>
      <c r="AB42" s="492"/>
      <c r="AC42" s="492" t="s">
        <v>141</v>
      </c>
      <c r="AD42" s="492"/>
      <c r="AE42" s="492"/>
      <c r="AF42" s="492"/>
      <c r="AG42" s="492" t="s">
        <v>71</v>
      </c>
      <c r="AH42" s="492"/>
      <c r="AI42" s="492"/>
    </row>
    <row r="43" s="510" customFormat="1" ht="36" customHeight="1" spans="1:35">
      <c r="A43" s="522" t="s">
        <v>38</v>
      </c>
      <c r="B43" s="522" t="s">
        <v>142</v>
      </c>
      <c r="C43" t="s">
        <v>143</v>
      </c>
      <c r="D43"/>
      <c r="E43"/>
      <c r="F43"/>
      <c r="G43" s="522" t="s">
        <v>130</v>
      </c>
      <c r="H43">
        <v>31728.02</v>
      </c>
      <c r="I43"/>
      <c r="J43"/>
      <c r="K43"/>
      <c r="L43"/>
      <c r="M43"/>
      <c r="N43"/>
      <c r="O43">
        <v>47806688.6</v>
      </c>
      <c r="P43"/>
      <c r="Q43"/>
      <c r="R43"/>
      <c r="S43" t="s">
        <v>144</v>
      </c>
      <c r="T43"/>
      <c r="U43"/>
      <c r="V43"/>
      <c r="W43"/>
      <c r="X43" s="524" t="s">
        <v>145</v>
      </c>
      <c r="Y43" s="524"/>
      <c r="Z43" s="524"/>
      <c r="AA43" s="524"/>
      <c r="AB43" s="524"/>
      <c r="AC43" s="524" t="s">
        <v>146</v>
      </c>
      <c r="AD43" s="524"/>
      <c r="AE43" s="524"/>
      <c r="AF43" s="524"/>
      <c r="AG43" s="524" t="s">
        <v>147</v>
      </c>
      <c r="AH43" s="524"/>
      <c r="AI43" s="524"/>
    </row>
    <row r="44" s="510" customFormat="1" ht="36" customHeight="1" spans="1:35">
      <c r="A44" t="s">
        <v>41</v>
      </c>
      <c r="B44" t="s">
        <v>148</v>
      </c>
      <c r="C44" t="s">
        <v>149</v>
      </c>
      <c r="D44"/>
      <c r="E44"/>
      <c r="F44"/>
      <c r="G44" t="s">
        <v>150</v>
      </c>
      <c r="H44">
        <v>1657.02</v>
      </c>
      <c r="I44"/>
      <c r="J44"/>
      <c r="K44"/>
      <c r="L44"/>
      <c r="M44"/>
      <c r="N44"/>
      <c r="O44">
        <v>2959000</v>
      </c>
      <c r="P44"/>
      <c r="Q44"/>
      <c r="R44"/>
      <c r="S44" t="s">
        <v>151</v>
      </c>
      <c r="T44"/>
      <c r="U44"/>
      <c r="V44"/>
      <c r="W44"/>
      <c r="X44" t="s">
        <v>152</v>
      </c>
      <c r="Y44"/>
      <c r="Z44"/>
      <c r="AA44"/>
      <c r="AB44"/>
      <c r="AC44" t="s">
        <v>153</v>
      </c>
      <c r="AD44"/>
      <c r="AE44"/>
      <c r="AF44"/>
      <c r="AG44" t="s">
        <v>154</v>
      </c>
      <c r="AH44"/>
      <c r="AI44"/>
    </row>
    <row r="45" s="510" customFormat="1" ht="36" customHeight="1" spans="1:35">
      <c r="A45" t="s">
        <v>44</v>
      </c>
      <c r="B45" t="s">
        <v>155</v>
      </c>
      <c r="C45" t="s">
        <v>156</v>
      </c>
      <c r="D45"/>
      <c r="E45"/>
      <c r="F45"/>
      <c r="G45" t="s">
        <v>130</v>
      </c>
      <c r="H45">
        <v>1404.12</v>
      </c>
      <c r="I45"/>
      <c r="J45"/>
      <c r="K45"/>
      <c r="L45"/>
      <c r="M45"/>
      <c r="N45"/>
      <c r="O45">
        <v>4500000</v>
      </c>
      <c r="P45"/>
      <c r="Q45"/>
      <c r="R45"/>
      <c r="S45" t="s">
        <v>151</v>
      </c>
      <c r="T45"/>
      <c r="U45"/>
      <c r="V45"/>
      <c r="W45"/>
      <c r="X45" t="s">
        <v>157</v>
      </c>
      <c r="Y45"/>
      <c r="Z45"/>
      <c r="AA45"/>
      <c r="AB45"/>
      <c r="AC45" t="s">
        <v>158</v>
      </c>
      <c r="AD45"/>
      <c r="AE45"/>
      <c r="AF45"/>
      <c r="AG45" t="s">
        <v>159</v>
      </c>
      <c r="AH45"/>
      <c r="AI45"/>
    </row>
    <row r="46" s="510" customFormat="1" ht="36" customHeight="1" spans="1:35">
      <c r="A46" t="s">
        <v>47</v>
      </c>
      <c r="B46" t="s">
        <v>160</v>
      </c>
      <c r="C46" t="s">
        <v>161</v>
      </c>
      <c r="D46"/>
      <c r="E46"/>
      <c r="F46"/>
      <c r="G46" t="s">
        <v>130</v>
      </c>
      <c r="H46">
        <v>20241.45</v>
      </c>
      <c r="I46"/>
      <c r="J46"/>
      <c r="K46"/>
      <c r="L46"/>
      <c r="M46"/>
      <c r="N46"/>
      <c r="O46">
        <v>29110120.6</v>
      </c>
      <c r="P46"/>
      <c r="Q46"/>
      <c r="R46"/>
      <c r="S46" t="s">
        <v>144</v>
      </c>
      <c r="T46"/>
      <c r="U46"/>
      <c r="V46"/>
      <c r="W46"/>
      <c r="X46" t="s">
        <v>158</v>
      </c>
      <c r="Y46"/>
      <c r="Z46"/>
      <c r="AA46"/>
      <c r="AB46"/>
      <c r="AC46" t="s">
        <v>162</v>
      </c>
      <c r="AD46"/>
      <c r="AE46"/>
      <c r="AF46"/>
      <c r="AG46" t="s">
        <v>163</v>
      </c>
      <c r="AH46"/>
      <c r="AI46"/>
    </row>
    <row r="47" s="510" customFormat="1" ht="36" customHeight="1" spans="1:35">
      <c r="A47" t="s">
        <v>92</v>
      </c>
      <c r="B47" t="s">
        <v>164</v>
      </c>
      <c r="C47" t="s">
        <v>165</v>
      </c>
      <c r="D47"/>
      <c r="E47"/>
      <c r="F47"/>
      <c r="G47" t="s">
        <v>150</v>
      </c>
      <c r="H47">
        <v>1305.97</v>
      </c>
      <c r="I47"/>
      <c r="J47"/>
      <c r="K47"/>
      <c r="L47"/>
      <c r="M47"/>
      <c r="N47"/>
      <c r="O47">
        <v>3330223.5</v>
      </c>
      <c r="P47"/>
      <c r="Q47"/>
      <c r="R47"/>
      <c r="S47" t="s">
        <v>151</v>
      </c>
      <c r="T47"/>
      <c r="U47"/>
      <c r="V47"/>
      <c r="W47"/>
      <c r="X47" t="s">
        <v>166</v>
      </c>
      <c r="Y47"/>
      <c r="Z47"/>
      <c r="AA47"/>
      <c r="AB47"/>
      <c r="AC47" t="s">
        <v>167</v>
      </c>
      <c r="AD47"/>
      <c r="AE47"/>
      <c r="AF47"/>
      <c r="AG47" t="s">
        <v>166</v>
      </c>
      <c r="AH47"/>
      <c r="AI47"/>
    </row>
    <row r="48" s="510" customFormat="1" ht="36" customHeight="1" spans="1:35">
      <c r="A48" t="s">
        <v>97</v>
      </c>
      <c r="B48" t="s">
        <v>168</v>
      </c>
      <c r="C48" t="s">
        <v>169</v>
      </c>
      <c r="D48"/>
      <c r="E48"/>
      <c r="F48"/>
      <c r="G48" t="s">
        <v>170</v>
      </c>
      <c r="H48">
        <v>1966.65</v>
      </c>
      <c r="I48"/>
      <c r="J48"/>
      <c r="K48"/>
      <c r="L48"/>
      <c r="M48"/>
      <c r="N48"/>
      <c r="O48">
        <v>3166300</v>
      </c>
      <c r="P48"/>
      <c r="Q48"/>
      <c r="R48"/>
      <c r="S48" t="s">
        <v>151</v>
      </c>
      <c r="T48"/>
      <c r="U48"/>
      <c r="V48"/>
      <c r="W48"/>
      <c r="X48" t="s">
        <v>171</v>
      </c>
      <c r="Y48"/>
      <c r="Z48"/>
      <c r="AA48"/>
      <c r="AB48"/>
      <c r="AC48" t="s">
        <v>172</v>
      </c>
      <c r="AD48"/>
      <c r="AE48"/>
      <c r="AF48"/>
      <c r="AG48" t="s">
        <v>173</v>
      </c>
      <c r="AH48"/>
      <c r="AI48"/>
    </row>
    <row r="49" s="510" customFormat="1" ht="36" customHeight="1" spans="1:35">
      <c r="A49" s="518" t="s">
        <v>174</v>
      </c>
      <c r="B49" s="518"/>
      <c r="C49" s="518"/>
      <c r="D49" s="518"/>
      <c r="E49" s="518"/>
      <c r="F49" s="518"/>
      <c r="G49" s="518"/>
      <c r="H49" s="518"/>
      <c r="I49" s="518"/>
      <c r="J49" s="518"/>
      <c r="K49" s="518"/>
      <c r="L49" s="518"/>
      <c r="M49" s="518"/>
      <c r="N49" s="518"/>
      <c r="O49" s="518"/>
      <c r="P49" s="518"/>
      <c r="Q49" s="518"/>
      <c r="R49" s="518"/>
      <c r="S49" s="518"/>
      <c r="T49" s="518"/>
      <c r="U49" s="518"/>
      <c r="V49" s="518"/>
      <c r="W49" s="518"/>
      <c r="X49" s="518"/>
      <c r="Y49" s="518"/>
      <c r="Z49" s="518"/>
      <c r="AA49" s="518"/>
      <c r="AB49" s="518"/>
      <c r="AC49" s="518"/>
      <c r="AD49" s="518"/>
      <c r="AE49" s="518"/>
      <c r="AF49" s="518"/>
      <c r="AG49" s="518"/>
      <c r="AH49" s="518"/>
      <c r="AI49" s="518"/>
    </row>
    <row r="50" s="510" customFormat="1" ht="36" customHeight="1" spans="1:35">
      <c r="A50" t="s">
        <v>33</v>
      </c>
      <c r="B50" t="s">
        <v>175</v>
      </c>
      <c r="C50" t="s">
        <v>35</v>
      </c>
      <c r="D50"/>
      <c r="E50"/>
      <c r="F50" t="s">
        <v>176</v>
      </c>
      <c r="G50" t="s">
        <v>177</v>
      </c>
      <c r="H50"/>
      <c r="I50"/>
      <c r="J50"/>
      <c r="K50"/>
      <c r="L50"/>
      <c r="M50"/>
      <c r="N50"/>
      <c r="O50"/>
      <c r="P50"/>
      <c r="Q50"/>
      <c r="R50" t="s">
        <v>178</v>
      </c>
      <c r="S50"/>
      <c r="T50"/>
      <c r="U50"/>
      <c r="V50"/>
      <c r="W50"/>
      <c r="X50"/>
      <c r="Y50"/>
      <c r="Z50"/>
      <c r="AA50"/>
      <c r="AB50"/>
      <c r="AC50"/>
      <c r="AD50"/>
      <c r="AE50"/>
      <c r="AF50"/>
      <c r="AG50" t="s">
        <v>80</v>
      </c>
      <c r="AH50"/>
      <c r="AI50"/>
    </row>
    <row r="51" s="510" customFormat="1" ht="36" customHeight="1" spans="1:35">
      <c r="A51"/>
      <c r="B51"/>
      <c r="C51"/>
      <c r="D51"/>
      <c r="E51"/>
      <c r="F51"/>
      <c r="G51" t="s">
        <v>179</v>
      </c>
      <c r="H51"/>
      <c r="I51" s="522" t="s">
        <v>180</v>
      </c>
      <c r="J51" s="522" t="s">
        <v>181</v>
      </c>
      <c r="K51" t="s">
        <v>182</v>
      </c>
      <c r="L51"/>
      <c r="M51" t="s">
        <v>183</v>
      </c>
      <c r="N51"/>
      <c r="O51"/>
      <c r="P51" t="s">
        <v>184</v>
      </c>
      <c r="Q51"/>
      <c r="R51" t="s">
        <v>179</v>
      </c>
      <c r="S51"/>
      <c r="T51" t="s">
        <v>180</v>
      </c>
      <c r="U51"/>
      <c r="V51"/>
      <c r="W51"/>
      <c r="X51" t="s">
        <v>181</v>
      </c>
      <c r="Y51"/>
      <c r="Z51" t="s">
        <v>185</v>
      </c>
      <c r="AA51"/>
      <c r="AB51"/>
      <c r="AC51" t="s">
        <v>183</v>
      </c>
      <c r="AD51"/>
      <c r="AE51"/>
      <c r="AF51" s="522" t="s">
        <v>184</v>
      </c>
      <c r="AG51"/>
      <c r="AH51"/>
      <c r="AI51"/>
    </row>
    <row r="52" s="510" customFormat="1" ht="36" customHeight="1" spans="1:35">
      <c r="A52" s="522" t="s">
        <v>38</v>
      </c>
      <c r="B52" s="522" t="s">
        <v>186</v>
      </c>
      <c r="C52" t="s">
        <v>187</v>
      </c>
      <c r="D52"/>
      <c r="E52"/>
      <c r="F52" s="522" t="s">
        <v>188</v>
      </c>
      <c r="G52">
        <v>4037.24</v>
      </c>
      <c r="H52"/>
      <c r="I52" s="522">
        <v>0</v>
      </c>
      <c r="J52" s="522">
        <v>0</v>
      </c>
      <c r="K52">
        <v>0</v>
      </c>
      <c r="L52"/>
      <c r="M52">
        <v>483.74</v>
      </c>
      <c r="N52"/>
      <c r="O52"/>
      <c r="P52">
        <v>4520.98</v>
      </c>
      <c r="Q52"/>
      <c r="R52">
        <v>32</v>
      </c>
      <c r="S52"/>
      <c r="T52">
        <v>0</v>
      </c>
      <c r="U52"/>
      <c r="V52"/>
      <c r="W52"/>
      <c r="X52">
        <v>0</v>
      </c>
      <c r="Y52"/>
      <c r="Z52">
        <v>0</v>
      </c>
      <c r="AA52"/>
      <c r="AB52"/>
      <c r="AC52">
        <v>0</v>
      </c>
      <c r="AD52"/>
      <c r="AE52"/>
      <c r="AF52" s="522">
        <v>32</v>
      </c>
      <c r="AG52" s="524" t="s">
        <v>189</v>
      </c>
      <c r="AH52" s="524"/>
      <c r="AI52" s="524"/>
    </row>
    <row r="53" s="510" customFormat="1" ht="36" customHeight="1" spans="1:35">
      <c r="A53" t="s">
        <v>41</v>
      </c>
      <c r="B53" t="s">
        <v>190</v>
      </c>
      <c r="C53" t="s">
        <v>191</v>
      </c>
      <c r="D53"/>
      <c r="E53"/>
      <c r="F53" t="s">
        <v>188</v>
      </c>
      <c r="G53">
        <v>4482.24</v>
      </c>
      <c r="H53"/>
      <c r="I53">
        <v>0</v>
      </c>
      <c r="J53">
        <v>0</v>
      </c>
      <c r="K53">
        <v>0</v>
      </c>
      <c r="L53"/>
      <c r="M53">
        <v>0</v>
      </c>
      <c r="N53"/>
      <c r="O53"/>
      <c r="P53">
        <v>4482.24</v>
      </c>
      <c r="Q53"/>
      <c r="R53">
        <v>32</v>
      </c>
      <c r="S53"/>
      <c r="T53">
        <v>0</v>
      </c>
      <c r="U53"/>
      <c r="V53"/>
      <c r="W53"/>
      <c r="X53">
        <v>0</v>
      </c>
      <c r="Y53"/>
      <c r="Z53">
        <v>0</v>
      </c>
      <c r="AA53"/>
      <c r="AB53"/>
      <c r="AC53">
        <v>0</v>
      </c>
      <c r="AD53"/>
      <c r="AE53"/>
      <c r="AF53">
        <v>32</v>
      </c>
      <c r="AG53" t="s">
        <v>189</v>
      </c>
      <c r="AH53"/>
      <c r="AI53"/>
    </row>
    <row r="54" s="510" customFormat="1" ht="36" customHeight="1" spans="1:35">
      <c r="A54" t="s">
        <v>44</v>
      </c>
      <c r="B54" t="s">
        <v>192</v>
      </c>
      <c r="C54" t="s">
        <v>193</v>
      </c>
      <c r="D54"/>
      <c r="E54"/>
      <c r="F54" t="s">
        <v>188</v>
      </c>
      <c r="G54">
        <v>5524.66</v>
      </c>
      <c r="H54"/>
      <c r="I54">
        <v>0</v>
      </c>
      <c r="J54">
        <v>0</v>
      </c>
      <c r="K54">
        <v>0</v>
      </c>
      <c r="L54"/>
      <c r="M54">
        <v>539.73</v>
      </c>
      <c r="N54"/>
      <c r="O54"/>
      <c r="P54">
        <v>6064.39</v>
      </c>
      <c r="Q54"/>
      <c r="R54">
        <v>44</v>
      </c>
      <c r="S54"/>
      <c r="T54">
        <v>0</v>
      </c>
      <c r="U54"/>
      <c r="V54"/>
      <c r="W54"/>
      <c r="X54">
        <v>0</v>
      </c>
      <c r="Y54"/>
      <c r="Z54">
        <v>0</v>
      </c>
      <c r="AA54"/>
      <c r="AB54"/>
      <c r="AC54">
        <v>0</v>
      </c>
      <c r="AD54"/>
      <c r="AE54"/>
      <c r="AF54">
        <v>44</v>
      </c>
      <c r="AG54" t="s">
        <v>194</v>
      </c>
      <c r="AH54"/>
      <c r="AI54"/>
    </row>
    <row r="55" s="510" customFormat="1" ht="36" customHeight="1" spans="1:35">
      <c r="A55" t="s">
        <v>47</v>
      </c>
      <c r="B55" t="s">
        <v>195</v>
      </c>
      <c r="C55" t="s">
        <v>165</v>
      </c>
      <c r="D55"/>
      <c r="E55"/>
      <c r="F55" t="s">
        <v>188</v>
      </c>
      <c r="G55">
        <v>0</v>
      </c>
      <c r="H55"/>
      <c r="I55">
        <v>1220.8</v>
      </c>
      <c r="J55">
        <v>0</v>
      </c>
      <c r="K55">
        <v>0</v>
      </c>
      <c r="L55"/>
      <c r="M55">
        <v>0</v>
      </c>
      <c r="N55"/>
      <c r="O55"/>
      <c r="P55">
        <v>1220.8</v>
      </c>
      <c r="Q55"/>
      <c r="R55">
        <v>0</v>
      </c>
      <c r="S55"/>
      <c r="T55">
        <v>12</v>
      </c>
      <c r="U55"/>
      <c r="V55"/>
      <c r="W55"/>
      <c r="X55">
        <v>0</v>
      </c>
      <c r="Y55"/>
      <c r="Z55">
        <v>0</v>
      </c>
      <c r="AA55"/>
      <c r="AB55"/>
      <c r="AC55">
        <v>0</v>
      </c>
      <c r="AD55"/>
      <c r="AE55"/>
      <c r="AF55">
        <v>12</v>
      </c>
      <c r="AG55" t="s">
        <v>196</v>
      </c>
      <c r="AH55"/>
      <c r="AI55"/>
    </row>
    <row r="56" s="510" customFormat="1" ht="36" customHeight="1" spans="1:35">
      <c r="A56" t="s">
        <v>92</v>
      </c>
      <c r="B56" t="s">
        <v>197</v>
      </c>
      <c r="C56" t="s">
        <v>198</v>
      </c>
      <c r="D56"/>
      <c r="E56"/>
      <c r="F56" t="s">
        <v>188</v>
      </c>
      <c r="G56">
        <v>3743.2</v>
      </c>
      <c r="H56"/>
      <c r="I56">
        <v>0</v>
      </c>
      <c r="J56">
        <v>0</v>
      </c>
      <c r="K56">
        <v>0</v>
      </c>
      <c r="L56"/>
      <c r="M56">
        <v>489.18</v>
      </c>
      <c r="N56"/>
      <c r="O56"/>
      <c r="P56">
        <v>4232.38</v>
      </c>
      <c r="Q56"/>
      <c r="R56">
        <v>28</v>
      </c>
      <c r="S56"/>
      <c r="T56">
        <v>0</v>
      </c>
      <c r="U56"/>
      <c r="V56"/>
      <c r="W56"/>
      <c r="X56">
        <v>0</v>
      </c>
      <c r="Y56"/>
      <c r="Z56">
        <v>0</v>
      </c>
      <c r="AA56"/>
      <c r="AB56"/>
      <c r="AC56">
        <v>0</v>
      </c>
      <c r="AD56"/>
      <c r="AE56"/>
      <c r="AF56">
        <v>28</v>
      </c>
      <c r="AG56" t="s">
        <v>194</v>
      </c>
      <c r="AH56"/>
      <c r="AI56"/>
    </row>
    <row r="57" s="510" customFormat="1" ht="36" customHeight="1" spans="1:35">
      <c r="A57" t="s">
        <v>97</v>
      </c>
      <c r="B57" t="s">
        <v>199</v>
      </c>
      <c r="C57" t="s">
        <v>200</v>
      </c>
      <c r="D57"/>
      <c r="E57"/>
      <c r="F57" t="s">
        <v>188</v>
      </c>
      <c r="G57">
        <v>4186.68</v>
      </c>
      <c r="H57"/>
      <c r="I57">
        <v>0</v>
      </c>
      <c r="J57">
        <v>0</v>
      </c>
      <c r="K57">
        <v>0</v>
      </c>
      <c r="L57"/>
      <c r="M57">
        <v>546.06</v>
      </c>
      <c r="N57"/>
      <c r="O57"/>
      <c r="P57">
        <v>4732.74</v>
      </c>
      <c r="Q57"/>
      <c r="R57">
        <v>28</v>
      </c>
      <c r="S57"/>
      <c r="T57">
        <v>0</v>
      </c>
      <c r="U57"/>
      <c r="V57"/>
      <c r="W57"/>
      <c r="X57">
        <v>0</v>
      </c>
      <c r="Y57"/>
      <c r="Z57">
        <v>0</v>
      </c>
      <c r="AA57"/>
      <c r="AB57"/>
      <c r="AC57">
        <v>0</v>
      </c>
      <c r="AD57"/>
      <c r="AE57"/>
      <c r="AF57">
        <v>28</v>
      </c>
      <c r="AG57" t="s">
        <v>194</v>
      </c>
      <c r="AH57"/>
      <c r="AI57"/>
    </row>
    <row r="58" s="510" customFormat="1" ht="36" customHeight="1" spans="1:35">
      <c r="A58" t="s">
        <v>100</v>
      </c>
      <c r="B58" t="s">
        <v>201</v>
      </c>
      <c r="C58" t="s">
        <v>202</v>
      </c>
      <c r="D58"/>
      <c r="E58"/>
      <c r="F58" t="s">
        <v>188</v>
      </c>
      <c r="G58">
        <v>4944.36</v>
      </c>
      <c r="H58"/>
      <c r="I58">
        <v>0</v>
      </c>
      <c r="J58">
        <v>0</v>
      </c>
      <c r="K58">
        <v>0</v>
      </c>
      <c r="L58"/>
      <c r="M58">
        <v>0</v>
      </c>
      <c r="N58"/>
      <c r="O58"/>
      <c r="P58">
        <v>4944.36</v>
      </c>
      <c r="Q58"/>
      <c r="R58">
        <v>28</v>
      </c>
      <c r="S58"/>
      <c r="T58">
        <v>0</v>
      </c>
      <c r="U58"/>
      <c r="V58"/>
      <c r="W58"/>
      <c r="X58">
        <v>0</v>
      </c>
      <c r="Y58"/>
      <c r="Z58">
        <v>0</v>
      </c>
      <c r="AA58"/>
      <c r="AB58"/>
      <c r="AC58">
        <v>0</v>
      </c>
      <c r="AD58"/>
      <c r="AE58"/>
      <c r="AF58">
        <v>28</v>
      </c>
      <c r="AG58" t="s">
        <v>189</v>
      </c>
      <c r="AH58"/>
      <c r="AI58"/>
    </row>
    <row r="59" s="510" customFormat="1" ht="36" customHeight="1" spans="1:35">
      <c r="A59" t="s">
        <v>105</v>
      </c>
      <c r="B59" t="s">
        <v>203</v>
      </c>
      <c r="C59" t="s">
        <v>204</v>
      </c>
      <c r="D59"/>
      <c r="E59"/>
      <c r="F59" t="s">
        <v>188</v>
      </c>
      <c r="G59">
        <v>3743.2</v>
      </c>
      <c r="H59"/>
      <c r="I59">
        <v>0</v>
      </c>
      <c r="J59">
        <v>0</v>
      </c>
      <c r="K59">
        <v>0</v>
      </c>
      <c r="L59"/>
      <c r="M59">
        <v>489.18</v>
      </c>
      <c r="N59"/>
      <c r="O59"/>
      <c r="P59">
        <v>4232.38</v>
      </c>
      <c r="Q59"/>
      <c r="R59">
        <v>28</v>
      </c>
      <c r="S59"/>
      <c r="T59">
        <v>0</v>
      </c>
      <c r="U59"/>
      <c r="V59"/>
      <c r="W59"/>
      <c r="X59">
        <v>0</v>
      </c>
      <c r="Y59"/>
      <c r="Z59">
        <v>0</v>
      </c>
      <c r="AA59"/>
      <c r="AB59"/>
      <c r="AC59">
        <v>0</v>
      </c>
      <c r="AD59"/>
      <c r="AE59"/>
      <c r="AF59">
        <v>28</v>
      </c>
      <c r="AG59" t="s">
        <v>194</v>
      </c>
      <c r="AH59"/>
      <c r="AI59"/>
    </row>
    <row r="60" s="510" customFormat="1" ht="36" customHeight="1" spans="1:35">
      <c r="A60" t="s">
        <v>109</v>
      </c>
      <c r="B60" t="s">
        <v>205</v>
      </c>
      <c r="C60" t="s">
        <v>206</v>
      </c>
      <c r="D60"/>
      <c r="E60"/>
      <c r="F60" t="s">
        <v>188</v>
      </c>
      <c r="G60">
        <v>3743.2</v>
      </c>
      <c r="H60"/>
      <c r="I60">
        <v>0</v>
      </c>
      <c r="J60">
        <v>0</v>
      </c>
      <c r="K60">
        <v>0</v>
      </c>
      <c r="L60"/>
      <c r="M60">
        <v>489.18</v>
      </c>
      <c r="N60"/>
      <c r="O60"/>
      <c r="P60">
        <v>4232.38</v>
      </c>
      <c r="Q60"/>
      <c r="R60">
        <v>28</v>
      </c>
      <c r="S60"/>
      <c r="T60">
        <v>0</v>
      </c>
      <c r="U60"/>
      <c r="V60"/>
      <c r="W60"/>
      <c r="X60">
        <v>0</v>
      </c>
      <c r="Y60"/>
      <c r="Z60">
        <v>0</v>
      </c>
      <c r="AA60"/>
      <c r="AB60"/>
      <c r="AC60">
        <v>0</v>
      </c>
      <c r="AD60"/>
      <c r="AE60"/>
      <c r="AF60">
        <v>28</v>
      </c>
      <c r="AG60" t="s">
        <v>194</v>
      </c>
      <c r="AH60"/>
      <c r="AI60"/>
    </row>
    <row r="61" s="510" customFormat="1" ht="36" customHeight="1" spans="1:35">
      <c r="A61" t="s">
        <v>112</v>
      </c>
      <c r="B61" t="s">
        <v>207</v>
      </c>
      <c r="C61" t="s">
        <v>208</v>
      </c>
      <c r="D61"/>
      <c r="E61"/>
      <c r="F61" t="s">
        <v>188</v>
      </c>
      <c r="G61">
        <v>4593.32</v>
      </c>
      <c r="H61"/>
      <c r="I61">
        <v>0</v>
      </c>
      <c r="J61">
        <v>0</v>
      </c>
      <c r="K61">
        <v>0</v>
      </c>
      <c r="L61"/>
      <c r="M61">
        <v>598.68</v>
      </c>
      <c r="N61"/>
      <c r="O61"/>
      <c r="P61">
        <v>5192</v>
      </c>
      <c r="Q61"/>
      <c r="R61">
        <v>28</v>
      </c>
      <c r="S61"/>
      <c r="T61">
        <v>0</v>
      </c>
      <c r="U61"/>
      <c r="V61"/>
      <c r="W61"/>
      <c r="X61">
        <v>0</v>
      </c>
      <c r="Y61"/>
      <c r="Z61">
        <v>0</v>
      </c>
      <c r="AA61"/>
      <c r="AB61"/>
      <c r="AC61">
        <v>0</v>
      </c>
      <c r="AD61"/>
      <c r="AE61"/>
      <c r="AF61">
        <v>28</v>
      </c>
      <c r="AG61" t="s">
        <v>194</v>
      </c>
      <c r="AH61"/>
      <c r="AI61"/>
    </row>
    <row r="62" s="510" customFormat="1" ht="36" customHeight="1" spans="1:35">
      <c r="A62" t="s">
        <v>115</v>
      </c>
      <c r="B62" t="s">
        <v>209</v>
      </c>
      <c r="C62" t="s">
        <v>210</v>
      </c>
      <c r="D62"/>
      <c r="E62"/>
      <c r="F62" t="s">
        <v>188</v>
      </c>
      <c r="G62">
        <v>0</v>
      </c>
      <c r="H62"/>
      <c r="I62">
        <v>1391.28</v>
      </c>
      <c r="J62">
        <v>0</v>
      </c>
      <c r="K62">
        <v>0</v>
      </c>
      <c r="L62"/>
      <c r="M62">
        <v>0</v>
      </c>
      <c r="N62"/>
      <c r="O62"/>
      <c r="P62">
        <v>1391.28</v>
      </c>
      <c r="Q62"/>
      <c r="R62">
        <v>0</v>
      </c>
      <c r="S62"/>
      <c r="T62">
        <v>2</v>
      </c>
      <c r="U62"/>
      <c r="V62"/>
      <c r="W62"/>
      <c r="X62">
        <v>0</v>
      </c>
      <c r="Y62"/>
      <c r="Z62">
        <v>0</v>
      </c>
      <c r="AA62"/>
      <c r="AB62"/>
      <c r="AC62">
        <v>0</v>
      </c>
      <c r="AD62"/>
      <c r="AE62"/>
      <c r="AF62">
        <v>2</v>
      </c>
      <c r="AG62" t="s">
        <v>196</v>
      </c>
      <c r="AH62"/>
      <c r="AI62"/>
    </row>
    <row r="63" s="510" customFormat="1" ht="36" customHeight="1" spans="1:35">
      <c r="A63" t="s">
        <v>118</v>
      </c>
      <c r="B63" t="s">
        <v>211</v>
      </c>
      <c r="C63" t="s">
        <v>212</v>
      </c>
      <c r="D63"/>
      <c r="E63"/>
      <c r="F63" t="s">
        <v>188</v>
      </c>
      <c r="G63">
        <v>0</v>
      </c>
      <c r="H63"/>
      <c r="I63">
        <v>1180.52</v>
      </c>
      <c r="J63">
        <v>0</v>
      </c>
      <c r="K63">
        <v>0</v>
      </c>
      <c r="L63"/>
      <c r="M63">
        <v>0</v>
      </c>
      <c r="N63"/>
      <c r="O63"/>
      <c r="P63">
        <v>1180.52</v>
      </c>
      <c r="Q63"/>
      <c r="R63">
        <v>0</v>
      </c>
      <c r="S63"/>
      <c r="T63">
        <v>13</v>
      </c>
      <c r="U63"/>
      <c r="V63"/>
      <c r="W63"/>
      <c r="X63">
        <v>0</v>
      </c>
      <c r="Y63"/>
      <c r="Z63">
        <v>0</v>
      </c>
      <c r="AA63"/>
      <c r="AB63"/>
      <c r="AC63">
        <v>0</v>
      </c>
      <c r="AD63"/>
      <c r="AE63"/>
      <c r="AF63">
        <v>13</v>
      </c>
      <c r="AG63" t="s">
        <v>213</v>
      </c>
      <c r="AH63"/>
      <c r="AI63"/>
    </row>
    <row r="64" s="510" customFormat="1" ht="36" customHeight="1" spans="1:35">
      <c r="A64" t="s">
        <v>121</v>
      </c>
      <c r="B64" t="s">
        <v>214</v>
      </c>
      <c r="C64" t="s">
        <v>215</v>
      </c>
      <c r="D64"/>
      <c r="E64"/>
      <c r="F64" t="s">
        <v>188</v>
      </c>
      <c r="G64">
        <v>0</v>
      </c>
      <c r="H64"/>
      <c r="I64">
        <v>895.27</v>
      </c>
      <c r="J64">
        <v>0</v>
      </c>
      <c r="K64">
        <v>0</v>
      </c>
      <c r="L64"/>
      <c r="M64">
        <v>0</v>
      </c>
      <c r="N64"/>
      <c r="O64"/>
      <c r="P64">
        <v>895.27</v>
      </c>
      <c r="Q64"/>
      <c r="R64">
        <v>0</v>
      </c>
      <c r="S64"/>
      <c r="T64">
        <v>11</v>
      </c>
      <c r="U64"/>
      <c r="V64"/>
      <c r="W64"/>
      <c r="X64">
        <v>0</v>
      </c>
      <c r="Y64"/>
      <c r="Z64">
        <v>0</v>
      </c>
      <c r="AA64"/>
      <c r="AB64"/>
      <c r="AC64">
        <v>0</v>
      </c>
      <c r="AD64"/>
      <c r="AE64"/>
      <c r="AF64">
        <v>11</v>
      </c>
      <c r="AG64" t="s">
        <v>213</v>
      </c>
      <c r="AH64"/>
      <c r="AI64"/>
    </row>
    <row r="65" s="510" customFormat="1" ht="36" customHeight="1" spans="1:35">
      <c r="A65" t="s">
        <v>124</v>
      </c>
      <c r="B65" t="s">
        <v>216</v>
      </c>
      <c r="C65" t="s">
        <v>217</v>
      </c>
      <c r="D65"/>
      <c r="E65"/>
      <c r="F65" t="s">
        <v>188</v>
      </c>
      <c r="G65">
        <v>0</v>
      </c>
      <c r="H65"/>
      <c r="I65">
        <v>940.78</v>
      </c>
      <c r="J65">
        <v>0</v>
      </c>
      <c r="K65">
        <v>0</v>
      </c>
      <c r="L65"/>
      <c r="M65">
        <v>27.14</v>
      </c>
      <c r="N65"/>
      <c r="O65"/>
      <c r="P65">
        <v>967.92</v>
      </c>
      <c r="Q65"/>
      <c r="R65">
        <v>0</v>
      </c>
      <c r="S65"/>
      <c r="T65">
        <v>11</v>
      </c>
      <c r="U65"/>
      <c r="V65"/>
      <c r="W65"/>
      <c r="X65">
        <v>0</v>
      </c>
      <c r="Y65"/>
      <c r="Z65">
        <v>0</v>
      </c>
      <c r="AA65"/>
      <c r="AB65"/>
      <c r="AC65">
        <v>0</v>
      </c>
      <c r="AD65"/>
      <c r="AE65"/>
      <c r="AF65">
        <v>11</v>
      </c>
      <c r="AG65" t="s">
        <v>213</v>
      </c>
      <c r="AH65"/>
      <c r="AI65"/>
    </row>
    <row r="66" s="510" customFormat="1" ht="36" customHeight="1" spans="1:35">
      <c r="A66" t="s">
        <v>127</v>
      </c>
      <c r="B66" t="s">
        <v>218</v>
      </c>
      <c r="C66" t="s">
        <v>219</v>
      </c>
      <c r="D66"/>
      <c r="E66"/>
      <c r="F66" t="s">
        <v>188</v>
      </c>
      <c r="G66">
        <v>4871</v>
      </c>
      <c r="H66"/>
      <c r="I66">
        <v>0</v>
      </c>
      <c r="J66">
        <v>0</v>
      </c>
      <c r="K66">
        <v>0</v>
      </c>
      <c r="L66"/>
      <c r="M66">
        <v>0</v>
      </c>
      <c r="N66"/>
      <c r="O66"/>
      <c r="P66">
        <v>4871</v>
      </c>
      <c r="Q66"/>
      <c r="R66">
        <v>32</v>
      </c>
      <c r="S66"/>
      <c r="T66">
        <v>0</v>
      </c>
      <c r="U66"/>
      <c r="V66"/>
      <c r="W66"/>
      <c r="X66">
        <v>0</v>
      </c>
      <c r="Y66"/>
      <c r="Z66">
        <v>0</v>
      </c>
      <c r="AA66"/>
      <c r="AB66"/>
      <c r="AC66">
        <v>0</v>
      </c>
      <c r="AD66"/>
      <c r="AE66"/>
      <c r="AF66">
        <v>32</v>
      </c>
      <c r="AG66" t="s">
        <v>189</v>
      </c>
      <c r="AH66"/>
      <c r="AI66"/>
    </row>
    <row r="67" s="510" customFormat="1" ht="36" customHeight="1" spans="1:35">
      <c r="A67" s="518" t="s">
        <v>220</v>
      </c>
      <c r="B67" s="518"/>
      <c r="C67" s="518"/>
      <c r="D67" s="518"/>
      <c r="E67" s="518"/>
      <c r="F67" s="518"/>
      <c r="G67" s="518"/>
      <c r="H67" s="518"/>
      <c r="I67" s="518"/>
      <c r="J67" s="518"/>
      <c r="K67" s="518"/>
      <c r="L67" s="518"/>
      <c r="M67" s="518"/>
      <c r="N67" s="518"/>
      <c r="O67" s="518"/>
      <c r="P67" s="518"/>
      <c r="Q67" s="518"/>
      <c r="R67" s="518"/>
      <c r="S67" s="518"/>
      <c r="T67" s="518"/>
      <c r="U67" s="518"/>
      <c r="V67" s="518"/>
      <c r="W67" s="518"/>
      <c r="X67" s="518"/>
      <c r="Y67" s="518"/>
      <c r="Z67" s="518"/>
      <c r="AA67" s="518"/>
      <c r="AB67" s="518"/>
      <c r="AC67" s="518"/>
      <c r="AD67" s="518"/>
      <c r="AE67" s="518"/>
      <c r="AF67" s="518"/>
      <c r="AG67" s="518"/>
      <c r="AH67" s="518"/>
      <c r="AI67" s="518"/>
    </row>
    <row r="68" s="510" customFormat="1" ht="36" customHeight="1" spans="1:35">
      <c r="A68" t="s">
        <v>33</v>
      </c>
      <c r="B68" t="s">
        <v>221</v>
      </c>
      <c r="C68" t="s">
        <v>35</v>
      </c>
      <c r="D68"/>
      <c r="E68"/>
      <c r="F68"/>
      <c r="G68"/>
      <c r="H68" t="s">
        <v>222</v>
      </c>
      <c r="I68"/>
      <c r="J68"/>
      <c r="K68"/>
      <c r="L68"/>
      <c r="M68"/>
      <c r="N68"/>
      <c r="O68"/>
      <c r="P68"/>
      <c r="Q68"/>
      <c r="R68"/>
      <c r="S68"/>
      <c r="T68"/>
      <c r="U68"/>
      <c r="V68"/>
      <c r="W68"/>
      <c r="X68"/>
      <c r="Y68"/>
      <c r="Z68"/>
      <c r="AA68" t="s">
        <v>71</v>
      </c>
      <c r="AB68"/>
      <c r="AC68"/>
      <c r="AD68"/>
      <c r="AE68"/>
      <c r="AF68"/>
      <c r="AG68"/>
      <c r="AH68"/>
      <c r="AI68"/>
    </row>
    <row r="69" s="510" customFormat="1" ht="36" customHeight="1" spans="1:35">
      <c r="A69"/>
      <c r="B69"/>
      <c r="C69"/>
      <c r="D69"/>
      <c r="E69"/>
      <c r="F69"/>
      <c r="G69"/>
      <c r="H69" t="s">
        <v>179</v>
      </c>
      <c r="I69"/>
      <c r="J69"/>
      <c r="K69"/>
      <c r="L69"/>
      <c r="M69" t="s">
        <v>180</v>
      </c>
      <c r="N69"/>
      <c r="O69"/>
      <c r="P69"/>
      <c r="Q69" t="s">
        <v>181</v>
      </c>
      <c r="R69"/>
      <c r="S69"/>
      <c r="T69"/>
      <c r="U69" t="s">
        <v>182</v>
      </c>
      <c r="V69"/>
      <c r="W69" t="s">
        <v>183</v>
      </c>
      <c r="X69"/>
      <c r="Y69" t="s">
        <v>184</v>
      </c>
      <c r="Z69"/>
      <c r="AA69"/>
      <c r="AB69"/>
      <c r="AC69"/>
      <c r="AD69"/>
      <c r="AE69"/>
      <c r="AF69"/>
      <c r="AG69"/>
      <c r="AH69"/>
      <c r="AI69"/>
    </row>
    <row r="70" s="510" customFormat="1" ht="36" customHeight="1" spans="1:35">
      <c r="A70" s="522">
        <v>1</v>
      </c>
      <c r="B70" s="522"/>
      <c r="C70"/>
      <c r="D70"/>
      <c r="E70"/>
      <c r="F70"/>
      <c r="G70"/>
      <c r="H70"/>
      <c r="I70"/>
      <c r="J70"/>
      <c r="K70"/>
      <c r="L70"/>
      <c r="M70"/>
      <c r="N70"/>
      <c r="O70"/>
      <c r="P70"/>
      <c r="Q70"/>
      <c r="R70"/>
      <c r="S70"/>
      <c r="T70"/>
      <c r="U70"/>
      <c r="V70"/>
      <c r="W70"/>
      <c r="X70"/>
      <c r="Y70"/>
      <c r="Z70"/>
      <c r="AA70" s="524"/>
      <c r="AB70" s="524"/>
      <c r="AC70" s="524"/>
      <c r="AD70" s="524"/>
      <c r="AE70" s="524"/>
      <c r="AF70" s="524"/>
      <c r="AG70" s="524"/>
      <c r="AH70" s="524"/>
      <c r="AI70" s="524"/>
    </row>
    <row r="71" s="510" customFormat="1" ht="36" customHeight="1" spans="1:35">
      <c r="A71" s="518" t="s">
        <v>223</v>
      </c>
      <c r="B71" s="518"/>
      <c r="C71" s="518"/>
      <c r="D71" s="518"/>
      <c r="E71" s="518"/>
      <c r="F71" s="518"/>
      <c r="G71" s="518"/>
      <c r="H71" s="518"/>
      <c r="I71" s="518"/>
      <c r="J71" s="518"/>
      <c r="K71" s="518"/>
      <c r="L71" s="518"/>
      <c r="M71" s="518"/>
      <c r="N71" s="518"/>
      <c r="O71" s="518"/>
      <c r="P71" s="518"/>
      <c r="Q71" s="518"/>
      <c r="R71" s="518"/>
      <c r="S71" s="518"/>
      <c r="T71" s="518"/>
      <c r="U71" s="518"/>
      <c r="V71" s="518"/>
      <c r="W71" s="518"/>
      <c r="X71" s="518"/>
      <c r="Y71" s="518"/>
      <c r="Z71" s="518"/>
      <c r="AA71" s="518"/>
      <c r="AB71" s="518"/>
      <c r="AC71" s="518"/>
      <c r="AD71" s="518"/>
      <c r="AE71" s="518"/>
      <c r="AF71" s="518"/>
      <c r="AG71" s="518"/>
      <c r="AH71" s="518"/>
      <c r="AI71" s="518"/>
    </row>
    <row r="72" s="510" customFormat="1" ht="30" customHeight="1" spans="1:35">
      <c r="A72" s="522" t="s">
        <v>33</v>
      </c>
      <c r="B72" t="s">
        <v>224</v>
      </c>
      <c r="C72"/>
      <c r="D72"/>
      <c r="E72"/>
      <c r="F72"/>
      <c r="G72"/>
      <c r="H72" t="s">
        <v>225</v>
      </c>
      <c r="I72"/>
      <c r="J72"/>
      <c r="K72"/>
      <c r="L72"/>
      <c r="M72"/>
      <c r="N72" t="s">
        <v>226</v>
      </c>
      <c r="O72"/>
      <c r="P72"/>
      <c r="Q72"/>
      <c r="R72"/>
      <c r="S72"/>
      <c r="T72"/>
      <c r="U72" t="s">
        <v>227</v>
      </c>
      <c r="V72"/>
      <c r="W72"/>
      <c r="X72"/>
      <c r="Y72"/>
      <c r="Z72"/>
      <c r="AA72" t="s">
        <v>228</v>
      </c>
      <c r="AB72"/>
      <c r="AC72"/>
      <c r="AD72"/>
      <c r="AE72"/>
      <c r="AF72"/>
      <c r="AG72"/>
      <c r="AH72"/>
      <c r="AI72"/>
    </row>
    <row r="73" s="510" customFormat="1" ht="36.4" customHeight="1" spans="1:35">
      <c r="A73" s="522" t="s">
        <v>38</v>
      </c>
      <c r="B73" t="s">
        <v>142</v>
      </c>
      <c r="C73"/>
      <c r="D73"/>
      <c r="E73"/>
      <c r="F73"/>
      <c r="G73"/>
      <c r="H73" s="524" t="s">
        <v>229</v>
      </c>
      <c r="I73" s="524"/>
      <c r="J73" s="524"/>
      <c r="K73" s="524"/>
      <c r="L73" s="524"/>
      <c r="M73" s="524"/>
      <c r="N73" s="524" t="s">
        <v>172</v>
      </c>
      <c r="O73" s="524"/>
      <c r="P73" s="524"/>
      <c r="Q73" s="524"/>
      <c r="R73" s="524"/>
      <c r="S73" s="524"/>
      <c r="T73" s="524"/>
      <c r="U73">
        <v>48713500</v>
      </c>
      <c r="V73"/>
      <c r="W73"/>
      <c r="X73"/>
      <c r="Y73"/>
      <c r="Z73"/>
      <c r="AA73">
        <v>31738.07</v>
      </c>
      <c r="AB73"/>
      <c r="AC73"/>
      <c r="AD73"/>
      <c r="AE73"/>
      <c r="AF73"/>
      <c r="AG73"/>
      <c r="AH73"/>
      <c r="AI73"/>
    </row>
    <row r="74" s="510" customFormat="1" ht="36.4" customHeight="1" spans="1:35">
      <c r="A74" t="s">
        <v>41</v>
      </c>
      <c r="B74" t="s">
        <v>168</v>
      </c>
      <c r="C74"/>
      <c r="D74"/>
      <c r="E74"/>
      <c r="F74"/>
      <c r="G74"/>
      <c r="H74" t="s">
        <v>230</v>
      </c>
      <c r="I74"/>
      <c r="J74"/>
      <c r="K74"/>
      <c r="L74"/>
      <c r="M74"/>
      <c r="N74" t="s">
        <v>230</v>
      </c>
      <c r="O74"/>
      <c r="P74"/>
      <c r="Q74"/>
      <c r="R74"/>
      <c r="S74"/>
      <c r="T74"/>
      <c r="U74">
        <v>3166300</v>
      </c>
      <c r="V74"/>
      <c r="W74"/>
      <c r="X74"/>
      <c r="Y74"/>
      <c r="Z74"/>
      <c r="AA74">
        <v>1966.65</v>
      </c>
      <c r="AB74"/>
      <c r="AC74"/>
      <c r="AD74"/>
      <c r="AE74"/>
      <c r="AF74"/>
      <c r="AG74"/>
      <c r="AH74"/>
      <c r="AI74"/>
    </row>
    <row r="75" s="510" customFormat="1" ht="36.4" customHeight="1" spans="1:35">
      <c r="A75" t="s">
        <v>44</v>
      </c>
      <c r="B75" t="s">
        <v>160</v>
      </c>
      <c r="C75"/>
      <c r="D75"/>
      <c r="E75"/>
      <c r="F75"/>
      <c r="G75"/>
      <c r="H75" t="s">
        <v>229</v>
      </c>
      <c r="I75"/>
      <c r="J75"/>
      <c r="K75"/>
      <c r="L75"/>
      <c r="M75"/>
      <c r="N75" t="s">
        <v>231</v>
      </c>
      <c r="O75"/>
      <c r="P75"/>
      <c r="Q75"/>
      <c r="R75"/>
      <c r="S75"/>
      <c r="T75"/>
      <c r="U75">
        <v>29419464.6</v>
      </c>
      <c r="V75"/>
      <c r="W75"/>
      <c r="X75"/>
      <c r="Y75"/>
      <c r="Z75"/>
      <c r="AA75">
        <v>20235.45</v>
      </c>
      <c r="AB75"/>
      <c r="AC75"/>
      <c r="AD75"/>
      <c r="AE75"/>
      <c r="AF75"/>
      <c r="AG75"/>
      <c r="AH75"/>
      <c r="AI75"/>
    </row>
    <row r="76" s="510" customFormat="1" ht="36.4" customHeight="1" spans="1:35">
      <c r="A76" t="s">
        <v>47</v>
      </c>
      <c r="B76" t="s">
        <v>164</v>
      </c>
      <c r="C76"/>
      <c r="D76"/>
      <c r="E76"/>
      <c r="F76"/>
      <c r="G76"/>
      <c r="H76" t="s">
        <v>232</v>
      </c>
      <c r="I76"/>
      <c r="J76"/>
      <c r="K76"/>
      <c r="L76"/>
      <c r="M76"/>
      <c r="N76" t="s">
        <v>167</v>
      </c>
      <c r="O76"/>
      <c r="P76"/>
      <c r="Q76"/>
      <c r="R76"/>
      <c r="S76"/>
      <c r="T76"/>
      <c r="U76">
        <v>3330680</v>
      </c>
      <c r="V76"/>
      <c r="W76"/>
      <c r="X76"/>
      <c r="Y76"/>
      <c r="Z76"/>
      <c r="AA76">
        <v>1220.77</v>
      </c>
      <c r="AB76"/>
      <c r="AC76"/>
      <c r="AD76"/>
      <c r="AE76"/>
      <c r="AF76"/>
      <c r="AG76"/>
      <c r="AH76"/>
      <c r="AI76"/>
    </row>
    <row r="77" s="510" customFormat="1" ht="36.4" customHeight="1" spans="1:35">
      <c r="A77" t="s">
        <v>92</v>
      </c>
      <c r="B77" t="s">
        <v>155</v>
      </c>
      <c r="C77"/>
      <c r="D77"/>
      <c r="E77"/>
      <c r="F77"/>
      <c r="G77"/>
      <c r="H77" t="s">
        <v>232</v>
      </c>
      <c r="I77"/>
      <c r="J77"/>
      <c r="K77"/>
      <c r="L77"/>
      <c r="M77"/>
      <c r="N77" t="s">
        <v>233</v>
      </c>
      <c r="O77"/>
      <c r="P77"/>
      <c r="Q77"/>
      <c r="R77"/>
      <c r="S77"/>
      <c r="T77"/>
      <c r="U77">
        <v>4443900</v>
      </c>
      <c r="V77"/>
      <c r="W77"/>
      <c r="X77"/>
      <c r="Y77"/>
      <c r="Z77"/>
      <c r="AA77">
        <v>1404.12</v>
      </c>
      <c r="AB77"/>
      <c r="AC77"/>
      <c r="AD77"/>
      <c r="AE77"/>
      <c r="AF77"/>
      <c r="AG77"/>
      <c r="AH77"/>
      <c r="AI77"/>
    </row>
    <row r="78" s="510" customFormat="1" ht="36.4" customHeight="1" spans="1:35">
      <c r="A78" t="s">
        <v>97</v>
      </c>
      <c r="B78" t="s">
        <v>148</v>
      </c>
      <c r="C78"/>
      <c r="D78"/>
      <c r="E78"/>
      <c r="F78"/>
      <c r="G78"/>
      <c r="H78" t="s">
        <v>153</v>
      </c>
      <c r="I78"/>
      <c r="J78"/>
      <c r="K78"/>
      <c r="L78"/>
      <c r="M78"/>
      <c r="N78" t="s">
        <v>234</v>
      </c>
      <c r="O78"/>
      <c r="P78"/>
      <c r="Q78"/>
      <c r="R78"/>
      <c r="S78"/>
      <c r="T78"/>
      <c r="U78">
        <v>2959000</v>
      </c>
      <c r="V78"/>
      <c r="W78"/>
      <c r="X78"/>
      <c r="Y78"/>
      <c r="Z78"/>
      <c r="AA78">
        <v>1657.02</v>
      </c>
      <c r="AB78"/>
      <c r="AC78"/>
      <c r="AD78"/>
      <c r="AE78"/>
      <c r="AF78"/>
      <c r="AG78"/>
      <c r="AH78"/>
      <c r="AI78"/>
    </row>
  </sheetData>
  <protectedRanges>
    <protectedRange sqref="A6:AI17" name="A6:AI17"/>
    <protectedRange sqref="AG8:AI8" name="A6:AI17_1"/>
  </protectedRanges>
  <mergeCells count="443">
    <mergeCell ref="A1:AI1"/>
    <mergeCell ref="A2:AI2"/>
    <mergeCell ref="A3:B3"/>
    <mergeCell ref="C3:F3"/>
    <mergeCell ref="I3:Y3"/>
    <mergeCell ref="Z3:AB3"/>
    <mergeCell ref="AC3:AI3"/>
    <mergeCell ref="A4:Y4"/>
    <mergeCell ref="Z4:AI4"/>
    <mergeCell ref="A5:AI5"/>
    <mergeCell ref="A6:C6"/>
    <mergeCell ref="D6:G6"/>
    <mergeCell ref="H6:R6"/>
    <mergeCell ref="S6:W6"/>
    <mergeCell ref="X6:AF6"/>
    <mergeCell ref="AG6:AI6"/>
    <mergeCell ref="A7:C7"/>
    <mergeCell ref="D7:W7"/>
    <mergeCell ref="X7:AF7"/>
    <mergeCell ref="AG7:AI7"/>
    <mergeCell ref="A8:C8"/>
    <mergeCell ref="D8:G8"/>
    <mergeCell ref="H8:R8"/>
    <mergeCell ref="S8:W8"/>
    <mergeCell ref="X8:AF8"/>
    <mergeCell ref="AG8:AI8"/>
    <mergeCell ref="A9:C9"/>
    <mergeCell ref="D9:G9"/>
    <mergeCell ref="H9:K9"/>
    <mergeCell ref="L9:R9"/>
    <mergeCell ref="S9:W9"/>
    <mergeCell ref="X9:AA9"/>
    <mergeCell ref="AB9:AF9"/>
    <mergeCell ref="AG9:AI9"/>
    <mergeCell ref="A10:C10"/>
    <mergeCell ref="D10:G10"/>
    <mergeCell ref="H10:K10"/>
    <mergeCell ref="L10:R10"/>
    <mergeCell ref="S10:W10"/>
    <mergeCell ref="X10:AA10"/>
    <mergeCell ref="AB10:AF10"/>
    <mergeCell ref="AG10:AI10"/>
    <mergeCell ref="A11:AI11"/>
    <mergeCell ref="C12:P12"/>
    <mergeCell ref="Q12:Z12"/>
    <mergeCell ref="AA12:AI12"/>
    <mergeCell ref="C13:P13"/>
    <mergeCell ref="Q13:Z13"/>
    <mergeCell ref="AA13:AI13"/>
    <mergeCell ref="C14:P14"/>
    <mergeCell ref="Q14:Z14"/>
    <mergeCell ref="AA14:AI14"/>
    <mergeCell ref="C15:P15"/>
    <mergeCell ref="Q15:Z15"/>
    <mergeCell ref="AA15:AI15"/>
    <mergeCell ref="C16:P16"/>
    <mergeCell ref="Q16:Z16"/>
    <mergeCell ref="AA16:AI16"/>
    <mergeCell ref="A17:AI17"/>
    <mergeCell ref="C18:G18"/>
    <mergeCell ref="H18:N18"/>
    <mergeCell ref="O18:W18"/>
    <mergeCell ref="X18:Z18"/>
    <mergeCell ref="AA18:AD18"/>
    <mergeCell ref="AE18:AF18"/>
    <mergeCell ref="AG18:AI18"/>
    <mergeCell ref="C19:G19"/>
    <mergeCell ref="H19:N19"/>
    <mergeCell ref="O19:W19"/>
    <mergeCell ref="X19:Z19"/>
    <mergeCell ref="AA19:AD19"/>
    <mergeCell ref="AE19:AF19"/>
    <mergeCell ref="AG19:AI19"/>
    <mergeCell ref="A20:AI20"/>
    <mergeCell ref="C21:G21"/>
    <mergeCell ref="H21:R21"/>
    <mergeCell ref="S21:U21"/>
    <mergeCell ref="V21:Z21"/>
    <mergeCell ref="AA21:AF21"/>
    <mergeCell ref="AG21:AI21"/>
    <mergeCell ref="C22:G22"/>
    <mergeCell ref="H22:R22"/>
    <mergeCell ref="S22:U22"/>
    <mergeCell ref="V22:Z22"/>
    <mergeCell ref="AA22:AF22"/>
    <mergeCell ref="AG22:AI22"/>
    <mergeCell ref="A23:AI23"/>
    <mergeCell ref="C24:G24"/>
    <mergeCell ref="H24:R24"/>
    <mergeCell ref="S24:Z24"/>
    <mergeCell ref="AA24:AI24"/>
    <mergeCell ref="C25:G25"/>
    <mergeCell ref="H25:R25"/>
    <mergeCell ref="S25:Z25"/>
    <mergeCell ref="AA25:AI25"/>
    <mergeCell ref="C26:G26"/>
    <mergeCell ref="H26:R26"/>
    <mergeCell ref="S26:Z26"/>
    <mergeCell ref="AA26:AI26"/>
    <mergeCell ref="C27:G27"/>
    <mergeCell ref="H27:R27"/>
    <mergeCell ref="S27:Z27"/>
    <mergeCell ref="AA27:AI27"/>
    <mergeCell ref="C28:G28"/>
    <mergeCell ref="H28:R28"/>
    <mergeCell ref="S28:Z28"/>
    <mergeCell ref="AA28:AI28"/>
    <mergeCell ref="C29:G29"/>
    <mergeCell ref="H29:R29"/>
    <mergeCell ref="S29:Z29"/>
    <mergeCell ref="AA29:AI29"/>
    <mergeCell ref="C30:G30"/>
    <mergeCell ref="H30:R30"/>
    <mergeCell ref="S30:Z30"/>
    <mergeCell ref="AA30:AI30"/>
    <mergeCell ref="C31:G31"/>
    <mergeCell ref="H31:R31"/>
    <mergeCell ref="S31:Z31"/>
    <mergeCell ref="AA31:AI31"/>
    <mergeCell ref="C32:G32"/>
    <mergeCell ref="H32:R32"/>
    <mergeCell ref="S32:Z32"/>
    <mergeCell ref="AA32:AI32"/>
    <mergeCell ref="C33:G33"/>
    <mergeCell ref="H33:R33"/>
    <mergeCell ref="S33:Z33"/>
    <mergeCell ref="AA33:AI33"/>
    <mergeCell ref="C34:G34"/>
    <mergeCell ref="H34:R34"/>
    <mergeCell ref="S34:Z34"/>
    <mergeCell ref="AA34:AI34"/>
    <mergeCell ref="C35:G35"/>
    <mergeCell ref="H35:R35"/>
    <mergeCell ref="S35:Z35"/>
    <mergeCell ref="AA35:AI35"/>
    <mergeCell ref="C36:G36"/>
    <mergeCell ref="H36:R36"/>
    <mergeCell ref="S36:Z36"/>
    <mergeCell ref="AA36:AI36"/>
    <mergeCell ref="C37:G37"/>
    <mergeCell ref="H37:R37"/>
    <mergeCell ref="S37:Z37"/>
    <mergeCell ref="AA37:AI37"/>
    <mergeCell ref="C38:G38"/>
    <mergeCell ref="H38:R38"/>
    <mergeCell ref="S38:Z38"/>
    <mergeCell ref="AA38:AI38"/>
    <mergeCell ref="C39:G39"/>
    <mergeCell ref="H39:R39"/>
    <mergeCell ref="S39:Z39"/>
    <mergeCell ref="AA39:AI39"/>
    <mergeCell ref="C40:G40"/>
    <mergeCell ref="H40:R40"/>
    <mergeCell ref="S40:Z40"/>
    <mergeCell ref="AA40:AI40"/>
    <mergeCell ref="A41:AI41"/>
    <mergeCell ref="C42:F42"/>
    <mergeCell ref="H42:N42"/>
    <mergeCell ref="O42:R42"/>
    <mergeCell ref="S42:W42"/>
    <mergeCell ref="X42:AB42"/>
    <mergeCell ref="AC42:AF42"/>
    <mergeCell ref="AG42:AI42"/>
    <mergeCell ref="C43:F43"/>
    <mergeCell ref="H43:N43"/>
    <mergeCell ref="O43:R43"/>
    <mergeCell ref="S43:W43"/>
    <mergeCell ref="X43:AB43"/>
    <mergeCell ref="AC43:AF43"/>
    <mergeCell ref="AG43:AI43"/>
    <mergeCell ref="C44:F44"/>
    <mergeCell ref="H44:N44"/>
    <mergeCell ref="O44:R44"/>
    <mergeCell ref="S44:W44"/>
    <mergeCell ref="X44:AB44"/>
    <mergeCell ref="AC44:AF44"/>
    <mergeCell ref="AG44:AI44"/>
    <mergeCell ref="C45:F45"/>
    <mergeCell ref="H45:N45"/>
    <mergeCell ref="O45:R45"/>
    <mergeCell ref="S45:W45"/>
    <mergeCell ref="X45:AB45"/>
    <mergeCell ref="AC45:AF45"/>
    <mergeCell ref="AG45:AI45"/>
    <mergeCell ref="C46:F46"/>
    <mergeCell ref="H46:N46"/>
    <mergeCell ref="O46:R46"/>
    <mergeCell ref="S46:W46"/>
    <mergeCell ref="X46:AB46"/>
    <mergeCell ref="AC46:AF46"/>
    <mergeCell ref="AG46:AI46"/>
    <mergeCell ref="C47:F47"/>
    <mergeCell ref="H47:N47"/>
    <mergeCell ref="O47:R47"/>
    <mergeCell ref="S47:W47"/>
    <mergeCell ref="X47:AB47"/>
    <mergeCell ref="AC47:AF47"/>
    <mergeCell ref="AG47:AI47"/>
    <mergeCell ref="C48:F48"/>
    <mergeCell ref="H48:N48"/>
    <mergeCell ref="O48:R48"/>
    <mergeCell ref="S48:W48"/>
    <mergeCell ref="X48:AB48"/>
    <mergeCell ref="AC48:AF48"/>
    <mergeCell ref="AG48:AI48"/>
    <mergeCell ref="A49:AI49"/>
    <mergeCell ref="G50:Q50"/>
    <mergeCell ref="R50:AF50"/>
    <mergeCell ref="G51:H51"/>
    <mergeCell ref="K51:L51"/>
    <mergeCell ref="M51:O51"/>
    <mergeCell ref="P51:Q51"/>
    <mergeCell ref="R51:S51"/>
    <mergeCell ref="T51:W51"/>
    <mergeCell ref="X51:Y51"/>
    <mergeCell ref="Z51:AB51"/>
    <mergeCell ref="AC51:AE51"/>
    <mergeCell ref="C52:E52"/>
    <mergeCell ref="G52:H52"/>
    <mergeCell ref="K52:L52"/>
    <mergeCell ref="M52:O52"/>
    <mergeCell ref="P52:Q52"/>
    <mergeCell ref="R52:S52"/>
    <mergeCell ref="T52:W52"/>
    <mergeCell ref="X52:Y52"/>
    <mergeCell ref="Z52:AB52"/>
    <mergeCell ref="AC52:AE52"/>
    <mergeCell ref="AG52:AI52"/>
    <mergeCell ref="C53:E53"/>
    <mergeCell ref="G53:H53"/>
    <mergeCell ref="K53:L53"/>
    <mergeCell ref="M53:O53"/>
    <mergeCell ref="P53:Q53"/>
    <mergeCell ref="R53:S53"/>
    <mergeCell ref="T53:W53"/>
    <mergeCell ref="X53:Y53"/>
    <mergeCell ref="Z53:AB53"/>
    <mergeCell ref="AC53:AE53"/>
    <mergeCell ref="AG53:AI53"/>
    <mergeCell ref="C54:E54"/>
    <mergeCell ref="G54:H54"/>
    <mergeCell ref="K54:L54"/>
    <mergeCell ref="M54:O54"/>
    <mergeCell ref="P54:Q54"/>
    <mergeCell ref="R54:S54"/>
    <mergeCell ref="T54:W54"/>
    <mergeCell ref="X54:Y54"/>
    <mergeCell ref="Z54:AB54"/>
    <mergeCell ref="AC54:AE54"/>
    <mergeCell ref="AG54:AI54"/>
    <mergeCell ref="C55:E55"/>
    <mergeCell ref="G55:H55"/>
    <mergeCell ref="K55:L55"/>
    <mergeCell ref="M55:O55"/>
    <mergeCell ref="P55:Q55"/>
    <mergeCell ref="R55:S55"/>
    <mergeCell ref="T55:W55"/>
    <mergeCell ref="X55:Y55"/>
    <mergeCell ref="Z55:AB55"/>
    <mergeCell ref="AC55:AE55"/>
    <mergeCell ref="AG55:AI55"/>
    <mergeCell ref="C56:E56"/>
    <mergeCell ref="G56:H56"/>
    <mergeCell ref="K56:L56"/>
    <mergeCell ref="M56:O56"/>
    <mergeCell ref="P56:Q56"/>
    <mergeCell ref="R56:S56"/>
    <mergeCell ref="T56:W56"/>
    <mergeCell ref="X56:Y56"/>
    <mergeCell ref="Z56:AB56"/>
    <mergeCell ref="AC56:AE56"/>
    <mergeCell ref="AG56:AI56"/>
    <mergeCell ref="C57:E57"/>
    <mergeCell ref="G57:H57"/>
    <mergeCell ref="K57:L57"/>
    <mergeCell ref="M57:O57"/>
    <mergeCell ref="P57:Q57"/>
    <mergeCell ref="R57:S57"/>
    <mergeCell ref="T57:W57"/>
    <mergeCell ref="X57:Y57"/>
    <mergeCell ref="Z57:AB57"/>
    <mergeCell ref="AC57:AE57"/>
    <mergeCell ref="AG57:AI57"/>
    <mergeCell ref="C58:E58"/>
    <mergeCell ref="G58:H58"/>
    <mergeCell ref="K58:L58"/>
    <mergeCell ref="M58:O58"/>
    <mergeCell ref="P58:Q58"/>
    <mergeCell ref="R58:S58"/>
    <mergeCell ref="T58:W58"/>
    <mergeCell ref="X58:Y58"/>
    <mergeCell ref="Z58:AB58"/>
    <mergeCell ref="AC58:AE58"/>
    <mergeCell ref="AG58:AI58"/>
    <mergeCell ref="C59:E59"/>
    <mergeCell ref="G59:H59"/>
    <mergeCell ref="K59:L59"/>
    <mergeCell ref="M59:O59"/>
    <mergeCell ref="P59:Q59"/>
    <mergeCell ref="R59:S59"/>
    <mergeCell ref="T59:W59"/>
    <mergeCell ref="X59:Y59"/>
    <mergeCell ref="Z59:AB59"/>
    <mergeCell ref="AC59:AE59"/>
    <mergeCell ref="AG59:AI59"/>
    <mergeCell ref="C60:E60"/>
    <mergeCell ref="G60:H60"/>
    <mergeCell ref="K60:L60"/>
    <mergeCell ref="M60:O60"/>
    <mergeCell ref="P60:Q60"/>
    <mergeCell ref="R60:S60"/>
    <mergeCell ref="T60:W60"/>
    <mergeCell ref="X60:Y60"/>
    <mergeCell ref="Z60:AB60"/>
    <mergeCell ref="AC60:AE60"/>
    <mergeCell ref="AG60:AI60"/>
    <mergeCell ref="C61:E61"/>
    <mergeCell ref="G61:H61"/>
    <mergeCell ref="K61:L61"/>
    <mergeCell ref="M61:O61"/>
    <mergeCell ref="P61:Q61"/>
    <mergeCell ref="R61:S61"/>
    <mergeCell ref="T61:W61"/>
    <mergeCell ref="X61:Y61"/>
    <mergeCell ref="Z61:AB61"/>
    <mergeCell ref="AC61:AE61"/>
    <mergeCell ref="AG61:AI61"/>
    <mergeCell ref="C62:E62"/>
    <mergeCell ref="G62:H62"/>
    <mergeCell ref="K62:L62"/>
    <mergeCell ref="M62:O62"/>
    <mergeCell ref="P62:Q62"/>
    <mergeCell ref="R62:S62"/>
    <mergeCell ref="T62:W62"/>
    <mergeCell ref="X62:Y62"/>
    <mergeCell ref="Z62:AB62"/>
    <mergeCell ref="AC62:AE62"/>
    <mergeCell ref="AG62:AI62"/>
    <mergeCell ref="C63:E63"/>
    <mergeCell ref="G63:H63"/>
    <mergeCell ref="K63:L63"/>
    <mergeCell ref="M63:O63"/>
    <mergeCell ref="P63:Q63"/>
    <mergeCell ref="R63:S63"/>
    <mergeCell ref="T63:W63"/>
    <mergeCell ref="X63:Y63"/>
    <mergeCell ref="Z63:AB63"/>
    <mergeCell ref="AC63:AE63"/>
    <mergeCell ref="AG63:AI63"/>
    <mergeCell ref="C64:E64"/>
    <mergeCell ref="G64:H64"/>
    <mergeCell ref="K64:L64"/>
    <mergeCell ref="M64:O64"/>
    <mergeCell ref="P64:Q64"/>
    <mergeCell ref="R64:S64"/>
    <mergeCell ref="T64:W64"/>
    <mergeCell ref="X64:Y64"/>
    <mergeCell ref="Z64:AB64"/>
    <mergeCell ref="AC64:AE64"/>
    <mergeCell ref="AG64:AI64"/>
    <mergeCell ref="C65:E65"/>
    <mergeCell ref="G65:H65"/>
    <mergeCell ref="K65:L65"/>
    <mergeCell ref="M65:O65"/>
    <mergeCell ref="P65:Q65"/>
    <mergeCell ref="R65:S65"/>
    <mergeCell ref="T65:W65"/>
    <mergeCell ref="X65:Y65"/>
    <mergeCell ref="Z65:AB65"/>
    <mergeCell ref="AC65:AE65"/>
    <mergeCell ref="AG65:AI65"/>
    <mergeCell ref="C66:E66"/>
    <mergeCell ref="G66:H66"/>
    <mergeCell ref="K66:L66"/>
    <mergeCell ref="M66:O66"/>
    <mergeCell ref="P66:Q66"/>
    <mergeCell ref="R66:S66"/>
    <mergeCell ref="T66:W66"/>
    <mergeCell ref="X66:Y66"/>
    <mergeCell ref="Z66:AB66"/>
    <mergeCell ref="AC66:AE66"/>
    <mergeCell ref="AG66:AI66"/>
    <mergeCell ref="A67:AI67"/>
    <mergeCell ref="H68:Z68"/>
    <mergeCell ref="H69:L69"/>
    <mergeCell ref="M69:P69"/>
    <mergeCell ref="Q69:T69"/>
    <mergeCell ref="U69:V69"/>
    <mergeCell ref="W69:X69"/>
    <mergeCell ref="Y69:Z69"/>
    <mergeCell ref="C70:G70"/>
    <mergeCell ref="H70:L70"/>
    <mergeCell ref="M70:P70"/>
    <mergeCell ref="Q70:T70"/>
    <mergeCell ref="U70:V70"/>
    <mergeCell ref="W70:X70"/>
    <mergeCell ref="Y70:Z70"/>
    <mergeCell ref="AA70:AI70"/>
    <mergeCell ref="A71:AI71"/>
    <mergeCell ref="B72:G72"/>
    <mergeCell ref="H72:M72"/>
    <mergeCell ref="N72:T72"/>
    <mergeCell ref="U72:Z72"/>
    <mergeCell ref="AA72:AI72"/>
    <mergeCell ref="B73:G73"/>
    <mergeCell ref="H73:M73"/>
    <mergeCell ref="N73:T73"/>
    <mergeCell ref="U73:Z73"/>
    <mergeCell ref="AA73:AI73"/>
    <mergeCell ref="B74:G74"/>
    <mergeCell ref="H74:M74"/>
    <mergeCell ref="N74:T74"/>
    <mergeCell ref="U74:Z74"/>
    <mergeCell ref="AA74:AI74"/>
    <mergeCell ref="B75:G75"/>
    <mergeCell ref="H75:M75"/>
    <mergeCell ref="N75:T75"/>
    <mergeCell ref="U75:Z75"/>
    <mergeCell ref="AA75:AI75"/>
    <mergeCell ref="B76:G76"/>
    <mergeCell ref="H76:M76"/>
    <mergeCell ref="N76:T76"/>
    <mergeCell ref="U76:Z76"/>
    <mergeCell ref="AA76:AI76"/>
    <mergeCell ref="B77:G77"/>
    <mergeCell ref="H77:M77"/>
    <mergeCell ref="N77:T77"/>
    <mergeCell ref="U77:Z77"/>
    <mergeCell ref="AA77:AI77"/>
    <mergeCell ref="B78:G78"/>
    <mergeCell ref="H78:M78"/>
    <mergeCell ref="N78:T78"/>
    <mergeCell ref="U78:Z78"/>
    <mergeCell ref="AA78:AI78"/>
    <mergeCell ref="A50:A51"/>
    <mergeCell ref="A68:A69"/>
    <mergeCell ref="B50:B51"/>
    <mergeCell ref="B68:B69"/>
    <mergeCell ref="F50:F51"/>
    <mergeCell ref="C50:E51"/>
    <mergeCell ref="AG50:AI51"/>
    <mergeCell ref="C68:G69"/>
    <mergeCell ref="AA68:AI69"/>
  </mergeCells>
  <dataValidations count="1">
    <dataValidation type="list" allowBlank="1" showInputMessage="1" showErrorMessage="1" sqref="AG6:AI6">
      <formula1>"是,否"</formula1>
    </dataValidation>
  </dataValidations>
  <printOptions horizontalCentered="1"/>
  <pageMargins left="0.707638888888889" right="0.707638888888889" top="0.747916666666667" bottom="0.747916666666667" header="0.432638888888889" footer="0.313888888888889"/>
  <pageSetup paperSize="9" scale="39"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AI49"/>
  <sheetViews>
    <sheetView tabSelected="1" zoomScale="80" zoomScaleNormal="80" topLeftCell="B40" workbookViewId="0">
      <selection activeCell="M47" sqref="M47"/>
    </sheetView>
  </sheetViews>
  <sheetFormatPr defaultColWidth="8.8768115942029" defaultRowHeight="17.5"/>
  <cols>
    <col min="1" max="1" width="37.5" style="474" customWidth="1"/>
    <col min="2" max="2" width="13.2536231884058" style="474" customWidth="1"/>
    <col min="3" max="3" width="22.5" style="381" customWidth="1"/>
    <col min="4" max="4" width="9.16666666666667" style="381" customWidth="1"/>
    <col min="5" max="5" width="15.5" style="381" customWidth="1"/>
    <col min="6" max="6" width="19.1231884057971" style="381" customWidth="1"/>
    <col min="7" max="7" width="11.2826086956522" style="381" customWidth="1"/>
    <col min="8" max="8" width="15.5" style="381" customWidth="1"/>
    <col min="9" max="9" width="19.8333333333333" style="381" customWidth="1"/>
    <col min="10" max="10" width="11.1086956521739" style="381" customWidth="1"/>
    <col min="11" max="11" width="9.51449275362319" style="381" customWidth="1"/>
    <col min="12" max="12" width="4.58695652173913" style="381" customWidth="1"/>
    <col min="13" max="13" width="17.1666666666667" style="475" customWidth="1"/>
    <col min="14" max="14" width="12.5" style="475"/>
    <col min="15" max="15" width="11.4202898550725" style="475"/>
    <col min="16" max="16" width="10.7971014492754" style="476"/>
    <col min="17" max="17" width="12.0797101449275" style="476" customWidth="1"/>
    <col min="18" max="35" width="8.8768115942029" style="476"/>
    <col min="36" max="36" width="8.8768115942029" style="477"/>
  </cols>
  <sheetData>
    <row r="1" s="381" customFormat="1" ht="26.9" spans="1:35">
      <c r="A1" s="478" t="s">
        <v>235</v>
      </c>
      <c r="B1" s="478"/>
      <c r="C1" s="478"/>
      <c r="D1" s="478"/>
      <c r="E1" s="478"/>
      <c r="F1" s="478"/>
      <c r="G1" s="478"/>
      <c r="H1" s="478"/>
      <c r="I1" s="478"/>
      <c r="J1" s="478"/>
      <c r="K1" s="478"/>
      <c r="L1" s="478"/>
      <c r="M1" s="498"/>
      <c r="N1" s="498"/>
      <c r="O1" s="498"/>
      <c r="P1" s="499"/>
      <c r="Q1" s="499"/>
      <c r="R1" s="499"/>
      <c r="S1" s="499"/>
      <c r="T1" s="499"/>
      <c r="U1" s="499"/>
      <c r="V1" s="499"/>
      <c r="W1" s="499"/>
      <c r="X1" s="499"/>
      <c r="Y1" s="499"/>
      <c r="Z1" s="499"/>
      <c r="AA1" s="499"/>
      <c r="AB1" s="499"/>
      <c r="AC1" s="499"/>
      <c r="AD1" s="499"/>
      <c r="AE1" s="499"/>
      <c r="AF1" s="499"/>
      <c r="AG1" s="499"/>
      <c r="AH1" s="499"/>
      <c r="AI1" s="499"/>
    </row>
    <row r="2" ht="34.5" customHeight="1" spans="1:12">
      <c r="A2" s="479" t="s">
        <v>236</v>
      </c>
      <c r="B2" s="479" t="s">
        <v>237</v>
      </c>
      <c r="C2" s="479"/>
      <c r="D2" s="479"/>
      <c r="E2" s="479"/>
      <c r="F2" s="479"/>
      <c r="G2" s="479"/>
      <c r="H2" s="479"/>
      <c r="I2" s="479"/>
      <c r="J2" s="479"/>
      <c r="K2" s="479"/>
      <c r="L2" s="479"/>
    </row>
    <row r="3" ht="34.5" customHeight="1" spans="1:12">
      <c r="A3" s="479" t="s">
        <v>238</v>
      </c>
      <c r="B3" s="479" t="str">
        <f>IF(清算项目基本情况表!C3="","",清算项目基本情况表!C3)</f>
        <v>91652801576209018D</v>
      </c>
      <c r="C3" s="479"/>
      <c r="D3" s="479"/>
      <c r="E3" s="479"/>
      <c r="F3" s="479"/>
      <c r="G3" s="479"/>
      <c r="H3" s="479"/>
      <c r="I3" s="479"/>
      <c r="J3" s="479"/>
      <c r="K3" s="479"/>
      <c r="L3" s="479"/>
    </row>
    <row r="4" ht="34.5" customHeight="1" spans="1:12">
      <c r="A4" s="480" t="s">
        <v>239</v>
      </c>
      <c r="B4" s="481" t="str">
        <f>IF(清算项目基本情况表!I3="","",清算项目基本情况表!I3)</f>
        <v>新疆通力房地产开发有限公司库尔勒分公司</v>
      </c>
      <c r="C4" s="481"/>
      <c r="D4" s="481"/>
      <c r="E4" s="481"/>
      <c r="F4" s="481"/>
      <c r="G4" s="481" t="s">
        <v>7</v>
      </c>
      <c r="H4" s="481"/>
      <c r="I4" s="481"/>
      <c r="J4" s="481"/>
      <c r="K4" s="481" t="s">
        <v>8</v>
      </c>
      <c r="L4" s="481"/>
    </row>
    <row r="5" s="472" customFormat="1" ht="34.5" customHeight="1" spans="1:35">
      <c r="A5" s="482" t="s">
        <v>35</v>
      </c>
      <c r="B5" s="483" t="str">
        <f>IF(清算项目基本情况表!D6="","",清算项目基本情况表!D6)</f>
        <v>沁春锦苑19#、20#、23#、24#楼</v>
      </c>
      <c r="C5" s="483"/>
      <c r="D5" s="483"/>
      <c r="E5" s="483"/>
      <c r="F5" s="484" t="s">
        <v>240</v>
      </c>
      <c r="G5" s="484"/>
      <c r="H5" s="484" t="str">
        <f>IF(清算项目基本情况表!S6="","",清算项目基本情况表!S6)</f>
        <v>Z65280120190027</v>
      </c>
      <c r="I5" s="484"/>
      <c r="J5" s="484"/>
      <c r="K5" s="484"/>
      <c r="L5" s="484"/>
      <c r="M5" s="500"/>
      <c r="N5" s="500"/>
      <c r="O5" s="500"/>
      <c r="P5" s="501"/>
      <c r="Q5" s="501"/>
      <c r="R5" s="501"/>
      <c r="S5" s="501"/>
      <c r="T5" s="501"/>
      <c r="U5" s="501"/>
      <c r="V5" s="501"/>
      <c r="W5" s="501"/>
      <c r="X5" s="501"/>
      <c r="Y5" s="501"/>
      <c r="Z5" s="501"/>
      <c r="AA5" s="501"/>
      <c r="AB5" s="501"/>
      <c r="AC5" s="501"/>
      <c r="AD5" s="501"/>
      <c r="AE5" s="501"/>
      <c r="AF5" s="501"/>
      <c r="AG5" s="501"/>
      <c r="AH5" s="501"/>
      <c r="AI5" s="501"/>
    </row>
    <row r="6" s="472" customFormat="1" ht="34.5" customHeight="1" spans="1:35">
      <c r="A6" s="482" t="s">
        <v>241</v>
      </c>
      <c r="B6" s="483" t="str">
        <f>清算项目基本情况表!D7</f>
        <v>库尔勒市新城辖区杜鹃路79号</v>
      </c>
      <c r="C6" s="483"/>
      <c r="D6" s="483"/>
      <c r="E6" s="483"/>
      <c r="F6" s="483" t="s">
        <v>242</v>
      </c>
      <c r="G6" s="483"/>
      <c r="H6" s="483" t="s">
        <v>243</v>
      </c>
      <c r="I6" s="483"/>
      <c r="J6" s="483"/>
      <c r="K6" s="483"/>
      <c r="L6" s="483"/>
      <c r="M6" s="500"/>
      <c r="N6" s="500"/>
      <c r="O6" s="500"/>
      <c r="P6" s="501"/>
      <c r="Q6" s="501"/>
      <c r="R6" s="501"/>
      <c r="S6" s="501"/>
      <c r="T6" s="501"/>
      <c r="U6" s="501"/>
      <c r="V6" s="501"/>
      <c r="W6" s="501"/>
      <c r="X6" s="501"/>
      <c r="Y6" s="501"/>
      <c r="Z6" s="501"/>
      <c r="AA6" s="501"/>
      <c r="AB6" s="501"/>
      <c r="AC6" s="501"/>
      <c r="AD6" s="501"/>
      <c r="AE6" s="501"/>
      <c r="AF6" s="501"/>
      <c r="AG6" s="501"/>
      <c r="AH6" s="501"/>
      <c r="AI6" s="501"/>
    </row>
    <row r="7" s="472" customFormat="1" ht="34.5" customHeight="1" spans="1:35">
      <c r="A7" s="482" t="s">
        <v>244</v>
      </c>
      <c r="B7" s="485">
        <f>'附表1-面积统计表'!F29</f>
        <v>54463.47</v>
      </c>
      <c r="C7" s="483"/>
      <c r="D7" s="483"/>
      <c r="E7" s="483"/>
      <c r="F7" s="485" t="s">
        <v>245</v>
      </c>
      <c r="G7" s="485">
        <f>'附表1-面积统计表'!I29+'附表1-面积统计表'!J29</f>
        <v>0</v>
      </c>
      <c r="H7" s="483"/>
      <c r="I7" s="483"/>
      <c r="J7" s="483"/>
      <c r="K7" s="483"/>
      <c r="L7" s="483"/>
      <c r="M7" s="500"/>
      <c r="N7" s="500"/>
      <c r="O7" s="500"/>
      <c r="P7" s="501"/>
      <c r="Q7" s="501"/>
      <c r="R7" s="501"/>
      <c r="S7" s="501"/>
      <c r="T7" s="501"/>
      <c r="U7" s="501"/>
      <c r="V7" s="501"/>
      <c r="W7" s="501"/>
      <c r="X7" s="501"/>
      <c r="Y7" s="501"/>
      <c r="Z7" s="501"/>
      <c r="AA7" s="501"/>
      <c r="AB7" s="501"/>
      <c r="AC7" s="501"/>
      <c r="AD7" s="501"/>
      <c r="AE7" s="501"/>
      <c r="AF7" s="501"/>
      <c r="AG7" s="501"/>
      <c r="AH7" s="501"/>
      <c r="AI7" s="501"/>
    </row>
    <row r="8" s="472" customFormat="1" ht="35.05" spans="1:35">
      <c r="A8" s="482" t="s">
        <v>246</v>
      </c>
      <c r="B8" s="486">
        <f>'附表1-面积统计表'!G29</f>
        <v>44181.63</v>
      </c>
      <c r="C8" s="485" t="s">
        <v>247</v>
      </c>
      <c r="D8" s="485">
        <f>'附表1-面积统计表'!G5</f>
        <v>26385.54</v>
      </c>
      <c r="E8" s="485"/>
      <c r="F8" s="487" t="s">
        <v>248</v>
      </c>
      <c r="G8" s="485">
        <f>'附表1-面积统计表'!G6</f>
        <v>17218.06</v>
      </c>
      <c r="H8" s="485"/>
      <c r="I8" s="502" t="s">
        <v>249</v>
      </c>
      <c r="J8" s="503">
        <f>'附表1-面积统计表'!G7</f>
        <v>578.03</v>
      </c>
      <c r="K8" s="504"/>
      <c r="L8" s="504"/>
      <c r="M8" s="500"/>
      <c r="N8" s="500"/>
      <c r="O8" s="500"/>
      <c r="P8" s="501"/>
      <c r="Q8" s="501"/>
      <c r="R8" s="501"/>
      <c r="S8" s="501"/>
      <c r="T8" s="501"/>
      <c r="U8" s="501"/>
      <c r="V8" s="501"/>
      <c r="W8" s="501"/>
      <c r="X8" s="501"/>
      <c r="Y8" s="501"/>
      <c r="Z8" s="501"/>
      <c r="AA8" s="501"/>
      <c r="AB8" s="501"/>
      <c r="AC8" s="501"/>
      <c r="AD8" s="501"/>
      <c r="AE8" s="501"/>
      <c r="AF8" s="501"/>
      <c r="AG8" s="501"/>
      <c r="AH8" s="501"/>
      <c r="AI8" s="501"/>
    </row>
    <row r="9" s="472" customFormat="1" ht="35.05" spans="1:35">
      <c r="A9" s="482" t="s">
        <v>250</v>
      </c>
      <c r="B9" s="486">
        <f>'附表1-面积统计表'!H29</f>
        <v>10281.84</v>
      </c>
      <c r="C9" s="485" t="s">
        <v>251</v>
      </c>
      <c r="D9" s="485">
        <f>'附表1-面积统计表'!H5</f>
        <v>0</v>
      </c>
      <c r="E9" s="485"/>
      <c r="F9" s="487" t="s">
        <v>252</v>
      </c>
      <c r="G9" s="485">
        <f>'附表1-面积统计表'!H6</f>
        <v>239.34</v>
      </c>
      <c r="H9" s="485"/>
      <c r="I9" s="502" t="s">
        <v>253</v>
      </c>
      <c r="J9" s="503">
        <f>'附表1-面积统计表'!H7</f>
        <v>10042.5</v>
      </c>
      <c r="K9" s="504"/>
      <c r="L9" s="504"/>
      <c r="M9" s="500"/>
      <c r="N9" s="500"/>
      <c r="O9" s="500"/>
      <c r="P9" s="501"/>
      <c r="Q9" s="501"/>
      <c r="R9" s="501"/>
      <c r="S9" s="501"/>
      <c r="T9" s="501"/>
      <c r="U9" s="501"/>
      <c r="V9" s="501"/>
      <c r="W9" s="501"/>
      <c r="X9" s="501"/>
      <c r="Y9" s="501"/>
      <c r="Z9" s="501"/>
      <c r="AA9" s="501"/>
      <c r="AB9" s="501"/>
      <c r="AC9" s="501"/>
      <c r="AD9" s="501"/>
      <c r="AE9" s="501"/>
      <c r="AF9" s="501"/>
      <c r="AG9" s="501"/>
      <c r="AH9" s="501"/>
      <c r="AI9" s="501"/>
    </row>
    <row r="10" s="472" customFormat="1" ht="34.5" customHeight="1" spans="1:35">
      <c r="A10" s="488" t="s">
        <v>254</v>
      </c>
      <c r="B10" s="489"/>
      <c r="C10" s="490" t="s">
        <v>255</v>
      </c>
      <c r="D10" s="490" t="s">
        <v>256</v>
      </c>
      <c r="E10" s="490"/>
      <c r="F10" s="490" t="s">
        <v>257</v>
      </c>
      <c r="G10" s="490"/>
      <c r="H10" s="490" t="s">
        <v>258</v>
      </c>
      <c r="I10" s="490"/>
      <c r="J10" s="490" t="s">
        <v>259</v>
      </c>
      <c r="K10" s="490"/>
      <c r="L10" s="490"/>
      <c r="M10" s="500"/>
      <c r="N10" s="500"/>
      <c r="O10" s="500"/>
      <c r="P10" s="501"/>
      <c r="Q10" s="501"/>
      <c r="R10" s="501"/>
      <c r="S10" s="501"/>
      <c r="T10" s="501"/>
      <c r="U10" s="501"/>
      <c r="V10" s="501"/>
      <c r="W10" s="501"/>
      <c r="X10" s="501"/>
      <c r="Y10" s="501"/>
      <c r="Z10" s="501"/>
      <c r="AA10" s="501"/>
      <c r="AB10" s="501"/>
      <c r="AC10" s="501"/>
      <c r="AD10" s="501"/>
      <c r="AE10" s="501"/>
      <c r="AF10" s="501"/>
      <c r="AG10" s="501"/>
      <c r="AH10" s="501"/>
      <c r="AI10" s="501"/>
    </row>
    <row r="11" ht="34.5" customHeight="1" spans="1:12">
      <c r="A11" s="491" t="s">
        <v>260</v>
      </c>
      <c r="B11" s="491"/>
      <c r="C11" s="492" t="s">
        <v>261</v>
      </c>
      <c r="D11" s="493">
        <f t="shared" ref="D11:H11" si="0">SUM(D12:D14)</f>
        <v>108698463.87</v>
      </c>
      <c r="E11" s="493"/>
      <c r="F11" s="493">
        <f t="shared" si="0"/>
        <v>70519278.39</v>
      </c>
      <c r="G11" s="493"/>
      <c r="H11" s="493">
        <f t="shared" si="0"/>
        <v>12009800.03</v>
      </c>
      <c r="I11" s="493"/>
      <c r="J11" s="493">
        <f t="shared" ref="J11:J35" si="1">SUM(D11:I11)</f>
        <v>191227542.29</v>
      </c>
      <c r="K11" s="493"/>
      <c r="L11" s="493"/>
    </row>
    <row r="12" ht="34.5" customHeight="1" spans="1:15">
      <c r="A12" s="491" t="s">
        <v>262</v>
      </c>
      <c r="B12" s="491"/>
      <c r="C12" s="492">
        <v>2</v>
      </c>
      <c r="D12" s="493">
        <f>'附表2-收入统计表'!C5</f>
        <v>108698463.87</v>
      </c>
      <c r="E12" s="493"/>
      <c r="F12" s="493">
        <f>IF($H$6="三分法",'附表2-收入统计表'!C6,"")</f>
        <v>70519278.39</v>
      </c>
      <c r="G12" s="493"/>
      <c r="H12" s="493">
        <f>IF($H$6="三分法",'附表2-收入统计表'!C7,SUM('附表2-收入统计表'!C6:C7))</f>
        <v>12009800.03</v>
      </c>
      <c r="I12" s="493"/>
      <c r="J12" s="493">
        <f t="shared" si="1"/>
        <v>191227542.29</v>
      </c>
      <c r="K12" s="493"/>
      <c r="L12" s="493"/>
      <c r="M12" s="505">
        <f>D12/$D$8</f>
        <v>4119.62248527034</v>
      </c>
      <c r="N12" s="505">
        <f>F12/$G$8</f>
        <v>4095.65760544452</v>
      </c>
      <c r="O12" s="506">
        <f>H12/$J$8</f>
        <v>20777.122346591</v>
      </c>
    </row>
    <row r="13" ht="34.5" customHeight="1" spans="1:12">
      <c r="A13" s="491" t="s">
        <v>263</v>
      </c>
      <c r="B13" s="491"/>
      <c r="C13" s="492">
        <v>3</v>
      </c>
      <c r="D13" s="493">
        <f>'附表2-收入统计表'!D5</f>
        <v>0</v>
      </c>
      <c r="E13" s="493"/>
      <c r="F13" s="493">
        <f>IF($H$6="三分法",'附表2-收入统计表'!D6,"")</f>
        <v>0</v>
      </c>
      <c r="G13" s="493"/>
      <c r="H13" s="493">
        <f>IF($H$6="三分法",'附表2-收入统计表'!D7,SUM('附表2-收入统计表'!D6:D7))</f>
        <v>0</v>
      </c>
      <c r="I13" s="493"/>
      <c r="J13" s="493">
        <f t="shared" si="1"/>
        <v>0</v>
      </c>
      <c r="K13" s="493"/>
      <c r="L13" s="493"/>
    </row>
    <row r="14" ht="34.5" customHeight="1" spans="1:12">
      <c r="A14" s="491" t="s">
        <v>264</v>
      </c>
      <c r="B14" s="491"/>
      <c r="C14" s="492">
        <v>4</v>
      </c>
      <c r="D14" s="493">
        <f>'附表2-收入统计表'!E5</f>
        <v>0</v>
      </c>
      <c r="E14" s="493"/>
      <c r="F14" s="493">
        <f>IF($H$6="三分法",'附表2-收入统计表'!E6,"")</f>
        <v>0</v>
      </c>
      <c r="G14" s="493"/>
      <c r="H14" s="493">
        <f>IF($H$6="三分法",'附表2-收入统计表'!E7,SUM('附表2-收入统计表'!E6:E7))</f>
        <v>0</v>
      </c>
      <c r="I14" s="493"/>
      <c r="J14" s="493">
        <f t="shared" si="1"/>
        <v>0</v>
      </c>
      <c r="K14" s="493"/>
      <c r="L14" s="493"/>
    </row>
    <row r="15" ht="34.5" customHeight="1" spans="1:12">
      <c r="A15" s="491" t="s">
        <v>265</v>
      </c>
      <c r="B15" s="491"/>
      <c r="C15" s="492" t="s">
        <v>266</v>
      </c>
      <c r="D15" s="493">
        <f t="shared" ref="D15:H15" si="2">SUM(D16)+SUM(D18)+SUM(D26)+SUM(D29)+SUM(D33)+SUM(D34)</f>
        <v>88646990.21</v>
      </c>
      <c r="E15" s="493"/>
      <c r="F15" s="493">
        <f t="shared" si="2"/>
        <v>55673682.87</v>
      </c>
      <c r="G15" s="493"/>
      <c r="H15" s="493">
        <f t="shared" si="2"/>
        <v>2369637.53</v>
      </c>
      <c r="I15" s="493"/>
      <c r="J15" s="493">
        <f t="shared" si="1"/>
        <v>146690310.61</v>
      </c>
      <c r="K15" s="493"/>
      <c r="L15" s="493"/>
    </row>
    <row r="16" s="473" customFormat="1" ht="34.5" customHeight="1" spans="1:35">
      <c r="A16" s="491" t="s">
        <v>267</v>
      </c>
      <c r="B16" s="491"/>
      <c r="C16" s="492">
        <v>6</v>
      </c>
      <c r="D16" s="493">
        <f>SUM('附表3-扣除项目分摊表'!K7)</f>
        <v>0</v>
      </c>
      <c r="E16" s="493"/>
      <c r="F16" s="493">
        <f>IF($H$6="三分法",SUM('附表3-扣除项目分摊表'!L7),"")</f>
        <v>0</v>
      </c>
      <c r="G16" s="493"/>
      <c r="H16" s="493">
        <f>IF($H$6="三分法",SUM('附表3-扣除项目分摊表'!M7),SUM('附表3-扣除项目分摊表'!L7:M7))</f>
        <v>0</v>
      </c>
      <c r="I16" s="493"/>
      <c r="J16" s="493">
        <f t="shared" si="1"/>
        <v>0</v>
      </c>
      <c r="K16" s="493"/>
      <c r="L16" s="493"/>
      <c r="M16" s="505"/>
      <c r="N16" s="505"/>
      <c r="O16" s="505"/>
      <c r="P16" s="507"/>
      <c r="Q16" s="507"/>
      <c r="R16" s="507"/>
      <c r="S16" s="507"/>
      <c r="T16" s="507"/>
      <c r="U16" s="507"/>
      <c r="V16" s="507"/>
      <c r="W16" s="507"/>
      <c r="X16" s="507"/>
      <c r="Y16" s="507"/>
      <c r="Z16" s="507"/>
      <c r="AA16" s="507"/>
      <c r="AB16" s="507"/>
      <c r="AC16" s="507"/>
      <c r="AD16" s="507"/>
      <c r="AE16" s="507"/>
      <c r="AF16" s="507"/>
      <c r="AG16" s="507"/>
      <c r="AH16" s="507"/>
      <c r="AI16" s="507"/>
    </row>
    <row r="17" s="473" customFormat="1" ht="34.5" customHeight="1" spans="1:35">
      <c r="A17" s="491" t="s">
        <v>268</v>
      </c>
      <c r="B17" s="491"/>
      <c r="C17" s="494" t="s">
        <v>269</v>
      </c>
      <c r="D17" s="493">
        <f>SUM('附表3-扣除项目分摊表'!K8)</f>
        <v>0</v>
      </c>
      <c r="E17" s="493"/>
      <c r="F17" s="493">
        <f>IF($H$6="三分法",SUM('附表3-扣除项目分摊表'!L8),"")</f>
        <v>0</v>
      </c>
      <c r="G17" s="493"/>
      <c r="H17" s="493">
        <f>IF($H$6="三分法",SUM('附表3-扣除项目分摊表'!M8),SUM('附表3-扣除项目分摊表'!L8:M8))</f>
        <v>0</v>
      </c>
      <c r="I17" s="493"/>
      <c r="J17" s="508">
        <f t="shared" si="1"/>
        <v>0</v>
      </c>
      <c r="K17" s="508"/>
      <c r="L17" s="508"/>
      <c r="M17" s="505"/>
      <c r="N17" s="505"/>
      <c r="O17" s="505"/>
      <c r="P17" s="507"/>
      <c r="Q17" s="507"/>
      <c r="R17" s="507"/>
      <c r="S17" s="507"/>
      <c r="T17" s="507"/>
      <c r="U17" s="507"/>
      <c r="V17" s="507"/>
      <c r="W17" s="507"/>
      <c r="X17" s="507"/>
      <c r="Y17" s="507"/>
      <c r="Z17" s="507"/>
      <c r="AA17" s="507"/>
      <c r="AB17" s="507"/>
      <c r="AC17" s="507"/>
      <c r="AD17" s="507"/>
      <c r="AE17" s="507"/>
      <c r="AF17" s="507"/>
      <c r="AG17" s="507"/>
      <c r="AH17" s="507"/>
      <c r="AI17" s="507"/>
    </row>
    <row r="18" s="473" customFormat="1" ht="34.5" customHeight="1" spans="1:35">
      <c r="A18" s="491" t="s">
        <v>270</v>
      </c>
      <c r="B18" s="491"/>
      <c r="C18" s="492" t="s">
        <v>271</v>
      </c>
      <c r="D18" s="493">
        <f t="shared" ref="D18:H18" si="3">SUM(D19:D24)</f>
        <v>67911934.41</v>
      </c>
      <c r="E18" s="493"/>
      <c r="F18" s="493">
        <f t="shared" si="3"/>
        <v>42656404.09</v>
      </c>
      <c r="G18" s="493"/>
      <c r="H18" s="493">
        <f t="shared" si="3"/>
        <v>1798161.32</v>
      </c>
      <c r="I18" s="493"/>
      <c r="J18" s="508">
        <f t="shared" si="1"/>
        <v>112366499.82</v>
      </c>
      <c r="K18" s="508"/>
      <c r="L18" s="508"/>
      <c r="M18" s="505"/>
      <c r="N18" s="505"/>
      <c r="O18" s="505"/>
      <c r="P18" s="507"/>
      <c r="Q18" s="507">
        <f>J18-P18</f>
        <v>112366499.82</v>
      </c>
      <c r="R18" s="507"/>
      <c r="S18" s="507"/>
      <c r="T18" s="507"/>
      <c r="U18" s="507"/>
      <c r="V18" s="507"/>
      <c r="W18" s="507"/>
      <c r="X18" s="507"/>
      <c r="Y18" s="507"/>
      <c r="Z18" s="507"/>
      <c r="AA18" s="507"/>
      <c r="AB18" s="507"/>
      <c r="AC18" s="507"/>
      <c r="AD18" s="507"/>
      <c r="AE18" s="507"/>
      <c r="AF18" s="507"/>
      <c r="AG18" s="507"/>
      <c r="AH18" s="507"/>
      <c r="AI18" s="507"/>
    </row>
    <row r="19" s="473" customFormat="1" ht="34.5" customHeight="1" spans="1:35">
      <c r="A19" s="491" t="s">
        <v>272</v>
      </c>
      <c r="B19" s="491"/>
      <c r="C19" s="492">
        <v>8</v>
      </c>
      <c r="D19" s="493">
        <f>SUM('附表3-扣除项目分摊表'!K10)</f>
        <v>668995.79</v>
      </c>
      <c r="E19" s="493"/>
      <c r="F19" s="493">
        <f>IF($H$6="三分法",SUM('附表3-扣除项目分摊表'!L10),"")</f>
        <v>436557.67</v>
      </c>
      <c r="G19" s="493"/>
      <c r="H19" s="493">
        <f>IF($H$6="三分法",SUM('附表3-扣除项目分摊表'!M10),SUM('附表3-扣除项目分摊表'!L10:M10))</f>
        <v>14655.82</v>
      </c>
      <c r="I19" s="493"/>
      <c r="J19" s="508">
        <f t="shared" si="1"/>
        <v>1120209.28</v>
      </c>
      <c r="K19" s="508"/>
      <c r="L19" s="508"/>
      <c r="M19" s="505">
        <f>D19/$D$8</f>
        <v>25.3546370474131</v>
      </c>
      <c r="N19" s="505">
        <f t="shared" ref="N19:N24" si="4">F19/$G$8</f>
        <v>25.3546375143309</v>
      </c>
      <c r="O19" s="506">
        <f t="shared" ref="O19:O24" si="5">H19/$J$8</f>
        <v>25.3547739736692</v>
      </c>
      <c r="P19" s="507"/>
      <c r="Q19" s="507"/>
      <c r="R19" s="507"/>
      <c r="S19" s="507"/>
      <c r="T19" s="507"/>
      <c r="U19" s="507"/>
      <c r="V19" s="507"/>
      <c r="W19" s="507"/>
      <c r="X19" s="507"/>
      <c r="Y19" s="507"/>
      <c r="Z19" s="507"/>
      <c r="AA19" s="507"/>
      <c r="AB19" s="507"/>
      <c r="AC19" s="507"/>
      <c r="AD19" s="507"/>
      <c r="AE19" s="507"/>
      <c r="AF19" s="507"/>
      <c r="AG19" s="507"/>
      <c r="AH19" s="507"/>
      <c r="AI19" s="507"/>
    </row>
    <row r="20" s="473" customFormat="1" ht="34.5" customHeight="1" spans="1:35">
      <c r="A20" s="491" t="s">
        <v>273</v>
      </c>
      <c r="B20" s="491"/>
      <c r="C20" s="492">
        <v>9</v>
      </c>
      <c r="D20" s="493">
        <f>SUM('附表3-扣除项目分摊表'!K11)</f>
        <v>3382707.67</v>
      </c>
      <c r="E20" s="493"/>
      <c r="F20" s="493">
        <f>IF($H$6="三分法",SUM('附表3-扣除项目分摊表'!L11),"")</f>
        <v>2207408.27</v>
      </c>
      <c r="G20" s="493"/>
      <c r="H20" s="493">
        <f>IF($H$6="三分法",SUM('附表3-扣除项目分摊表'!M11),SUM('附表3-扣除项目分摊表'!L11:M11))</f>
        <v>73885.77</v>
      </c>
      <c r="I20" s="493"/>
      <c r="J20" s="508">
        <f t="shared" si="1"/>
        <v>5664001.71</v>
      </c>
      <c r="K20" s="508"/>
      <c r="L20" s="508"/>
      <c r="M20" s="505">
        <f t="shared" ref="M19:M24" si="6">D20/$D$8</f>
        <v>128.203086614866</v>
      </c>
      <c r="N20" s="505">
        <f t="shared" si="4"/>
        <v>128.203076885549</v>
      </c>
      <c r="O20" s="506">
        <f t="shared" si="5"/>
        <v>127.823417469682</v>
      </c>
      <c r="P20" s="507"/>
      <c r="Q20" s="507"/>
      <c r="R20" s="507"/>
      <c r="S20" s="507"/>
      <c r="T20" s="507"/>
      <c r="U20" s="507"/>
      <c r="V20" s="507"/>
      <c r="W20" s="507"/>
      <c r="X20" s="507"/>
      <c r="Y20" s="507"/>
      <c r="Z20" s="507"/>
      <c r="AA20" s="507"/>
      <c r="AB20" s="507"/>
      <c r="AC20" s="507"/>
      <c r="AD20" s="507"/>
      <c r="AE20" s="507"/>
      <c r="AF20" s="507"/>
      <c r="AG20" s="507"/>
      <c r="AH20" s="507"/>
      <c r="AI20" s="507"/>
    </row>
    <row r="21" s="473" customFormat="1" ht="34.5" customHeight="1" spans="1:35">
      <c r="A21" s="491" t="s">
        <v>274</v>
      </c>
      <c r="B21" s="491"/>
      <c r="C21" s="492">
        <v>10</v>
      </c>
      <c r="D21" s="493">
        <f>SUM('附表3-扣除项目分摊表'!K12)</f>
        <v>46908389.72</v>
      </c>
      <c r="E21" s="493"/>
      <c r="F21" s="493">
        <f>IF($H$6="三分法",SUM('附表3-扣除项目分摊表'!L12),"")</f>
        <v>30610401.51</v>
      </c>
      <c r="G21" s="493"/>
      <c r="H21" s="493">
        <f>IF($H$6="三分法",SUM('附表3-扣除项目分摊表'!M12),SUM('附表3-扣除项目分摊表'!L12:M12))</f>
        <v>1345886.36</v>
      </c>
      <c r="I21" s="493"/>
      <c r="J21" s="508">
        <f t="shared" si="1"/>
        <v>78864677.59</v>
      </c>
      <c r="K21" s="508"/>
      <c r="L21" s="508"/>
      <c r="M21" s="505">
        <f t="shared" si="6"/>
        <v>1777.80669715306</v>
      </c>
      <c r="N21" s="505">
        <f t="shared" si="4"/>
        <v>1777.80780819674</v>
      </c>
      <c r="O21" s="506">
        <f t="shared" si="5"/>
        <v>2328.40226285833</v>
      </c>
      <c r="P21" s="507"/>
      <c r="Q21" s="507"/>
      <c r="R21" s="507"/>
      <c r="S21" s="507"/>
      <c r="T21" s="507"/>
      <c r="U21" s="507"/>
      <c r="V21" s="507"/>
      <c r="W21" s="507"/>
      <c r="X21" s="507"/>
      <c r="Y21" s="507"/>
      <c r="Z21" s="507"/>
      <c r="AA21" s="507"/>
      <c r="AB21" s="507"/>
      <c r="AC21" s="507"/>
      <c r="AD21" s="507"/>
      <c r="AE21" s="507"/>
      <c r="AF21" s="507"/>
      <c r="AG21" s="507"/>
      <c r="AH21" s="507"/>
      <c r="AI21" s="507"/>
    </row>
    <row r="22" s="473" customFormat="1" ht="34.5" customHeight="1" spans="1:35">
      <c r="A22" s="491" t="s">
        <v>275</v>
      </c>
      <c r="B22" s="491"/>
      <c r="C22" s="492">
        <v>11</v>
      </c>
      <c r="D22" s="493">
        <f>SUM('附表3-扣除项目分摊表'!K13)</f>
        <v>11101502.1</v>
      </c>
      <c r="E22" s="493"/>
      <c r="F22" s="493">
        <f>IF($H$6="三分法",SUM('附表3-扣除项目分摊表'!L13),"")</f>
        <v>7244358.8</v>
      </c>
      <c r="G22" s="493"/>
      <c r="H22" s="493">
        <f>IF($H$6="三分法",SUM('附表3-扣除项目分摊表'!M13),SUM('附表3-扣除项目分摊表'!L13:M13))</f>
        <v>263672.07</v>
      </c>
      <c r="I22" s="493"/>
      <c r="J22" s="493">
        <f t="shared" si="1"/>
        <v>18609532.97</v>
      </c>
      <c r="K22" s="493"/>
      <c r="L22" s="493"/>
      <c r="M22" s="505">
        <f t="shared" si="6"/>
        <v>420.741894992485</v>
      </c>
      <c r="N22" s="505">
        <f t="shared" si="4"/>
        <v>420.741872196984</v>
      </c>
      <c r="O22" s="506">
        <f t="shared" si="5"/>
        <v>456.156375966645</v>
      </c>
      <c r="P22" s="507"/>
      <c r="Q22" s="507"/>
      <c r="R22" s="507"/>
      <c r="S22" s="507"/>
      <c r="T22" s="507"/>
      <c r="U22" s="507"/>
      <c r="V22" s="507"/>
      <c r="W22" s="507"/>
      <c r="X22" s="507"/>
      <c r="Y22" s="507"/>
      <c r="Z22" s="507"/>
      <c r="AA22" s="507"/>
      <c r="AB22" s="507"/>
      <c r="AC22" s="507"/>
      <c r="AD22" s="507"/>
      <c r="AE22" s="507"/>
      <c r="AF22" s="507"/>
      <c r="AG22" s="507"/>
      <c r="AH22" s="507"/>
      <c r="AI22" s="507"/>
    </row>
    <row r="23" s="473" customFormat="1" ht="34.5" customHeight="1" spans="1:35">
      <c r="A23" s="491" t="s">
        <v>276</v>
      </c>
      <c r="B23" s="491"/>
      <c r="C23" s="492">
        <v>12</v>
      </c>
      <c r="D23" s="493">
        <f>SUM('附表3-扣除项目分摊表'!K14)</f>
        <v>4319535.82</v>
      </c>
      <c r="E23" s="493"/>
      <c r="F23" s="493">
        <f>IF($H$6="三分法",SUM('附表3-扣除项目分摊表'!L14),"")</f>
        <v>1158742.03</v>
      </c>
      <c r="G23" s="493"/>
      <c r="H23" s="493">
        <f>IF($H$6="三分法",SUM('附表3-扣除项目分摊表'!M14),SUM('附表3-扣除项目分摊表'!L14:M14))</f>
        <v>70141.58</v>
      </c>
      <c r="I23" s="493"/>
      <c r="J23" s="493">
        <f t="shared" si="1"/>
        <v>5548419.43</v>
      </c>
      <c r="K23" s="493"/>
      <c r="L23" s="493"/>
      <c r="M23" s="505">
        <f t="shared" si="6"/>
        <v>163.708448642704</v>
      </c>
      <c r="N23" s="505">
        <f t="shared" si="4"/>
        <v>67.2980597117213</v>
      </c>
      <c r="O23" s="506">
        <f t="shared" si="5"/>
        <v>121.345916301922</v>
      </c>
      <c r="P23" s="507"/>
      <c r="Q23" s="507"/>
      <c r="R23" s="507"/>
      <c r="S23" s="507"/>
      <c r="T23" s="507"/>
      <c r="U23" s="507"/>
      <c r="V23" s="507"/>
      <c r="W23" s="507"/>
      <c r="X23" s="507"/>
      <c r="Y23" s="507"/>
      <c r="Z23" s="507"/>
      <c r="AA23" s="507"/>
      <c r="AB23" s="507"/>
      <c r="AC23" s="507"/>
      <c r="AD23" s="507"/>
      <c r="AE23" s="507"/>
      <c r="AF23" s="507"/>
      <c r="AG23" s="507"/>
      <c r="AH23" s="507"/>
      <c r="AI23" s="507"/>
    </row>
    <row r="24" s="473" customFormat="1" ht="34.5" customHeight="1" spans="1:35">
      <c r="A24" s="491" t="s">
        <v>277</v>
      </c>
      <c r="B24" s="491"/>
      <c r="C24" s="492">
        <v>13</v>
      </c>
      <c r="D24" s="493">
        <f>SUM('附表3-扣除项目分摊表'!K15)</f>
        <v>1530803.31</v>
      </c>
      <c r="E24" s="493"/>
      <c r="F24" s="493">
        <f>IF($H$6="三分法",SUM('附表3-扣除项目分摊表'!L15),"")</f>
        <v>998935.81</v>
      </c>
      <c r="G24" s="493"/>
      <c r="H24" s="493">
        <f>IF($H$6="三分法",SUM('附表3-扣除项目分摊表'!M15),SUM('附表3-扣除项目分摊表'!L15:M15))</f>
        <v>29919.72</v>
      </c>
      <c r="I24" s="493"/>
      <c r="J24" s="493">
        <f t="shared" si="1"/>
        <v>2559658.84</v>
      </c>
      <c r="K24" s="493"/>
      <c r="L24" s="493"/>
      <c r="M24" s="505">
        <f t="shared" si="6"/>
        <v>58.0167512205549</v>
      </c>
      <c r="N24" s="505">
        <f t="shared" si="4"/>
        <v>58.0167457890146</v>
      </c>
      <c r="O24" s="506">
        <f t="shared" si="5"/>
        <v>51.7615348684324</v>
      </c>
      <c r="P24" s="507"/>
      <c r="Q24" s="507"/>
      <c r="R24" s="507"/>
      <c r="S24" s="507"/>
      <c r="T24" s="507"/>
      <c r="U24" s="507"/>
      <c r="V24" s="507"/>
      <c r="W24" s="507"/>
      <c r="X24" s="507"/>
      <c r="Y24" s="507"/>
      <c r="Z24" s="507"/>
      <c r="AA24" s="507"/>
      <c r="AB24" s="507"/>
      <c r="AC24" s="507"/>
      <c r="AD24" s="507"/>
      <c r="AE24" s="507"/>
      <c r="AF24" s="507"/>
      <c r="AG24" s="507"/>
      <c r="AH24" s="507"/>
      <c r="AI24" s="507"/>
    </row>
    <row r="25" s="473" customFormat="1" ht="34.5" customHeight="1" spans="1:35">
      <c r="A25" s="491" t="s">
        <v>268</v>
      </c>
      <c r="B25" s="491"/>
      <c r="C25" s="494" t="s">
        <v>278</v>
      </c>
      <c r="D25" s="493">
        <f>SUM('附表3-扣除项目分摊表'!K16)</f>
        <v>0</v>
      </c>
      <c r="E25" s="493"/>
      <c r="F25" s="493">
        <f>IF($H$6="三分法",SUM('附表3-扣除项目分摊表'!L16),"")</f>
        <v>0</v>
      </c>
      <c r="G25" s="493"/>
      <c r="H25" s="493">
        <f>IF($H$6="三分法",SUM('附表3-扣除项目分摊表'!M16),SUM('附表3-扣除项目分摊表'!L16:M16))</f>
        <v>0</v>
      </c>
      <c r="I25" s="493"/>
      <c r="J25" s="493">
        <f t="shared" si="1"/>
        <v>0</v>
      </c>
      <c r="K25" s="493"/>
      <c r="L25" s="493"/>
      <c r="M25" s="505"/>
      <c r="N25" s="505"/>
      <c r="O25" s="505"/>
      <c r="P25" s="507"/>
      <c r="Q25" s="507"/>
      <c r="R25" s="507"/>
      <c r="S25" s="507"/>
      <c r="T25" s="507"/>
      <c r="U25" s="507"/>
      <c r="V25" s="507"/>
      <c r="W25" s="507"/>
      <c r="X25" s="507"/>
      <c r="Y25" s="507"/>
      <c r="Z25" s="507"/>
      <c r="AA25" s="507"/>
      <c r="AB25" s="507"/>
      <c r="AC25" s="507"/>
      <c r="AD25" s="507"/>
      <c r="AE25" s="507"/>
      <c r="AF25" s="507"/>
      <c r="AG25" s="507"/>
      <c r="AH25" s="507"/>
      <c r="AI25" s="507"/>
    </row>
    <row r="26" ht="34.5" customHeight="1" spans="1:15">
      <c r="A26" s="491" t="s">
        <v>279</v>
      </c>
      <c r="B26" s="491"/>
      <c r="C26" s="492" t="s">
        <v>280</v>
      </c>
      <c r="D26" s="493">
        <f t="shared" ref="D26:H26" si="7">SUM(D27:D28)</f>
        <v>6791193.44</v>
      </c>
      <c r="E26" s="493"/>
      <c r="F26" s="493">
        <f t="shared" si="7"/>
        <v>4265640.41</v>
      </c>
      <c r="G26" s="493"/>
      <c r="H26" s="493">
        <f t="shared" si="7"/>
        <v>179816.13</v>
      </c>
      <c r="I26" s="493"/>
      <c r="J26" s="493">
        <f t="shared" si="1"/>
        <v>11236649.98</v>
      </c>
      <c r="K26" s="493"/>
      <c r="L26" s="493"/>
      <c r="O26" s="475">
        <f>SUM(O19:O25)</f>
        <v>3110.84428143868</v>
      </c>
    </row>
    <row r="27" ht="34.5" customHeight="1" spans="1:12">
      <c r="A27" s="491" t="s">
        <v>281</v>
      </c>
      <c r="B27" s="491"/>
      <c r="C27" s="492">
        <v>15</v>
      </c>
      <c r="D27" s="493">
        <f>SUM('附表3-扣除项目分摊表'!K18)</f>
        <v>0</v>
      </c>
      <c r="E27" s="493"/>
      <c r="F27" s="493">
        <f>IF($H$6="三分法",SUM('附表3-扣除项目分摊表'!L18),"")</f>
        <v>0</v>
      </c>
      <c r="G27" s="493"/>
      <c r="H27" s="493">
        <f>IF($H$6="三分法",SUM('附表3-扣除项目分摊表'!M18),SUM('附表3-扣除项目分摊表'!L18:M18))</f>
        <v>0</v>
      </c>
      <c r="I27" s="493"/>
      <c r="J27" s="493">
        <f t="shared" si="1"/>
        <v>0</v>
      </c>
      <c r="K27" s="493"/>
      <c r="L27" s="493"/>
    </row>
    <row r="28" ht="34.5" customHeight="1" spans="1:15">
      <c r="A28" s="491" t="s">
        <v>282</v>
      </c>
      <c r="B28" s="491"/>
      <c r="C28" s="492">
        <v>16</v>
      </c>
      <c r="D28" s="493">
        <f>SUM('附表3-扣除项目分摊表'!K19)</f>
        <v>6791193.44</v>
      </c>
      <c r="E28" s="493"/>
      <c r="F28" s="493">
        <f>IF($H$6="三分法",SUM('附表3-扣除项目分摊表'!L19),"")</f>
        <v>4265640.41</v>
      </c>
      <c r="G28" s="493"/>
      <c r="H28" s="493">
        <f>IF($H$6="三分法",SUM('附表3-扣除项目分摊表'!M19),SUM('附表3-扣除项目分摊表'!L19:M19))</f>
        <v>179816.13</v>
      </c>
      <c r="I28" s="493"/>
      <c r="J28" s="493">
        <f t="shared" si="1"/>
        <v>11236649.98</v>
      </c>
      <c r="K28" s="493"/>
      <c r="L28" s="493"/>
      <c r="O28" s="475">
        <f>O26*1.3</f>
        <v>4044.09756587028</v>
      </c>
    </row>
    <row r="29" ht="34.5" customHeight="1" spans="1:12">
      <c r="A29" s="491" t="s">
        <v>283</v>
      </c>
      <c r="B29" s="491"/>
      <c r="C29" s="492" t="s">
        <v>284</v>
      </c>
      <c r="D29" s="493">
        <f t="shared" ref="D29:H29" si="8">SUM(D30:D32)</f>
        <v>361475.48</v>
      </c>
      <c r="E29" s="493"/>
      <c r="F29" s="493">
        <f t="shared" si="8"/>
        <v>220357.55</v>
      </c>
      <c r="G29" s="493"/>
      <c r="H29" s="493">
        <f t="shared" si="8"/>
        <v>32027.82</v>
      </c>
      <c r="I29" s="493"/>
      <c r="J29" s="493">
        <f t="shared" si="1"/>
        <v>613860.85</v>
      </c>
      <c r="K29" s="493"/>
      <c r="L29" s="493"/>
    </row>
    <row r="30" ht="34.5" customHeight="1" spans="1:12">
      <c r="A30" s="491" t="s">
        <v>285</v>
      </c>
      <c r="B30" s="491"/>
      <c r="C30" s="492">
        <v>18</v>
      </c>
      <c r="D30" s="493">
        <f>SUM('附表3-扣除项目分摊表'!K21)</f>
        <v>0</v>
      </c>
      <c r="E30" s="493"/>
      <c r="F30" s="493">
        <f>IF($H$6="三分法",SUM('附表3-扣除项目分摊表'!L21),"")</f>
        <v>0</v>
      </c>
      <c r="G30" s="493"/>
      <c r="H30" s="493">
        <f>IF($H$6="三分法",SUM('附表3-扣除项目分摊表'!M21),SUM('附表3-扣除项目分摊表'!L21:M21))</f>
        <v>0</v>
      </c>
      <c r="I30" s="493"/>
      <c r="J30" s="493">
        <f t="shared" si="1"/>
        <v>0</v>
      </c>
      <c r="K30" s="493"/>
      <c r="L30" s="493"/>
    </row>
    <row r="31" ht="34.5" customHeight="1" spans="1:12">
      <c r="A31" s="491" t="s">
        <v>286</v>
      </c>
      <c r="B31" s="491"/>
      <c r="C31" s="492">
        <v>19</v>
      </c>
      <c r="D31" s="493">
        <f>SUM('附表3-扣除项目分摊表'!K22)</f>
        <v>210860.71</v>
      </c>
      <c r="E31" s="493"/>
      <c r="F31" s="493">
        <f>IF($H$6="三分法",SUM('附表3-扣除项目分摊表'!L22),"")</f>
        <v>128541.91</v>
      </c>
      <c r="G31" s="493"/>
      <c r="H31" s="493">
        <f>IF($H$6="三分法",SUM('附表3-扣除项目分摊表'!M22),SUM('附表3-扣除项目分摊表'!L22:M22))</f>
        <v>18682.9</v>
      </c>
      <c r="I31" s="493"/>
      <c r="J31" s="493">
        <f t="shared" si="1"/>
        <v>358085.52</v>
      </c>
      <c r="K31" s="493"/>
      <c r="L31" s="493"/>
    </row>
    <row r="32" ht="34.5" customHeight="1" spans="1:12">
      <c r="A32" s="491" t="s">
        <v>287</v>
      </c>
      <c r="B32" s="491"/>
      <c r="C32" s="492">
        <v>20</v>
      </c>
      <c r="D32" s="493">
        <f>SUM('附表3-扣除项目分摊表'!K23:K25)</f>
        <v>150614.77</v>
      </c>
      <c r="E32" s="493"/>
      <c r="F32" s="493">
        <f>IF($H$6="三分法",SUM('附表3-扣除项目分摊表'!L23:L25),"")</f>
        <v>91815.64</v>
      </c>
      <c r="G32" s="493"/>
      <c r="H32" s="493">
        <f>IF($H$6="三分法",SUM('附表3-扣除项目分摊表'!M23:M25),SUM('附表3-扣除项目分摊表'!L23:M25))</f>
        <v>13344.92</v>
      </c>
      <c r="I32" s="493"/>
      <c r="J32" s="493">
        <f t="shared" si="1"/>
        <v>255775.33</v>
      </c>
      <c r="K32" s="493"/>
      <c r="L32" s="493"/>
    </row>
    <row r="33" ht="34.5" customHeight="1" spans="1:12">
      <c r="A33" s="491" t="s">
        <v>288</v>
      </c>
      <c r="B33" s="491"/>
      <c r="C33" s="492">
        <v>21</v>
      </c>
      <c r="D33" s="493">
        <f>SUM('附表3-扣除项目分摊表'!K26)</f>
        <v>13582386.88</v>
      </c>
      <c r="E33" s="493"/>
      <c r="F33" s="493">
        <f>IF($H$6="三分法",SUM('附表3-扣除项目分摊表'!L26),"")</f>
        <v>8531280.82</v>
      </c>
      <c r="G33" s="493"/>
      <c r="H33" s="493">
        <f>IF($H$6="三分法",SUM('附表3-扣除项目分摊表'!M26),SUM('附表3-扣除项目分摊表'!L26:M26))</f>
        <v>359632.26</v>
      </c>
      <c r="I33" s="493"/>
      <c r="J33" s="493">
        <f t="shared" si="1"/>
        <v>22473299.96</v>
      </c>
      <c r="K33" s="493"/>
      <c r="L33" s="493"/>
    </row>
    <row r="34" ht="34.5" customHeight="1" spans="1:12">
      <c r="A34" s="491" t="s">
        <v>289</v>
      </c>
      <c r="B34" s="491"/>
      <c r="C34" s="492">
        <v>22</v>
      </c>
      <c r="D34" s="493">
        <f>SUM('附表3-扣除项目分摊表'!K27)</f>
        <v>0</v>
      </c>
      <c r="E34" s="493"/>
      <c r="F34" s="493">
        <f>IF($H$6="三分法",SUM('附表3-扣除项目分摊表'!L27),"")</f>
        <v>0</v>
      </c>
      <c r="G34" s="493"/>
      <c r="H34" s="493">
        <f>IF($H$6="三分法",SUM('附表3-扣除项目分摊表'!M27),SUM('附表3-扣除项目分摊表'!L27:M27))</f>
        <v>0</v>
      </c>
      <c r="I34" s="493"/>
      <c r="J34" s="493">
        <f t="shared" si="1"/>
        <v>0</v>
      </c>
      <c r="K34" s="493"/>
      <c r="L34" s="493"/>
    </row>
    <row r="35" ht="34.5" customHeight="1" spans="1:12">
      <c r="A35" s="491" t="s">
        <v>290</v>
      </c>
      <c r="B35" s="491"/>
      <c r="C35" s="492" t="s">
        <v>291</v>
      </c>
      <c r="D35" s="493">
        <f t="shared" ref="D35:H35" si="9">D11-D15</f>
        <v>20051473.66</v>
      </c>
      <c r="E35" s="493"/>
      <c r="F35" s="493">
        <f t="shared" si="9"/>
        <v>14845595.52</v>
      </c>
      <c r="G35" s="493"/>
      <c r="H35" s="493">
        <f t="shared" si="9"/>
        <v>9640162.5</v>
      </c>
      <c r="I35" s="493"/>
      <c r="J35" s="493">
        <f t="shared" si="1"/>
        <v>44537231.68</v>
      </c>
      <c r="K35" s="493"/>
      <c r="L35" s="493"/>
    </row>
    <row r="36" ht="34.5" customHeight="1" spans="1:12">
      <c r="A36" s="491" t="s">
        <v>292</v>
      </c>
      <c r="B36" s="491"/>
      <c r="C36" s="492" t="s">
        <v>293</v>
      </c>
      <c r="D36" s="495">
        <f t="shared" ref="D36:H36" si="10">IF(D15=0,"",ROUND(D35/D15,6))</f>
        <v>0.226195</v>
      </c>
      <c r="E36" s="495"/>
      <c r="F36" s="495">
        <f t="shared" si="10"/>
        <v>0.266654</v>
      </c>
      <c r="G36" s="495"/>
      <c r="H36" s="495">
        <f>IF(H15=0,"",ROUND(H35/H15,6))</f>
        <v>4.068201</v>
      </c>
      <c r="I36" s="495"/>
      <c r="J36" s="509">
        <f>IF(J15=0,"",ROUND(J35/J15,6))</f>
        <v>0.303614</v>
      </c>
      <c r="K36" s="509"/>
      <c r="L36" s="509"/>
    </row>
    <row r="37" ht="34.5" customHeight="1" spans="1:12">
      <c r="A37" s="491" t="s">
        <v>294</v>
      </c>
      <c r="B37" s="491"/>
      <c r="C37" s="492">
        <v>25</v>
      </c>
      <c r="D37" s="495">
        <f t="shared" ref="D37:H37" si="11">IF(D35&lt;0,"",IF(D36="","",IF(D36&gt;200%,60%,IF(D36&gt;100%,50%,IF(D36&gt;50%,40%,30%)))))</f>
        <v>0.3</v>
      </c>
      <c r="E37" s="495"/>
      <c r="F37" s="495">
        <f t="shared" si="11"/>
        <v>0.3</v>
      </c>
      <c r="G37" s="495"/>
      <c r="H37" s="495">
        <f t="shared" si="11"/>
        <v>0.6</v>
      </c>
      <c r="I37" s="495"/>
      <c r="J37" s="509"/>
      <c r="K37" s="509"/>
      <c r="L37" s="509"/>
    </row>
    <row r="38" ht="34.5" customHeight="1" spans="1:12">
      <c r="A38" s="491" t="s">
        <v>295</v>
      </c>
      <c r="B38" s="491"/>
      <c r="C38" s="492">
        <v>26</v>
      </c>
      <c r="D38" s="495">
        <f t="shared" ref="D38:H38" si="12">IF(D36="","",IF(D36&gt;200%,35%,IF(D36&gt;100%,15%,IF(D36&gt;50%,5%,0))))</f>
        <v>0</v>
      </c>
      <c r="E38" s="495"/>
      <c r="F38" s="495">
        <f t="shared" si="12"/>
        <v>0</v>
      </c>
      <c r="G38" s="495"/>
      <c r="H38" s="495">
        <f t="shared" si="12"/>
        <v>0.35</v>
      </c>
      <c r="I38" s="495"/>
      <c r="J38" s="509"/>
      <c r="K38" s="509"/>
      <c r="L38" s="509"/>
    </row>
    <row r="39" ht="34.5" customHeight="1" spans="1:12">
      <c r="A39" s="491" t="s">
        <v>296</v>
      </c>
      <c r="B39" s="491"/>
      <c r="C39" s="492" t="s">
        <v>297</v>
      </c>
      <c r="D39" s="493">
        <f t="shared" ref="D39:H39" si="13">IF(D35&lt;0,0,ROUND(SUM(D35)*SUM(D37)-SUM(D15)*SUM(D38),2))</f>
        <v>6015442.1</v>
      </c>
      <c r="E39" s="493"/>
      <c r="F39" s="493">
        <f t="shared" si="13"/>
        <v>4453678.66</v>
      </c>
      <c r="G39" s="493"/>
      <c r="H39" s="493">
        <f t="shared" si="13"/>
        <v>4954724.36</v>
      </c>
      <c r="I39" s="493"/>
      <c r="J39" s="493">
        <f t="shared" ref="J39:J42" si="14">SUM(D39:I39)</f>
        <v>15423845.12</v>
      </c>
      <c r="K39" s="493"/>
      <c r="L39" s="493"/>
    </row>
    <row r="40" ht="34.5" customHeight="1" spans="1:12">
      <c r="A40" s="491" t="s">
        <v>298</v>
      </c>
      <c r="B40" s="491"/>
      <c r="C40" s="492" t="s">
        <v>299</v>
      </c>
      <c r="D40" s="493">
        <f t="shared" ref="D40:H40" si="15">D42+D44+D46</f>
        <v>0</v>
      </c>
      <c r="E40" s="493"/>
      <c r="F40" s="493">
        <f t="shared" si="15"/>
        <v>0</v>
      </c>
      <c r="G40" s="493"/>
      <c r="H40" s="493">
        <f t="shared" si="15"/>
        <v>0</v>
      </c>
      <c r="I40" s="493"/>
      <c r="J40" s="493">
        <f t="shared" si="14"/>
        <v>0</v>
      </c>
      <c r="K40" s="493"/>
      <c r="L40" s="493"/>
    </row>
    <row r="41" ht="52.6" spans="1:12">
      <c r="A41" s="491" t="s">
        <v>300</v>
      </c>
      <c r="B41" s="491" t="s">
        <v>301</v>
      </c>
      <c r="C41" s="492">
        <v>29</v>
      </c>
      <c r="D41" s="493" t="str">
        <f>IF(D35&lt;0,"",IF(D36&gt;20%,"","普通住宅增值率不超过20%的土地增值税减免"))</f>
        <v/>
      </c>
      <c r="E41" s="493"/>
      <c r="F41" s="493"/>
      <c r="G41" s="493"/>
      <c r="H41" s="493"/>
      <c r="I41" s="493"/>
      <c r="J41" s="493"/>
      <c r="K41" s="493"/>
      <c r="L41" s="493"/>
    </row>
    <row r="42" ht="34.5" customHeight="1" spans="1:12">
      <c r="A42" s="491"/>
      <c r="B42" s="491" t="s">
        <v>302</v>
      </c>
      <c r="C42" s="492">
        <v>30</v>
      </c>
      <c r="D42" s="493">
        <f>IF(D35&lt;0,0,IF(D36&gt;20%,0,ROUND(D35*D37,2)))</f>
        <v>0</v>
      </c>
      <c r="E42" s="493"/>
      <c r="F42" s="493">
        <v>0</v>
      </c>
      <c r="G42" s="493"/>
      <c r="H42" s="493">
        <v>0</v>
      </c>
      <c r="I42" s="493"/>
      <c r="J42" s="493">
        <f t="shared" si="14"/>
        <v>0</v>
      </c>
      <c r="K42" s="493"/>
      <c r="L42" s="493"/>
    </row>
    <row r="43" ht="52.6" spans="1:12">
      <c r="A43" s="491" t="s">
        <v>303</v>
      </c>
      <c r="B43" s="491" t="s">
        <v>304</v>
      </c>
      <c r="C43" s="492">
        <v>31</v>
      </c>
      <c r="D43" s="493"/>
      <c r="E43" s="493"/>
      <c r="F43" s="496"/>
      <c r="G43" s="496"/>
      <c r="H43" s="493"/>
      <c r="I43" s="493"/>
      <c r="J43" s="493"/>
      <c r="K43" s="493"/>
      <c r="L43" s="493"/>
    </row>
    <row r="44" ht="34.5" customHeight="1" spans="1:12">
      <c r="A44" s="491"/>
      <c r="B44" s="491" t="s">
        <v>305</v>
      </c>
      <c r="C44" s="492">
        <v>32</v>
      </c>
      <c r="D44" s="493">
        <v>0</v>
      </c>
      <c r="E44" s="493"/>
      <c r="F44" s="493">
        <v>0</v>
      </c>
      <c r="G44" s="493"/>
      <c r="H44" s="493">
        <v>0</v>
      </c>
      <c r="I44" s="493"/>
      <c r="J44" s="493">
        <f t="shared" ref="J44:J48" si="16">SUM(D44:I44)</f>
        <v>0</v>
      </c>
      <c r="K44" s="493"/>
      <c r="L44" s="493"/>
    </row>
    <row r="45" ht="52.6" spans="1:12">
      <c r="A45" s="491" t="s">
        <v>306</v>
      </c>
      <c r="B45" s="491" t="s">
        <v>307</v>
      </c>
      <c r="C45" s="492">
        <v>33</v>
      </c>
      <c r="D45" s="493"/>
      <c r="E45" s="493"/>
      <c r="F45" s="496"/>
      <c r="G45" s="496"/>
      <c r="H45" s="493"/>
      <c r="I45" s="493"/>
      <c r="J45" s="493"/>
      <c r="K45" s="493"/>
      <c r="L45" s="493"/>
    </row>
    <row r="46" ht="34.5" customHeight="1" spans="1:12">
      <c r="A46" s="491"/>
      <c r="B46" s="491" t="s">
        <v>308</v>
      </c>
      <c r="C46" s="492">
        <v>34</v>
      </c>
      <c r="D46" s="493">
        <v>0</v>
      </c>
      <c r="E46" s="493"/>
      <c r="F46" s="493">
        <v>0</v>
      </c>
      <c r="G46" s="493"/>
      <c r="H46" s="493">
        <v>0</v>
      </c>
      <c r="I46" s="493"/>
      <c r="J46" s="493">
        <f t="shared" si="16"/>
        <v>0</v>
      </c>
      <c r="K46" s="493"/>
      <c r="L46" s="493"/>
    </row>
    <row r="47" ht="34.5" customHeight="1" spans="1:13">
      <c r="A47" s="491" t="s">
        <v>309</v>
      </c>
      <c r="B47" s="491"/>
      <c r="C47" s="492">
        <v>35</v>
      </c>
      <c r="D47" s="493">
        <v>1356255.83</v>
      </c>
      <c r="E47" s="493"/>
      <c r="F47" s="497">
        <v>2054754.87</v>
      </c>
      <c r="G47" s="497"/>
      <c r="H47" s="493">
        <v>12648.5</v>
      </c>
      <c r="I47" s="493"/>
      <c r="J47" s="493">
        <f t="shared" si="16"/>
        <v>3423659.2</v>
      </c>
      <c r="K47" s="493"/>
      <c r="L47" s="493"/>
      <c r="M47" s="475">
        <v>12000565.05</v>
      </c>
    </row>
    <row r="48" ht="34.5" customHeight="1" spans="1:13">
      <c r="A48" s="491" t="s">
        <v>310</v>
      </c>
      <c r="B48" s="491"/>
      <c r="C48" s="492" t="s">
        <v>311</v>
      </c>
      <c r="D48" s="493">
        <f t="shared" ref="D48:H48" si="17">SUM(D39)-SUM(D40)-SUM(D47)</f>
        <v>4659186.27</v>
      </c>
      <c r="E48" s="493"/>
      <c r="F48" s="493">
        <f t="shared" si="17"/>
        <v>2398923.79</v>
      </c>
      <c r="G48" s="493"/>
      <c r="H48" s="493">
        <f t="shared" si="17"/>
        <v>4942075.86</v>
      </c>
      <c r="I48" s="493"/>
      <c r="J48" s="493">
        <f t="shared" si="16"/>
        <v>12000185.92</v>
      </c>
      <c r="K48" s="493"/>
      <c r="L48" s="493"/>
      <c r="M48" s="475">
        <v>12000185.93</v>
      </c>
    </row>
    <row r="49" spans="13:13">
      <c r="M49" s="475">
        <f>M47-M48</f>
        <v>379.120000001043</v>
      </c>
    </row>
  </sheetData>
  <mergeCells count="212">
    <mergeCell ref="A1:L1"/>
    <mergeCell ref="B2:L2"/>
    <mergeCell ref="B3:L3"/>
    <mergeCell ref="B4:F4"/>
    <mergeCell ref="G4:J4"/>
    <mergeCell ref="K4:L4"/>
    <mergeCell ref="B5:E5"/>
    <mergeCell ref="F5:G5"/>
    <mergeCell ref="H5:L5"/>
    <mergeCell ref="B6:E6"/>
    <mergeCell ref="F6:G6"/>
    <mergeCell ref="H6:L6"/>
    <mergeCell ref="B7:E7"/>
    <mergeCell ref="G7:L7"/>
    <mergeCell ref="D8:E8"/>
    <mergeCell ref="G8:H8"/>
    <mergeCell ref="J8:L8"/>
    <mergeCell ref="D9:E9"/>
    <mergeCell ref="G9:H9"/>
    <mergeCell ref="J9:L9"/>
    <mergeCell ref="A10:B10"/>
    <mergeCell ref="D10:E10"/>
    <mergeCell ref="F10:G10"/>
    <mergeCell ref="H10:I10"/>
    <mergeCell ref="J10:L10"/>
    <mergeCell ref="A11:B11"/>
    <mergeCell ref="D11:E11"/>
    <mergeCell ref="F11:G11"/>
    <mergeCell ref="H11:I11"/>
    <mergeCell ref="J11:L11"/>
    <mergeCell ref="A12:B12"/>
    <mergeCell ref="D12:E12"/>
    <mergeCell ref="F12:G12"/>
    <mergeCell ref="H12:I12"/>
    <mergeCell ref="J12:L12"/>
    <mergeCell ref="A13:B13"/>
    <mergeCell ref="D13:E13"/>
    <mergeCell ref="F13:G13"/>
    <mergeCell ref="H13:I13"/>
    <mergeCell ref="J13:L13"/>
    <mergeCell ref="A14:B14"/>
    <mergeCell ref="D14:E14"/>
    <mergeCell ref="F14:G14"/>
    <mergeCell ref="H14:I14"/>
    <mergeCell ref="J14:L14"/>
    <mergeCell ref="A15:B15"/>
    <mergeCell ref="D15:E15"/>
    <mergeCell ref="F15:G15"/>
    <mergeCell ref="H15:I15"/>
    <mergeCell ref="J15:L15"/>
    <mergeCell ref="A16:B16"/>
    <mergeCell ref="D16:E16"/>
    <mergeCell ref="F16:G16"/>
    <mergeCell ref="H16:I16"/>
    <mergeCell ref="J16:L16"/>
    <mergeCell ref="A17:B17"/>
    <mergeCell ref="D17:E17"/>
    <mergeCell ref="F17:G17"/>
    <mergeCell ref="H17:I17"/>
    <mergeCell ref="J17:L17"/>
    <mergeCell ref="A18:B18"/>
    <mergeCell ref="D18:E18"/>
    <mergeCell ref="F18:G18"/>
    <mergeCell ref="H18:I18"/>
    <mergeCell ref="J18:L18"/>
    <mergeCell ref="A19:B19"/>
    <mergeCell ref="D19:E19"/>
    <mergeCell ref="F19:G19"/>
    <mergeCell ref="H19:I19"/>
    <mergeCell ref="J19:L19"/>
    <mergeCell ref="A20:B20"/>
    <mergeCell ref="D20:E20"/>
    <mergeCell ref="F20:G20"/>
    <mergeCell ref="H20:I20"/>
    <mergeCell ref="J20:L20"/>
    <mergeCell ref="A21:B21"/>
    <mergeCell ref="D21:E21"/>
    <mergeCell ref="F21:G21"/>
    <mergeCell ref="H21:I21"/>
    <mergeCell ref="J21:L21"/>
    <mergeCell ref="A22:B22"/>
    <mergeCell ref="D22:E22"/>
    <mergeCell ref="F22:G22"/>
    <mergeCell ref="H22:I22"/>
    <mergeCell ref="J22:L22"/>
    <mergeCell ref="A23:B23"/>
    <mergeCell ref="D23:E23"/>
    <mergeCell ref="F23:G23"/>
    <mergeCell ref="H23:I23"/>
    <mergeCell ref="J23:L23"/>
    <mergeCell ref="A24:B24"/>
    <mergeCell ref="D24:E24"/>
    <mergeCell ref="F24:G24"/>
    <mergeCell ref="H24:I24"/>
    <mergeCell ref="J24:L24"/>
    <mergeCell ref="A25:B25"/>
    <mergeCell ref="D25:E25"/>
    <mergeCell ref="F25:G25"/>
    <mergeCell ref="H25:I25"/>
    <mergeCell ref="J25:L25"/>
    <mergeCell ref="A26:B26"/>
    <mergeCell ref="D26:E26"/>
    <mergeCell ref="F26:G26"/>
    <mergeCell ref="H26:I26"/>
    <mergeCell ref="J26:L26"/>
    <mergeCell ref="A27:B27"/>
    <mergeCell ref="D27:E27"/>
    <mergeCell ref="F27:G27"/>
    <mergeCell ref="H27:I27"/>
    <mergeCell ref="J27:L27"/>
    <mergeCell ref="A28:B28"/>
    <mergeCell ref="D28:E28"/>
    <mergeCell ref="F28:G28"/>
    <mergeCell ref="H28:I28"/>
    <mergeCell ref="J28:L28"/>
    <mergeCell ref="A29:B29"/>
    <mergeCell ref="D29:E29"/>
    <mergeCell ref="F29:G29"/>
    <mergeCell ref="H29:I29"/>
    <mergeCell ref="J29:L29"/>
    <mergeCell ref="A30:B30"/>
    <mergeCell ref="D30:E30"/>
    <mergeCell ref="F30:G30"/>
    <mergeCell ref="H30:I30"/>
    <mergeCell ref="J30:L30"/>
    <mergeCell ref="A31:B31"/>
    <mergeCell ref="D31:E31"/>
    <mergeCell ref="F31:G31"/>
    <mergeCell ref="H31:I31"/>
    <mergeCell ref="J31:L31"/>
    <mergeCell ref="A32:B32"/>
    <mergeCell ref="D32:E32"/>
    <mergeCell ref="F32:G32"/>
    <mergeCell ref="H32:I32"/>
    <mergeCell ref="J32:L32"/>
    <mergeCell ref="A33:B33"/>
    <mergeCell ref="D33:E33"/>
    <mergeCell ref="F33:G33"/>
    <mergeCell ref="H33:I33"/>
    <mergeCell ref="J33:L33"/>
    <mergeCell ref="A34:B34"/>
    <mergeCell ref="D34:E34"/>
    <mergeCell ref="F34:G34"/>
    <mergeCell ref="H34:I34"/>
    <mergeCell ref="J34:L34"/>
    <mergeCell ref="A35:B35"/>
    <mergeCell ref="D35:E35"/>
    <mergeCell ref="F35:G35"/>
    <mergeCell ref="H35:I35"/>
    <mergeCell ref="J35:L35"/>
    <mergeCell ref="A36:B36"/>
    <mergeCell ref="D36:E36"/>
    <mergeCell ref="F36:G36"/>
    <mergeCell ref="H36:I36"/>
    <mergeCell ref="J36:L36"/>
    <mergeCell ref="A37:B37"/>
    <mergeCell ref="D37:E37"/>
    <mergeCell ref="F37:G37"/>
    <mergeCell ref="H37:I37"/>
    <mergeCell ref="J37:L37"/>
    <mergeCell ref="A38:B38"/>
    <mergeCell ref="D38:E38"/>
    <mergeCell ref="F38:G38"/>
    <mergeCell ref="H38:I38"/>
    <mergeCell ref="J38:L38"/>
    <mergeCell ref="A39:B39"/>
    <mergeCell ref="D39:E39"/>
    <mergeCell ref="F39:G39"/>
    <mergeCell ref="H39:I39"/>
    <mergeCell ref="J39:L39"/>
    <mergeCell ref="A40:B40"/>
    <mergeCell ref="D40:E40"/>
    <mergeCell ref="F40:G40"/>
    <mergeCell ref="H40:I40"/>
    <mergeCell ref="J40:L40"/>
    <mergeCell ref="D41:E41"/>
    <mergeCell ref="F41:G41"/>
    <mergeCell ref="H41:I41"/>
    <mergeCell ref="J41:L41"/>
    <mergeCell ref="D42:E42"/>
    <mergeCell ref="F42:G42"/>
    <mergeCell ref="H42:I42"/>
    <mergeCell ref="J42:L42"/>
    <mergeCell ref="D43:E43"/>
    <mergeCell ref="F43:G43"/>
    <mergeCell ref="H43:I43"/>
    <mergeCell ref="J43:L43"/>
    <mergeCell ref="D44:E44"/>
    <mergeCell ref="F44:G44"/>
    <mergeCell ref="H44:I44"/>
    <mergeCell ref="J44:L44"/>
    <mergeCell ref="D45:E45"/>
    <mergeCell ref="F45:G45"/>
    <mergeCell ref="H45:I45"/>
    <mergeCell ref="J45:L45"/>
    <mergeCell ref="D46:E46"/>
    <mergeCell ref="F46:G46"/>
    <mergeCell ref="H46:I46"/>
    <mergeCell ref="J46:L46"/>
    <mergeCell ref="A47:B47"/>
    <mergeCell ref="D47:E47"/>
    <mergeCell ref="F47:G47"/>
    <mergeCell ref="H47:I47"/>
    <mergeCell ref="J47:L47"/>
    <mergeCell ref="A48:B48"/>
    <mergeCell ref="D48:E48"/>
    <mergeCell ref="F48:G48"/>
    <mergeCell ref="H48:I48"/>
    <mergeCell ref="J48:L48"/>
    <mergeCell ref="A41:A42"/>
    <mergeCell ref="A43:A44"/>
    <mergeCell ref="A45:A46"/>
  </mergeCells>
  <dataValidations count="1">
    <dataValidation type="list" allowBlank="1" showInputMessage="1" showErrorMessage="1" sqref="H6:L6">
      <formula1>数据对照表!$AB$1:$AC$1</formula1>
    </dataValidation>
  </dataValidations>
  <printOptions horizontalCentered="1"/>
  <pageMargins left="0.747916666666667" right="0.747916666666667" top="0.747916666666667" bottom="0.747916666666667" header="0.313888888888889" footer="0.313888888888889"/>
  <pageSetup paperSize="9" scale="36" fitToHeight="0" orientation="portrait"/>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38"/>
  <sheetViews>
    <sheetView zoomScale="120" zoomScaleNormal="120" topLeftCell="B1" workbookViewId="0">
      <selection activeCell="E12" sqref="E12"/>
    </sheetView>
  </sheetViews>
  <sheetFormatPr defaultColWidth="2.3768115942029" defaultRowHeight="15.65"/>
  <cols>
    <col min="1" max="1" width="4.1231884057971" style="442" customWidth="1"/>
    <col min="2" max="2" width="25" style="442"/>
    <col min="3" max="3" width="5" style="442" customWidth="1"/>
    <col min="4" max="4" width="13" style="443" customWidth="1"/>
    <col min="5" max="5" width="15.1231884057971" style="443" customWidth="1"/>
    <col min="6" max="6" width="13.6231884057971" style="443" customWidth="1"/>
    <col min="7" max="7" width="12.1231884057971" style="443" customWidth="1"/>
    <col min="8" max="8" width="14.8768115942029" style="443" customWidth="1"/>
    <col min="9" max="9" width="14.1231884057971" style="443" customWidth="1"/>
    <col min="10" max="10" width="14.5" style="443" customWidth="1"/>
    <col min="11" max="11" width="9.1231884057971" style="442" customWidth="1"/>
    <col min="12" max="16384" width="2.3768115942029" style="442"/>
  </cols>
  <sheetData>
    <row r="1" ht="23.8" spans="1:11">
      <c r="A1" s="363" t="s">
        <v>312</v>
      </c>
      <c r="B1" s="363"/>
      <c r="C1" s="363"/>
      <c r="D1" s="444"/>
      <c r="E1" s="444"/>
      <c r="F1" s="444"/>
      <c r="G1" s="444"/>
      <c r="H1" s="444"/>
      <c r="I1" s="444"/>
      <c r="J1" s="444"/>
      <c r="K1" s="363"/>
    </row>
    <row r="2" ht="25.5" customHeight="1" spans="1:11">
      <c r="A2" s="333" t="str">
        <f>土地增值税税源明细表!F5&amp;"："&amp;土地增值税税源明细表!H5&amp;"          "&amp;土地增值税税源明细表!A5&amp;"："&amp;土地增值税税源明细表!B5&amp;"          "&amp;"面积单位：㎡"</f>
        <v>项目编码：Z65280120190027          项目名称：沁春锦苑19#、20#、23#、24#楼          面积单位：㎡</v>
      </c>
      <c r="B2" s="333"/>
      <c r="C2" s="333"/>
      <c r="D2" s="334"/>
      <c r="E2" s="334"/>
      <c r="F2" s="334"/>
      <c r="G2" s="334"/>
      <c r="H2" s="334"/>
      <c r="I2" s="334"/>
      <c r="J2" s="334"/>
      <c r="K2" s="333"/>
    </row>
    <row r="3" spans="1:11">
      <c r="A3" s="445" t="s">
        <v>313</v>
      </c>
      <c r="B3" s="446" t="s">
        <v>314</v>
      </c>
      <c r="C3" s="446" t="s">
        <v>33</v>
      </c>
      <c r="D3" s="163" t="s">
        <v>315</v>
      </c>
      <c r="E3" s="163" t="s">
        <v>316</v>
      </c>
      <c r="F3" s="163" t="s">
        <v>317</v>
      </c>
      <c r="G3" s="163" t="s">
        <v>318</v>
      </c>
      <c r="H3" s="163" t="s">
        <v>319</v>
      </c>
      <c r="I3" s="163" t="s">
        <v>320</v>
      </c>
      <c r="J3" s="163" t="s">
        <v>321</v>
      </c>
      <c r="K3" s="462" t="s">
        <v>322</v>
      </c>
    </row>
    <row r="4" ht="23.8" spans="1:11">
      <c r="A4" s="447"/>
      <c r="B4" s="448"/>
      <c r="C4" s="448"/>
      <c r="D4" s="535" t="s">
        <v>323</v>
      </c>
      <c r="E4" s="535" t="s">
        <v>41</v>
      </c>
      <c r="F4" s="535" t="s">
        <v>44</v>
      </c>
      <c r="G4" s="535" t="s">
        <v>47</v>
      </c>
      <c r="H4" s="535" t="s">
        <v>324</v>
      </c>
      <c r="I4" s="535" t="s">
        <v>97</v>
      </c>
      <c r="J4" s="535" t="s">
        <v>100</v>
      </c>
      <c r="K4" s="536" t="s">
        <v>105</v>
      </c>
    </row>
    <row r="5" spans="1:11">
      <c r="A5" s="447"/>
      <c r="B5" s="449" t="str">
        <f>数据对照表!A2</f>
        <v>普通住宅</v>
      </c>
      <c r="C5" s="450">
        <v>1</v>
      </c>
      <c r="D5" s="451">
        <f>SUMIFS('附表6-收入明细采集底稿'!P:P,'附表6-收入明细采集底稿'!G:G,数据对照表!A2)</f>
        <v>26385.54</v>
      </c>
      <c r="E5" s="451">
        <f>SUMIFS('附表6-收入明细采集底稿'!P:P,'附表6-收入明细采集底稿'!G:G,数据对照表!A2,'附表6-收入明细采集底稿'!H:H,"不可售")</f>
        <v>0</v>
      </c>
      <c r="F5" s="451">
        <f>SUM(SUMIFS('附表6-收入明细采集底稿'!P:P,'附表6-收入明细采集底稿'!G:G,数据对照表!A2,'附表6-收入明细采集底稿'!H:H,"已售"),SUMIFS('附表6-收入明细采集底稿'!P:P,'附表6-收入明细采集底稿'!G:G,数据对照表!A2,'附表6-收入明细采集底稿'!H:H,"出租"),SUMIFS('附表6-收入明细采集底稿'!P:P,'附表6-收入明细采集底稿'!G:G,数据对照表!A2,'附表6-收入明细采集底稿'!H:H,"自用"),SUMIFS('附表6-收入明细采集底稿'!P:P,'附表6-收入明细采集底稿'!G:G,数据对照表!A2,'附表6-收入明细采集底稿'!H:H,"未售"))</f>
        <v>26385.54</v>
      </c>
      <c r="G5" s="451">
        <f>SUMIFS('附表6-收入明细采集底稿'!P:P,'附表6-收入明细采集底稿'!G:G,数据对照表!A2,'附表6-收入明细采集底稿'!H:H,"已售")</f>
        <v>26385.54</v>
      </c>
      <c r="H5" s="451">
        <f t="shared" ref="H5:H11" si="0">F5-G5</f>
        <v>0</v>
      </c>
      <c r="I5" s="451">
        <f>SUMIFS('附表6-收入明细采集底稿'!P:P,'附表6-收入明细采集底稿'!G:G,数据对照表!A2,'附表6-收入明细采集底稿'!H:H,"自用")</f>
        <v>0</v>
      </c>
      <c r="J5" s="451">
        <f>SUMIFS('附表6-收入明细采集底稿'!P:P,'附表6-收入明细采集底稿'!G:G,数据对照表!A2,'附表6-收入明细采集底稿'!H:H,"出租")</f>
        <v>0</v>
      </c>
      <c r="K5" s="464"/>
    </row>
    <row r="6" spans="1:11">
      <c r="A6" s="447"/>
      <c r="B6" s="449" t="str">
        <f>数据对照表!A3</f>
        <v>非普通住宅</v>
      </c>
      <c r="C6" s="450">
        <v>2</v>
      </c>
      <c r="D6" s="451">
        <f>SUMIFS('附表6-收入明细采集底稿'!P:P,'附表6-收入明细采集底稿'!G:G,数据对照表!A3)</f>
        <v>17457.4</v>
      </c>
      <c r="E6" s="451">
        <f>SUMIFS('附表6-收入明细采集底稿'!P:P,'附表6-收入明细采集底稿'!G:G,数据对照表!A3,'附表6-收入明细采集底稿'!H:H,"不可售")</f>
        <v>0</v>
      </c>
      <c r="F6" s="451">
        <f>SUM(SUMIFS('附表6-收入明细采集底稿'!P:P,'附表6-收入明细采集底稿'!G:G,数据对照表!A3,'附表6-收入明细采集底稿'!H:H,"已售"),SUMIFS('附表6-收入明细采集底稿'!P:P,'附表6-收入明细采集底稿'!G:G,数据对照表!A3,'附表6-收入明细采集底稿'!H:H,"出租"),SUMIFS('附表6-收入明细采集底稿'!P:P,'附表6-收入明细采集底稿'!G:G,数据对照表!A3,'附表6-收入明细采集底稿'!H:H,"自用"),SUMIFS('附表6-收入明细采集底稿'!P:P,'附表6-收入明细采集底稿'!G:G,数据对照表!A3,'附表6-收入明细采集底稿'!H:H,"未售"))</f>
        <v>17457.4</v>
      </c>
      <c r="G6" s="451">
        <f>SUMIFS('附表6-收入明细采集底稿'!P:P,'附表6-收入明细采集底稿'!G:G,数据对照表!A3,'附表6-收入明细采集底稿'!H:H,"已售")</f>
        <v>17218.06</v>
      </c>
      <c r="H6" s="451">
        <f t="shared" si="0"/>
        <v>239.34</v>
      </c>
      <c r="I6" s="451">
        <f>SUMIFS('附表6-收入明细采集底稿'!P:P,'附表6-收入明细采集底稿'!G:G,数据对照表!A3,'附表6-收入明细采集底稿'!H:H,"自用")</f>
        <v>0</v>
      </c>
      <c r="J6" s="451">
        <f>SUMIFS('附表6-收入明细采集底稿'!P:P,'附表6-收入明细采集底稿'!G:G,数据对照表!A3,'附表6-收入明细采集底稿'!H:H,"出租")</f>
        <v>0</v>
      </c>
      <c r="K6" s="464"/>
    </row>
    <row r="7" spans="1:11">
      <c r="A7" s="447"/>
      <c r="B7" s="449" t="s">
        <v>258</v>
      </c>
      <c r="C7" s="450">
        <v>3</v>
      </c>
      <c r="D7" s="451">
        <f>SUM(D8:D12)</f>
        <v>10701.22</v>
      </c>
      <c r="E7" s="451">
        <f t="shared" ref="E7:J7" si="1">SUM(E8:E12)</f>
        <v>80.69</v>
      </c>
      <c r="F7" s="451">
        <f t="shared" si="1"/>
        <v>10620.53</v>
      </c>
      <c r="G7" s="451">
        <f t="shared" si="1"/>
        <v>578.03</v>
      </c>
      <c r="H7" s="451">
        <f t="shared" si="1"/>
        <v>10042.5</v>
      </c>
      <c r="I7" s="451">
        <f t="shared" si="1"/>
        <v>0</v>
      </c>
      <c r="J7" s="451">
        <f t="shared" si="1"/>
        <v>0</v>
      </c>
      <c r="K7" s="464"/>
    </row>
    <row r="8" spans="1:11">
      <c r="A8" s="447"/>
      <c r="B8" s="452" t="str">
        <f>"其中："&amp;数据对照表!A4</f>
        <v>其中：商业用房</v>
      </c>
      <c r="C8" s="450">
        <v>4</v>
      </c>
      <c r="D8" s="451">
        <f>SUMIFS('附表6-收入明细采集底稿'!P:P,'附表6-收入明细采集底稿'!G:G,数据对照表!A4)</f>
        <v>5628.65</v>
      </c>
      <c r="E8" s="451">
        <f>SUMIFS('附表6-收入明细采集底稿'!P:P,'附表6-收入明细采集底稿'!G:G,数据对照表!A4,'附表6-收入明细采集底稿'!H:H,"不可售")</f>
        <v>0</v>
      </c>
      <c r="F8" s="451">
        <f>SUM(SUMIFS('附表6-收入明细采集底稿'!P:P,'附表6-收入明细采集底稿'!G:G,数据对照表!A4,'附表6-收入明细采集底稿'!H:H,"已售"),SUMIFS('附表6-收入明细采集底稿'!P:P,'附表6-收入明细采集底稿'!G:G,数据对照表!A4,'附表6-收入明细采集底稿'!H:H,"出租"),SUMIFS('附表6-收入明细采集底稿'!P:P,'附表6-收入明细采集底稿'!G:G,数据对照表!A4,'附表6-收入明细采集底稿'!H:H,"自用"),SUMIFS('附表6-收入明细采集底稿'!P:P,'附表6-收入明细采集底稿'!G:G,数据对照表!A4,'附表6-收入明细采集底稿'!H:H,"未售"))</f>
        <v>5628.65</v>
      </c>
      <c r="G8" s="451">
        <f>SUMIFS('附表6-收入明细采集底稿'!P:P,'附表6-收入明细采集底稿'!G:G,数据对照表!A4,'附表6-收入明细采集底稿'!H:H,"已售")</f>
        <v>578.03</v>
      </c>
      <c r="H8" s="451">
        <f t="shared" si="0"/>
        <v>5050.62</v>
      </c>
      <c r="I8" s="451">
        <f>SUMIFS('附表6-收入明细采集底稿'!P:P,'附表6-收入明细采集底稿'!G:G,数据对照表!A4,'附表6-收入明细采集底稿'!H:H,"自用")</f>
        <v>0</v>
      </c>
      <c r="J8" s="451">
        <f>SUMIFS('附表6-收入明细采集底稿'!P:P,'附表6-收入明细采集底稿'!G:G,数据对照表!A4,'附表6-收入明细采集底稿'!H:H,"出租")</f>
        <v>0</v>
      </c>
      <c r="K8" s="464"/>
    </row>
    <row r="9" spans="1:11">
      <c r="A9" s="447"/>
      <c r="B9" s="452" t="str">
        <f>"      "&amp;数据对照表!A5</f>
        <v>      办公用房</v>
      </c>
      <c r="C9" s="450">
        <v>5</v>
      </c>
      <c r="D9" s="451">
        <f>SUMIFS('附表6-收入明细采集底稿'!P:P,'附表6-收入明细采集底稿'!G:G,数据对照表!A5)</f>
        <v>0</v>
      </c>
      <c r="E9" s="451">
        <f>SUMIFS('附表6-收入明细采集底稿'!P:P,'附表6-收入明细采集底稿'!G:G,数据对照表!A5,'附表6-收入明细采集底稿'!H:H,"不可售")</f>
        <v>0</v>
      </c>
      <c r="F9" s="451">
        <f>SUM(SUMIFS('附表6-收入明细采集底稿'!P:P,'附表6-收入明细采集底稿'!G:G,数据对照表!A5,'附表6-收入明细采集底稿'!H:H,"已售"),SUMIFS('附表6-收入明细采集底稿'!P:P,'附表6-收入明细采集底稿'!G:G,数据对照表!A5,'附表6-收入明细采集底稿'!H:H,"出租"),SUMIFS('附表6-收入明细采集底稿'!P:P,'附表6-收入明细采集底稿'!G:G,数据对照表!A5,'附表6-收入明细采集底稿'!H:H,"自用"),SUMIFS('附表6-收入明细采集底稿'!P:P,'附表6-收入明细采集底稿'!G:G,数据对照表!A5,'附表6-收入明细采集底稿'!H:H,"未售"))</f>
        <v>0</v>
      </c>
      <c r="G9" s="451">
        <f>SUMIFS('附表6-收入明细采集底稿'!P:P,'附表6-收入明细采集底稿'!G:G,数据对照表!A5,'附表6-收入明细采集底稿'!H:H,"已售")</f>
        <v>0</v>
      </c>
      <c r="H9" s="451">
        <f t="shared" si="0"/>
        <v>0</v>
      </c>
      <c r="I9" s="451">
        <f>SUMIFS('附表6-收入明细采集底稿'!P:P,'附表6-收入明细采集底稿'!G:G,数据对照表!A5,'附表6-收入明细采集底稿'!H:H,"自用")</f>
        <v>0</v>
      </c>
      <c r="J9" s="451">
        <f>SUMIFS('附表6-收入明细采集底稿'!P:P,'附表6-收入明细采集底稿'!G:G,数据对照表!A5,'附表6-收入明细采集底稿'!H:H,"出租")</f>
        <v>0</v>
      </c>
      <c r="K9" s="464"/>
    </row>
    <row r="10" spans="1:11">
      <c r="A10" s="447"/>
      <c r="B10" s="452" t="str">
        <f>"      "&amp;数据对照表!A6</f>
        <v>      车位车库</v>
      </c>
      <c r="C10" s="450">
        <v>6</v>
      </c>
      <c r="D10" s="451">
        <f>SUMIFS('附表6-收入明细采集底稿'!P:P,'附表6-收入明细采集底稿'!G:G,数据对照表!A6)</f>
        <v>0</v>
      </c>
      <c r="E10" s="451">
        <f>SUMIFS('附表6-收入明细采集底稿'!P:P,'附表6-收入明细采集底稿'!G:G,数据对照表!A6,'附表6-收入明细采集底稿'!H:H,"不可售")</f>
        <v>0</v>
      </c>
      <c r="F10" s="451">
        <f>SUM(SUMIFS('附表6-收入明细采集底稿'!P:P,'附表6-收入明细采集底稿'!G:G,数据对照表!A6,'附表6-收入明细采集底稿'!H:H,"已售"),SUMIFS('附表6-收入明细采集底稿'!P:P,'附表6-收入明细采集底稿'!G:G,数据对照表!A6,'附表6-收入明细采集底稿'!H:H,"出租"),SUMIFS('附表6-收入明细采集底稿'!P:P,'附表6-收入明细采集底稿'!G:G,数据对照表!A6,'附表6-收入明细采集底稿'!H:H,"自用"),SUMIFS('附表6-收入明细采集底稿'!P:P,'附表6-收入明细采集底稿'!G:G,数据对照表!A6,'附表6-收入明细采集底稿'!H:H,"未售"))</f>
        <v>0</v>
      </c>
      <c r="G10" s="451">
        <f>SUMIFS('附表6-收入明细采集底稿'!P:P,'附表6-收入明细采集底稿'!G:G,数据对照表!A6,'附表6-收入明细采集底稿'!H:H,"已售")</f>
        <v>0</v>
      </c>
      <c r="H10" s="451">
        <f t="shared" si="0"/>
        <v>0</v>
      </c>
      <c r="I10" s="451">
        <f>SUMIFS('附表6-收入明细采集底稿'!P:P,'附表6-收入明细采集底稿'!G:G,数据对照表!A6,'附表6-收入明细采集底稿'!H:H,"自用")</f>
        <v>0</v>
      </c>
      <c r="J10" s="451">
        <f>SUMIFS('附表6-收入明细采集底稿'!P:P,'附表6-收入明细采集底稿'!G:G,数据对照表!A6,'附表6-收入明细采集底稿'!H:H,"出租")</f>
        <v>0</v>
      </c>
      <c r="K10" s="464"/>
    </row>
    <row r="11" spans="1:11">
      <c r="A11" s="447"/>
      <c r="B11" s="452" t="str">
        <f>"      "&amp;数据对照表!A7</f>
        <v>      其他营业性房产</v>
      </c>
      <c r="C11" s="450">
        <v>7</v>
      </c>
      <c r="D11" s="451">
        <f>SUMIFS('附表6-收入明细采集底稿'!P:P,'附表6-收入明细采集底稿'!G:G,数据对照表!A7)</f>
        <v>4991.88</v>
      </c>
      <c r="E11" s="451">
        <f>SUMIFS('附表6-收入明细采集底稿'!P:P,'附表6-收入明细采集底稿'!G:G,数据对照表!A7,'附表6-收入明细采集底稿'!H:H,"不可售")</f>
        <v>0</v>
      </c>
      <c r="F11" s="451">
        <f>SUM(SUMIFS('附表6-收入明细采集底稿'!P:P,'附表6-收入明细采集底稿'!G:G,数据对照表!A7,'附表6-收入明细采集底稿'!H:H,"已售"),SUMIFS('附表6-收入明细采集底稿'!P:P,'附表6-收入明细采集底稿'!G:G,数据对照表!A7,'附表6-收入明细采集底稿'!H:H,"出租"),SUMIFS('附表6-收入明细采集底稿'!P:P,'附表6-收入明细采集底稿'!G:G,数据对照表!A7,'附表6-收入明细采集底稿'!H:H,"自用"),SUMIFS('附表6-收入明细采集底稿'!P:P,'附表6-收入明细采集底稿'!G:G,数据对照表!A7,'附表6-收入明细采集底稿'!H:H,"未售"))</f>
        <v>4991.88</v>
      </c>
      <c r="G11" s="451">
        <f>SUMIFS('附表6-收入明细采集底稿'!P:P,'附表6-收入明细采集底稿'!G:G,数据对照表!A7,'附表6-收入明细采集底稿'!H:H,"已售")</f>
        <v>0</v>
      </c>
      <c r="H11" s="451">
        <f t="shared" si="0"/>
        <v>4991.88</v>
      </c>
      <c r="I11" s="451">
        <f>SUMIFS('附表6-收入明细采集底稿'!P:P,'附表6-收入明细采集底稿'!G:G,数据对照表!A7,'附表6-收入明细采集底稿'!H:H,"自用")</f>
        <v>0</v>
      </c>
      <c r="J11" s="451">
        <f>SUMIFS('附表6-收入明细采集底稿'!P:P,'附表6-收入明细采集底稿'!G:G,数据对照表!A7,'附表6-收入明细采集底稿'!H:H,"出租")</f>
        <v>0</v>
      </c>
      <c r="K11" s="464"/>
    </row>
    <row r="12" spans="1:11">
      <c r="A12" s="447"/>
      <c r="B12" s="452" t="str">
        <f>"      "&amp;"非营业性房产"</f>
        <v>      非营业性房产</v>
      </c>
      <c r="C12" s="450">
        <v>8</v>
      </c>
      <c r="D12" s="451">
        <f>SUM(D13:D28)</f>
        <v>80.69</v>
      </c>
      <c r="E12" s="451">
        <f t="shared" ref="E12:J12" si="2">SUM(E13:E28)</f>
        <v>80.69</v>
      </c>
      <c r="F12" s="451">
        <f t="shared" si="2"/>
        <v>0</v>
      </c>
      <c r="G12" s="451">
        <f t="shared" si="2"/>
        <v>0</v>
      </c>
      <c r="H12" s="451">
        <f t="shared" si="2"/>
        <v>0</v>
      </c>
      <c r="I12" s="451">
        <f t="shared" si="2"/>
        <v>0</v>
      </c>
      <c r="J12" s="451">
        <f t="shared" si="2"/>
        <v>0</v>
      </c>
      <c r="K12" s="464"/>
    </row>
    <row r="13" spans="1:11">
      <c r="A13" s="447"/>
      <c r="B13" s="453" t="str">
        <f>"      其中："&amp;数据对照表!A8</f>
        <v>      其中：居委会用房</v>
      </c>
      <c r="C13" s="450">
        <v>9</v>
      </c>
      <c r="D13" s="451">
        <f>SUMIFS('附表6-收入明细采集底稿'!P:P,'附表6-收入明细采集底稿'!G:G,数据对照表!A8)</f>
        <v>0</v>
      </c>
      <c r="E13" s="451">
        <f>SUMIFS('附表6-收入明细采集底稿'!P:P,'附表6-收入明细采集底稿'!G:G,数据对照表!A8,'附表6-收入明细采集底稿'!H:H,"不可售")</f>
        <v>0</v>
      </c>
      <c r="F13" s="451">
        <f>SUM(SUMIFS('附表6-收入明细采集底稿'!P:P,'附表6-收入明细采集底稿'!G:G,数据对照表!A8,'附表6-收入明细采集底稿'!H:H,"已售"),SUMIFS('附表6-收入明细采集底稿'!P:P,'附表6-收入明细采集底稿'!G:G,数据对照表!A8,'附表6-收入明细采集底稿'!H:H,"出租"),SUMIFS('附表6-收入明细采集底稿'!P:P,'附表6-收入明细采集底稿'!G:G,数据对照表!A8,'附表6-收入明细采集底稿'!H:H,"自用"),SUMIFS('附表6-收入明细采集底稿'!P:P,'附表6-收入明细采集底稿'!G:G,数据对照表!A8,'附表6-收入明细采集底稿'!H:H,"未售"))</f>
        <v>0</v>
      </c>
      <c r="G13" s="451">
        <f>SUMIFS('附表6-收入明细采集底稿'!P:P,'附表6-收入明细采集底稿'!G:G,数据对照表!A8,'附表6-收入明细采集底稿'!H:H,"已售")</f>
        <v>0</v>
      </c>
      <c r="H13" s="451">
        <f t="shared" ref="H13:H17" si="3">F13-G13</f>
        <v>0</v>
      </c>
      <c r="I13" s="451">
        <f>SUMIFS('附表6-收入明细采集底稿'!P:P,'附表6-收入明细采集底稿'!G:G,数据对照表!A8,'附表6-收入明细采集底稿'!H:H,"自用")</f>
        <v>0</v>
      </c>
      <c r="J13" s="451">
        <f>SUMIFS('附表6-收入明细采集底稿'!P:P,'附表6-收入明细采集底稿'!G:G,数据对照表!A8,'附表6-收入明细采集底稿'!H:H,"出租")</f>
        <v>0</v>
      </c>
      <c r="K13" s="464"/>
    </row>
    <row r="14" spans="1:11">
      <c r="A14" s="447"/>
      <c r="B14" s="453" t="str">
        <f>"            "&amp;数据对照表!A9</f>
        <v>            派出所用房</v>
      </c>
      <c r="C14" s="450">
        <v>10</v>
      </c>
      <c r="D14" s="451">
        <f>SUMIFS('附表6-收入明细采集底稿'!P:P,'附表6-收入明细采集底稿'!G:G,数据对照表!A9)</f>
        <v>0</v>
      </c>
      <c r="E14" s="451">
        <f>SUMIFS('附表6-收入明细采集底稿'!P:P,'附表6-收入明细采集底稿'!G:G,数据对照表!A9,'附表6-收入明细采集底稿'!H:H,"不可售")</f>
        <v>0</v>
      </c>
      <c r="F14" s="451">
        <f>SUM(SUMIFS('附表6-收入明细采集底稿'!P:P,'附表6-收入明细采集底稿'!G:G,数据对照表!A9,'附表6-收入明细采集底稿'!H:H,"已售"),SUMIFS('附表6-收入明细采集底稿'!P:P,'附表6-收入明细采集底稿'!G:G,数据对照表!A9,'附表6-收入明细采集底稿'!H:H,"出租"),SUMIFS('附表6-收入明细采集底稿'!P:P,'附表6-收入明细采集底稿'!G:G,数据对照表!A9,'附表6-收入明细采集底稿'!H:H,"自用"),SUMIFS('附表6-收入明细采集底稿'!P:P,'附表6-收入明细采集底稿'!G:G,数据对照表!A9,'附表6-收入明细采集底稿'!H:H,"未售"))</f>
        <v>0</v>
      </c>
      <c r="G14" s="451">
        <f>SUMIFS('附表6-收入明细采集底稿'!P:P,'附表6-收入明细采集底稿'!G:G,数据对照表!A9,'附表6-收入明细采集底稿'!H:H,"已售")</f>
        <v>0</v>
      </c>
      <c r="H14" s="451">
        <f t="shared" si="3"/>
        <v>0</v>
      </c>
      <c r="I14" s="451">
        <f>SUMIFS('附表6-收入明细采集底稿'!P:P,'附表6-收入明细采集底稿'!G:G,数据对照表!A9,'附表6-收入明细采集底稿'!H:H,"自用")</f>
        <v>0</v>
      </c>
      <c r="J14" s="451">
        <f>SUMIFS('附表6-收入明细采集底稿'!P:P,'附表6-收入明细采集底稿'!G:G,数据对照表!A9,'附表6-收入明细采集底稿'!H:H,"出租")</f>
        <v>0</v>
      </c>
      <c r="K14" s="464"/>
    </row>
    <row r="15" spans="1:11">
      <c r="A15" s="447"/>
      <c r="B15" s="453" t="str">
        <f>"            "&amp;数据对照表!A10</f>
        <v>            会所</v>
      </c>
      <c r="C15" s="450">
        <v>11</v>
      </c>
      <c r="D15" s="451">
        <f>SUMIFS('附表6-收入明细采集底稿'!P:P,'附表6-收入明细采集底稿'!G:G,数据对照表!A10)</f>
        <v>0</v>
      </c>
      <c r="E15" s="451">
        <f>SUMIFS('附表6-收入明细采集底稿'!P:P,'附表6-收入明细采集底稿'!G:G,数据对照表!A10,'附表6-收入明细采集底稿'!H:H,"不可售")</f>
        <v>0</v>
      </c>
      <c r="F15" s="451">
        <f>SUM(SUMIFS('附表6-收入明细采集底稿'!P:P,'附表6-收入明细采集底稿'!G:G,数据对照表!A10,'附表6-收入明细采集底稿'!H:H,"已售"),SUMIFS('附表6-收入明细采集底稿'!P:P,'附表6-收入明细采集底稿'!G:G,数据对照表!A10,'附表6-收入明细采集底稿'!H:H,"出租"),SUMIFS('附表6-收入明细采集底稿'!P:P,'附表6-收入明细采集底稿'!G:G,数据对照表!A10,'附表6-收入明细采集底稿'!H:H,"自用"),SUMIFS('附表6-收入明细采集底稿'!P:P,'附表6-收入明细采集底稿'!G:G,数据对照表!A10,'附表6-收入明细采集底稿'!H:H,"未售"))</f>
        <v>0</v>
      </c>
      <c r="G15" s="451">
        <f>SUMIFS('附表6-收入明细采集底稿'!P:P,'附表6-收入明细采集底稿'!G:G,数据对照表!A10,'附表6-收入明细采集底稿'!H:H,"已售")</f>
        <v>0</v>
      </c>
      <c r="H15" s="451">
        <f t="shared" si="3"/>
        <v>0</v>
      </c>
      <c r="I15" s="451">
        <f>SUMIFS('附表6-收入明细采集底稿'!P:P,'附表6-收入明细采集底稿'!G:G,数据对照表!A10,'附表6-收入明细采集底稿'!H:H,"自用")</f>
        <v>0</v>
      </c>
      <c r="J15" s="451">
        <f>SUMIFS('附表6-收入明细采集底稿'!P:P,'附表6-收入明细采集底稿'!G:G,数据对照表!A10,'附表6-收入明细采集底稿'!H:H,"出租")</f>
        <v>0</v>
      </c>
      <c r="K15" s="464"/>
    </row>
    <row r="16" spans="1:11">
      <c r="A16" s="447"/>
      <c r="B16" s="453" t="str">
        <f>"            "&amp;数据对照表!A11</f>
        <v>            非机动车库（场）</v>
      </c>
      <c r="C16" s="450">
        <v>12</v>
      </c>
      <c r="D16" s="451">
        <f>SUMIFS('附表6-收入明细采集底稿'!P:P,'附表6-收入明细采集底稿'!G:G,数据对照表!A11)</f>
        <v>0</v>
      </c>
      <c r="E16" s="451">
        <f>SUMIFS('附表6-收入明细采集底稿'!P:P,'附表6-收入明细采集底稿'!G:G,数据对照表!A11,'附表6-收入明细采集底稿'!H:H,"不可售")</f>
        <v>0</v>
      </c>
      <c r="F16" s="451">
        <f>SUM(SUMIFS('附表6-收入明细采集底稿'!P:P,'附表6-收入明细采集底稿'!G:G,数据对照表!A11,'附表6-收入明细采集底稿'!H:H,"已售"),SUMIFS('附表6-收入明细采集底稿'!P:P,'附表6-收入明细采集底稿'!G:G,数据对照表!A11,'附表6-收入明细采集底稿'!H:H,"出租"),SUMIFS('附表6-收入明细采集底稿'!P:P,'附表6-收入明细采集底稿'!G:G,数据对照表!A11,'附表6-收入明细采集底稿'!H:H,"自用"),SUMIFS('附表6-收入明细采集底稿'!P:P,'附表6-收入明细采集底稿'!G:G,数据对照表!A11,'附表6-收入明细采集底稿'!H:H,"未售"))</f>
        <v>0</v>
      </c>
      <c r="G16" s="451">
        <f>SUMIFS('附表6-收入明细采集底稿'!P:P,'附表6-收入明细采集底稿'!G:G,数据对照表!A11,'附表6-收入明细采集底稿'!H:H,"已售")</f>
        <v>0</v>
      </c>
      <c r="H16" s="451">
        <f t="shared" si="3"/>
        <v>0</v>
      </c>
      <c r="I16" s="451">
        <f>SUMIFS('附表6-收入明细采集底稿'!P:P,'附表6-收入明细采集底稿'!G:G,数据对照表!A11,'附表6-收入明细采集底稿'!H:H,"自用")</f>
        <v>0</v>
      </c>
      <c r="J16" s="451">
        <f>SUMIFS('附表6-收入明细采集底稿'!P:P,'附表6-收入明细采集底稿'!G:G,数据对照表!A11,'附表6-收入明细采集底稿'!H:H,"出租")</f>
        <v>0</v>
      </c>
      <c r="K16" s="464"/>
    </row>
    <row r="17" spans="1:11">
      <c r="A17" s="447"/>
      <c r="B17" s="453" t="str">
        <f>"            "&amp;数据对照表!A12</f>
        <v>            地下人防设施</v>
      </c>
      <c r="C17" s="450">
        <v>13</v>
      </c>
      <c r="D17" s="451">
        <f>SUMIFS('附表6-收入明细采集底稿'!P:P,'附表6-收入明细采集底稿'!G:G,数据对照表!A12)</f>
        <v>0</v>
      </c>
      <c r="E17" s="451">
        <f>SUMIFS('附表6-收入明细采集底稿'!P:P,'附表6-收入明细采集底稿'!G:G,数据对照表!A12,'附表6-收入明细采集底稿'!H:H,"不可售")</f>
        <v>0</v>
      </c>
      <c r="F17" s="451">
        <f>SUM(SUMIFS('附表6-收入明细采集底稿'!P:P,'附表6-收入明细采集底稿'!G:G,数据对照表!A12,'附表6-收入明细采集底稿'!H:H,"已售"),SUMIFS('附表6-收入明细采集底稿'!P:P,'附表6-收入明细采集底稿'!G:G,数据对照表!A12,'附表6-收入明细采集底稿'!H:H,"出租"),SUMIFS('附表6-收入明细采集底稿'!P:P,'附表6-收入明细采集底稿'!G:G,数据对照表!A12,'附表6-收入明细采集底稿'!H:H,"自用"),SUMIFS('附表6-收入明细采集底稿'!P:P,'附表6-收入明细采集底稿'!G:G,数据对照表!A12,'附表6-收入明细采集底稿'!H:H,"未售"))</f>
        <v>0</v>
      </c>
      <c r="G17" s="451">
        <f>SUMIFS('附表6-收入明细采集底稿'!P:P,'附表6-收入明细采集底稿'!G:G,数据对照表!A12,'附表6-收入明细采集底稿'!H:H,"已售")</f>
        <v>0</v>
      </c>
      <c r="H17" s="451">
        <f t="shared" si="3"/>
        <v>0</v>
      </c>
      <c r="I17" s="451">
        <f>SUMIFS('附表6-收入明细采集底稿'!P:P,'附表6-收入明细采集底稿'!G:G,数据对照表!A12,'附表6-收入明细采集底稿'!H:H,"自用")</f>
        <v>0</v>
      </c>
      <c r="J17" s="451">
        <f>SUMIFS('附表6-收入明细采集底稿'!P:P,'附表6-收入明细采集底稿'!G:G,数据对照表!A12,'附表6-收入明细采集底稿'!H:H,"出租")</f>
        <v>0</v>
      </c>
      <c r="K17" s="464"/>
    </row>
    <row r="18" spans="1:11">
      <c r="A18" s="447"/>
      <c r="B18" s="453" t="str">
        <f>"            "&amp;数据对照表!A13</f>
        <v>            物业管理场所</v>
      </c>
      <c r="C18" s="450">
        <v>14</v>
      </c>
      <c r="D18" s="451">
        <f>SUMIFS('附表6-收入明细采集底稿'!P:P,'附表6-收入明细采集底稿'!G:G,数据对照表!A13)</f>
        <v>0</v>
      </c>
      <c r="E18" s="451">
        <f>SUMIFS('附表6-收入明细采集底稿'!P:P,'附表6-收入明细采集底稿'!G:G,数据对照表!A13,'附表6-收入明细采集底稿'!H:H,"不可售")</f>
        <v>0</v>
      </c>
      <c r="F18" s="451">
        <f>SUM(SUMIFS('附表6-收入明细采集底稿'!P:P,'附表6-收入明细采集底稿'!G:G,数据对照表!A13,'附表6-收入明细采集底稿'!H:H,"已售"),SUMIFS('附表6-收入明细采集底稿'!P:P,'附表6-收入明细采集底稿'!G:G,数据对照表!A13,'附表6-收入明细采集底稿'!H:H,"出租"),SUMIFS('附表6-收入明细采集底稿'!P:P,'附表6-收入明细采集底稿'!G:G,数据对照表!A13,'附表6-收入明细采集底稿'!H:H,"自用"),SUMIFS('附表6-收入明细采集底稿'!P:P,'附表6-收入明细采集底稿'!G:G,数据对照表!A13,'附表6-收入明细采集底稿'!H:H,"未售"))</f>
        <v>0</v>
      </c>
      <c r="G18" s="451">
        <f>SUMIFS('附表6-收入明细采集底稿'!P:P,'附表6-收入明细采集底稿'!G:G,数据对照表!A13,'附表6-收入明细采集底稿'!H:H,"已售")</f>
        <v>0</v>
      </c>
      <c r="H18" s="451">
        <f t="shared" ref="H18:H28" si="4">F18-G18</f>
        <v>0</v>
      </c>
      <c r="I18" s="451">
        <f>SUMIFS('附表6-收入明细采集底稿'!P:P,'附表6-收入明细采集底稿'!G:G,数据对照表!A13,'附表6-收入明细采集底稿'!H:H,"自用")</f>
        <v>0</v>
      </c>
      <c r="J18" s="451">
        <f>SUMIFS('附表6-收入明细采集底稿'!P:P,'附表6-收入明细采集底稿'!G:G,数据对照表!A13,'附表6-收入明细采集底稿'!H:H,"出租")</f>
        <v>0</v>
      </c>
      <c r="K18" s="464"/>
    </row>
    <row r="19" spans="1:11">
      <c r="A19" s="447"/>
      <c r="B19" s="453" t="str">
        <f>"            "&amp;数据对照表!A14</f>
        <v>            变电站</v>
      </c>
      <c r="C19" s="450">
        <v>15</v>
      </c>
      <c r="D19" s="451">
        <f>SUMIFS('附表6-收入明细采集底稿'!P:P,'附表6-收入明细采集底稿'!G:G,数据对照表!A14)</f>
        <v>0</v>
      </c>
      <c r="E19" s="451">
        <f>SUMIFS('附表6-收入明细采集底稿'!P:P,'附表6-收入明细采集底稿'!G:G,数据对照表!A14,'附表6-收入明细采集底稿'!H:H,"不可售")</f>
        <v>0</v>
      </c>
      <c r="F19" s="451">
        <f>SUM(SUMIFS('附表6-收入明细采集底稿'!P:P,'附表6-收入明细采集底稿'!G:G,数据对照表!A14,'附表6-收入明细采集底稿'!H:H,"已售"),SUMIFS('附表6-收入明细采集底稿'!P:P,'附表6-收入明细采集底稿'!G:G,数据对照表!A14,'附表6-收入明细采集底稿'!H:H,"出租"),SUMIFS('附表6-收入明细采集底稿'!P:P,'附表6-收入明细采集底稿'!G:G,数据对照表!A14,'附表6-收入明细采集底稿'!H:H,"自用"),SUMIFS('附表6-收入明细采集底稿'!P:P,'附表6-收入明细采集底稿'!G:G,数据对照表!A14,'附表6-收入明细采集底稿'!H:H,"未售"))</f>
        <v>0</v>
      </c>
      <c r="G19" s="451">
        <f>SUMIFS('附表6-收入明细采集底稿'!P:P,'附表6-收入明细采集底稿'!G:G,数据对照表!A14,'附表6-收入明细采集底稿'!H:H,"已售")</f>
        <v>0</v>
      </c>
      <c r="H19" s="451">
        <f t="shared" si="4"/>
        <v>0</v>
      </c>
      <c r="I19" s="451">
        <f>SUMIFS('附表6-收入明细采集底稿'!P:P,'附表6-收入明细采集底稿'!G:G,数据对照表!A14,'附表6-收入明细采集底稿'!H:H,"自用")</f>
        <v>0</v>
      </c>
      <c r="J19" s="451">
        <f>SUMIFS('附表6-收入明细采集底稿'!P:P,'附表6-收入明细采集底稿'!G:G,数据对照表!A14,'附表6-收入明细采集底稿'!H:H,"出租")</f>
        <v>0</v>
      </c>
      <c r="K19" s="464"/>
    </row>
    <row r="20" spans="1:11">
      <c r="A20" s="447"/>
      <c r="B20" s="453" t="str">
        <f>"            "&amp;数据对照表!A15</f>
        <v>            热力站</v>
      </c>
      <c r="C20" s="450">
        <v>16</v>
      </c>
      <c r="D20" s="451">
        <f>SUMIFS('附表6-收入明细采集底稿'!P:P,'附表6-收入明细采集底稿'!G:G,数据对照表!A15)</f>
        <v>0</v>
      </c>
      <c r="E20" s="451">
        <f>SUMIFS('附表6-收入明细采集底稿'!P:P,'附表6-收入明细采集底稿'!G:G,数据对照表!A15,'附表6-收入明细采集底稿'!H:H,"不可售")</f>
        <v>0</v>
      </c>
      <c r="F20" s="451">
        <f>SUM(SUMIFS('附表6-收入明细采集底稿'!P:P,'附表6-收入明细采集底稿'!G:G,数据对照表!A15,'附表6-收入明细采集底稿'!H:H,"已售"),SUMIFS('附表6-收入明细采集底稿'!P:P,'附表6-收入明细采集底稿'!G:G,数据对照表!A15,'附表6-收入明细采集底稿'!H:H,"出租"),SUMIFS('附表6-收入明细采集底稿'!P:P,'附表6-收入明细采集底稿'!G:G,数据对照表!A15,'附表6-收入明细采集底稿'!H:H,"自用"),SUMIFS('附表6-收入明细采集底稿'!P:P,'附表6-收入明细采集底稿'!G:G,数据对照表!A15,'附表6-收入明细采集底稿'!H:H,"未售"))</f>
        <v>0</v>
      </c>
      <c r="G20" s="451">
        <f>SUMIFS('附表6-收入明细采集底稿'!P:P,'附表6-收入明细采集底稿'!G:G,数据对照表!A15,'附表6-收入明细采集底稿'!H:H,"已售")</f>
        <v>0</v>
      </c>
      <c r="H20" s="451">
        <f t="shared" si="4"/>
        <v>0</v>
      </c>
      <c r="I20" s="451">
        <f>SUMIFS('附表6-收入明细采集底稿'!P:P,'附表6-收入明细采集底稿'!G:G,数据对照表!A15,'附表6-收入明细采集底稿'!H:H,"自用")</f>
        <v>0</v>
      </c>
      <c r="J20" s="451">
        <f>SUMIFS('附表6-收入明细采集底稿'!P:P,'附表6-收入明细采集底稿'!G:G,数据对照表!A15,'附表6-收入明细采集底稿'!H:H,"出租")</f>
        <v>0</v>
      </c>
      <c r="K20" s="464"/>
    </row>
    <row r="21" spans="1:11">
      <c r="A21" s="447"/>
      <c r="B21" s="453" t="str">
        <f>"            "&amp;数据对照表!A16</f>
        <v>            水厂</v>
      </c>
      <c r="C21" s="450">
        <v>17</v>
      </c>
      <c r="D21" s="451">
        <f>SUMIFS('附表6-收入明细采集底稿'!P:P,'附表6-收入明细采集底稿'!G:G,数据对照表!A16)</f>
        <v>0</v>
      </c>
      <c r="E21" s="451">
        <f>SUMIFS('附表6-收入明细采集底稿'!P:P,'附表6-收入明细采集底稿'!G:G,数据对照表!A16,'附表6-收入明细采集底稿'!H:H,"不可售")</f>
        <v>0</v>
      </c>
      <c r="F21" s="451">
        <f>SUM(SUMIFS('附表6-收入明细采集底稿'!P:P,'附表6-收入明细采集底稿'!G:G,数据对照表!A16,'附表6-收入明细采集底稿'!H:H,"已售"),SUMIFS('附表6-收入明细采集底稿'!P:P,'附表6-收入明细采集底稿'!G:G,数据对照表!A16,'附表6-收入明细采集底稿'!H:H,"出租"),SUMIFS('附表6-收入明细采集底稿'!P:P,'附表6-收入明细采集底稿'!G:G,数据对照表!A16,'附表6-收入明细采集底稿'!H:H,"自用"),SUMIFS('附表6-收入明细采集底稿'!P:P,'附表6-收入明细采集底稿'!G:G,数据对照表!A16,'附表6-收入明细采集底稿'!H:H,"未售"))</f>
        <v>0</v>
      </c>
      <c r="G21" s="451">
        <f>SUMIFS('附表6-收入明细采集底稿'!P:P,'附表6-收入明细采集底稿'!G:G,数据对照表!A16,'附表6-收入明细采集底稿'!H:H,"已售")</f>
        <v>0</v>
      </c>
      <c r="H21" s="451">
        <f t="shared" si="4"/>
        <v>0</v>
      </c>
      <c r="I21" s="451">
        <f>SUMIFS('附表6-收入明细采集底稿'!P:P,'附表6-收入明细采集底稿'!G:G,数据对照表!A16,'附表6-收入明细采集底稿'!H:H,"自用")</f>
        <v>0</v>
      </c>
      <c r="J21" s="451">
        <f>SUMIFS('附表6-收入明细采集底稿'!P:P,'附表6-收入明细采集底稿'!G:G,数据对照表!A16,'附表6-收入明细采集底稿'!H:H,"出租")</f>
        <v>0</v>
      </c>
      <c r="K21" s="464"/>
    </row>
    <row r="22" spans="1:11">
      <c r="A22" s="447"/>
      <c r="B22" s="453" t="str">
        <f>"            "&amp;数据对照表!A17</f>
        <v>            文体场馆</v>
      </c>
      <c r="C22" s="450">
        <v>18</v>
      </c>
      <c r="D22" s="451">
        <f>SUMIFS('附表6-收入明细采集底稿'!P:P,'附表6-收入明细采集底稿'!G:G,数据对照表!A17)</f>
        <v>0</v>
      </c>
      <c r="E22" s="451">
        <f>SUMIFS('附表6-收入明细采集底稿'!P:P,'附表6-收入明细采集底稿'!G:G,数据对照表!A17,'附表6-收入明细采集底稿'!H:H,"不可售")</f>
        <v>0</v>
      </c>
      <c r="F22" s="451">
        <f>SUM(SUMIFS('附表6-收入明细采集底稿'!P:P,'附表6-收入明细采集底稿'!G:G,数据对照表!A17,'附表6-收入明细采集底稿'!H:H,"已售"),SUMIFS('附表6-收入明细采集底稿'!P:P,'附表6-收入明细采集底稿'!G:G,数据对照表!A17,'附表6-收入明细采集底稿'!H:H,"出租"),SUMIFS('附表6-收入明细采集底稿'!P:P,'附表6-收入明细采集底稿'!G:G,数据对照表!A17,'附表6-收入明细采集底稿'!H:H,"自用"),SUMIFS('附表6-收入明细采集底稿'!P:P,'附表6-收入明细采集底稿'!G:G,数据对照表!A17,'附表6-收入明细采集底稿'!H:H,"未售"))</f>
        <v>0</v>
      </c>
      <c r="G22" s="451">
        <f>SUMIFS('附表6-收入明细采集底稿'!P:P,'附表6-收入明细采集底稿'!G:G,数据对照表!A17,'附表6-收入明细采集底稿'!H:H,"已售")</f>
        <v>0</v>
      </c>
      <c r="H22" s="451">
        <f t="shared" si="4"/>
        <v>0</v>
      </c>
      <c r="I22" s="451">
        <f>SUMIFS('附表6-收入明细采集底稿'!P:P,'附表6-收入明细采集底稿'!G:G,数据对照表!A17,'附表6-收入明细采集底稿'!H:H,"自用")</f>
        <v>0</v>
      </c>
      <c r="J22" s="451">
        <f>SUMIFS('附表6-收入明细采集底稿'!P:P,'附表6-收入明细采集底稿'!G:G,数据对照表!A17,'附表6-收入明细采集底稿'!H:H,"出租")</f>
        <v>0</v>
      </c>
      <c r="K22" s="464"/>
    </row>
    <row r="23" spans="1:11">
      <c r="A23" s="447"/>
      <c r="B23" s="453" t="str">
        <f>"            "&amp;数据对照表!A18</f>
        <v>            学校</v>
      </c>
      <c r="C23" s="450">
        <v>19</v>
      </c>
      <c r="D23" s="451">
        <f>SUMIFS('附表6-收入明细采集底稿'!P:P,'附表6-收入明细采集底稿'!G:G,数据对照表!A18)</f>
        <v>0</v>
      </c>
      <c r="E23" s="451">
        <f>SUMIFS('附表6-收入明细采集底稿'!P:P,'附表6-收入明细采集底稿'!G:G,数据对照表!A18,'附表6-收入明细采集底稿'!H:H,"不可售")</f>
        <v>0</v>
      </c>
      <c r="F23" s="451">
        <f>SUM(SUMIFS('附表6-收入明细采集底稿'!P:P,'附表6-收入明细采集底稿'!G:G,数据对照表!A18,'附表6-收入明细采集底稿'!H:H,"已售"),SUMIFS('附表6-收入明细采集底稿'!P:P,'附表6-收入明细采集底稿'!G:G,数据对照表!A18,'附表6-收入明细采集底稿'!H:H,"出租"),SUMIFS('附表6-收入明细采集底稿'!P:P,'附表6-收入明细采集底稿'!G:G,数据对照表!A18,'附表6-收入明细采集底稿'!H:H,"自用"),SUMIFS('附表6-收入明细采集底稿'!P:P,'附表6-收入明细采集底稿'!G:G,数据对照表!A18,'附表6-收入明细采集底稿'!H:H,"未售"))</f>
        <v>0</v>
      </c>
      <c r="G23" s="451">
        <f>SUMIFS('附表6-收入明细采集底稿'!P:P,'附表6-收入明细采集底稿'!G:G,数据对照表!A18,'附表6-收入明细采集底稿'!H:H,"已售")</f>
        <v>0</v>
      </c>
      <c r="H23" s="451">
        <f t="shared" si="4"/>
        <v>0</v>
      </c>
      <c r="I23" s="451">
        <f>SUMIFS('附表6-收入明细采集底稿'!P:P,'附表6-收入明细采集底稿'!G:G,数据对照表!A18,'附表6-收入明细采集底稿'!H:H,"自用")</f>
        <v>0</v>
      </c>
      <c r="J23" s="451">
        <f>SUMIFS('附表6-收入明细采集底稿'!P:P,'附表6-收入明细采集底稿'!G:G,数据对照表!A18,'附表6-收入明细采集底稿'!H:H,"出租")</f>
        <v>0</v>
      </c>
      <c r="K23" s="464"/>
    </row>
    <row r="24" spans="1:11">
      <c r="A24" s="447"/>
      <c r="B24" s="453" t="str">
        <f>"            "&amp;数据对照表!A19</f>
        <v>            幼儿园</v>
      </c>
      <c r="C24" s="450">
        <v>20</v>
      </c>
      <c r="D24" s="451">
        <f>SUMIFS('附表6-收入明细采集底稿'!P:P,'附表6-收入明细采集底稿'!G:G,数据对照表!A19)</f>
        <v>0</v>
      </c>
      <c r="E24" s="451">
        <f>SUMIFS('附表6-收入明细采集底稿'!P:P,'附表6-收入明细采集底稿'!G:G,数据对照表!A19,'附表6-收入明细采集底稿'!H:H,"不可售")</f>
        <v>0</v>
      </c>
      <c r="F24" s="451">
        <f>SUM(SUMIFS('附表6-收入明细采集底稿'!P:P,'附表6-收入明细采集底稿'!G:G,数据对照表!A19,'附表6-收入明细采集底稿'!H:H,"已售"),SUMIFS('附表6-收入明细采集底稿'!P:P,'附表6-收入明细采集底稿'!G:G,数据对照表!A19,'附表6-收入明细采集底稿'!H:H,"出租"),SUMIFS('附表6-收入明细采集底稿'!P:P,'附表6-收入明细采集底稿'!G:G,数据对照表!A19,'附表6-收入明细采集底稿'!H:H,"自用"),SUMIFS('附表6-收入明细采集底稿'!P:P,'附表6-收入明细采集底稿'!G:G,数据对照表!A19,'附表6-收入明细采集底稿'!H:H,"未售"))</f>
        <v>0</v>
      </c>
      <c r="G24" s="451">
        <f>SUMIFS('附表6-收入明细采集底稿'!P:P,'附表6-收入明细采集底稿'!G:G,数据对照表!A19,'附表6-收入明细采集底稿'!H:H,"已售")</f>
        <v>0</v>
      </c>
      <c r="H24" s="451">
        <f t="shared" si="4"/>
        <v>0</v>
      </c>
      <c r="I24" s="451">
        <f>SUMIFS('附表6-收入明细采集底稿'!P:P,'附表6-收入明细采集底稿'!G:G,数据对照表!A19,'附表6-收入明细采集底稿'!H:H,"自用")</f>
        <v>0</v>
      </c>
      <c r="J24" s="451">
        <f>SUMIFS('附表6-收入明细采集底稿'!P:P,'附表6-收入明细采集底稿'!G:G,数据对照表!A19,'附表6-收入明细采集底稿'!H:H,"出租")</f>
        <v>0</v>
      </c>
      <c r="K24" s="464"/>
    </row>
    <row r="25" spans="1:11">
      <c r="A25" s="447"/>
      <c r="B25" s="453" t="str">
        <f>"            "&amp;数据对照表!A20</f>
        <v>            托儿所</v>
      </c>
      <c r="C25" s="450">
        <v>21</v>
      </c>
      <c r="D25" s="451">
        <f>SUMIFS('附表6-收入明细采集底稿'!P:P,'附表6-收入明细采集底稿'!G:G,数据对照表!A20)</f>
        <v>0</v>
      </c>
      <c r="E25" s="451">
        <f>SUMIFS('附表6-收入明细采集底稿'!P:P,'附表6-收入明细采集底稿'!G:G,数据对照表!A20,'附表6-收入明细采集底稿'!H:H,"不可售")</f>
        <v>0</v>
      </c>
      <c r="F25" s="451">
        <f>SUM(SUMIFS('附表6-收入明细采集底稿'!P:P,'附表6-收入明细采集底稿'!G:G,数据对照表!A20,'附表6-收入明细采集底稿'!H:H,"已售"),SUMIFS('附表6-收入明细采集底稿'!P:P,'附表6-收入明细采集底稿'!G:G,数据对照表!A20,'附表6-收入明细采集底稿'!H:H,"出租"),SUMIFS('附表6-收入明细采集底稿'!P:P,'附表6-收入明细采集底稿'!G:G,数据对照表!A20,'附表6-收入明细采集底稿'!H:H,"自用"),SUMIFS('附表6-收入明细采集底稿'!P:P,'附表6-收入明细采集底稿'!G:G,数据对照表!A20,'附表6-收入明细采集底稿'!H:H,"未售"))</f>
        <v>0</v>
      </c>
      <c r="G25" s="451">
        <f>SUMIFS('附表6-收入明细采集底稿'!P:P,'附表6-收入明细采集底稿'!G:G,数据对照表!A20,'附表6-收入明细采集底稿'!H:H,"已售")</f>
        <v>0</v>
      </c>
      <c r="H25" s="451">
        <f t="shared" si="4"/>
        <v>0</v>
      </c>
      <c r="I25" s="451">
        <f>SUMIFS('附表6-收入明细采集底稿'!P:P,'附表6-收入明细采集底稿'!G:G,数据对照表!A20,'附表6-收入明细采集底稿'!H:H,"自用")</f>
        <v>0</v>
      </c>
      <c r="J25" s="451">
        <f>SUMIFS('附表6-收入明细采集底稿'!P:P,'附表6-收入明细采集底稿'!G:G,数据对照表!A20,'附表6-收入明细采集底稿'!H:H,"出租")</f>
        <v>0</v>
      </c>
      <c r="K25" s="464"/>
    </row>
    <row r="26" spans="1:11">
      <c r="A26" s="447"/>
      <c r="B26" s="453" t="str">
        <f>"            "&amp;数据对照表!A21</f>
        <v>            医院</v>
      </c>
      <c r="C26" s="450">
        <v>22</v>
      </c>
      <c r="D26" s="451">
        <f>SUMIFS('附表6-收入明细采集底稿'!P:P,'附表6-收入明细采集底稿'!G:G,数据对照表!A21)</f>
        <v>0</v>
      </c>
      <c r="E26" s="451">
        <f>SUMIFS('附表6-收入明细采集底稿'!P:P,'附表6-收入明细采集底稿'!G:G,数据对照表!A21,'附表6-收入明细采集底稿'!H:H,"不可售")</f>
        <v>0</v>
      </c>
      <c r="F26" s="451">
        <f>SUM(SUMIFS('附表6-收入明细采集底稿'!P:P,'附表6-收入明细采集底稿'!G:G,数据对照表!A21,'附表6-收入明细采集底稿'!H:H,"已售"),SUMIFS('附表6-收入明细采集底稿'!P:P,'附表6-收入明细采集底稿'!G:G,数据对照表!A21,'附表6-收入明细采集底稿'!H:H,"出租"),SUMIFS('附表6-收入明细采集底稿'!P:P,'附表6-收入明细采集底稿'!G:G,数据对照表!A21,'附表6-收入明细采集底稿'!H:H,"自用"),SUMIFS('附表6-收入明细采集底稿'!P:P,'附表6-收入明细采集底稿'!G:G,数据对照表!A21,'附表6-收入明细采集底稿'!H:H,"未售"))</f>
        <v>0</v>
      </c>
      <c r="G26" s="451">
        <f>SUMIFS('附表6-收入明细采集底稿'!P:P,'附表6-收入明细采集底稿'!G:G,数据对照表!A21,'附表6-收入明细采集底稿'!H:H,"已售")</f>
        <v>0</v>
      </c>
      <c r="H26" s="451">
        <f t="shared" si="4"/>
        <v>0</v>
      </c>
      <c r="I26" s="451">
        <f>SUMIFS('附表6-收入明细采集底稿'!P:P,'附表6-收入明细采集底稿'!G:G,数据对照表!A21,'附表6-收入明细采集底稿'!H:H,"自用")</f>
        <v>0</v>
      </c>
      <c r="J26" s="451">
        <f>SUMIFS('附表6-收入明细采集底稿'!P:P,'附表6-收入明细采集底稿'!G:G,数据对照表!A21,'附表6-收入明细采集底稿'!H:H,"出租")</f>
        <v>0</v>
      </c>
      <c r="K26" s="464"/>
    </row>
    <row r="27" spans="1:11">
      <c r="A27" s="447"/>
      <c r="B27" s="453" t="str">
        <f>"            "&amp;数据对照表!A22</f>
        <v>            邮电通讯</v>
      </c>
      <c r="C27" s="450">
        <v>23</v>
      </c>
      <c r="D27" s="451">
        <f>SUMIFS('附表6-收入明细采集底稿'!P:P,'附表6-收入明细采集底稿'!G:G,数据对照表!A22)</f>
        <v>0</v>
      </c>
      <c r="E27" s="451">
        <f>SUMIFS('附表6-收入明细采集底稿'!P:P,'附表6-收入明细采集底稿'!G:G,数据对照表!A22,'附表6-收入明细采集底稿'!H:H,"不可售")</f>
        <v>0</v>
      </c>
      <c r="F27" s="451">
        <f>SUM(SUMIFS('附表6-收入明细采集底稿'!P:P,'附表6-收入明细采集底稿'!G:G,数据对照表!A22,'附表6-收入明细采集底稿'!H:H,"已售"),SUMIFS('附表6-收入明细采集底稿'!P:P,'附表6-收入明细采集底稿'!G:G,数据对照表!A22,'附表6-收入明细采集底稿'!H:H,"出租"),SUMIFS('附表6-收入明细采集底稿'!P:P,'附表6-收入明细采集底稿'!G:G,数据对照表!A22,'附表6-收入明细采集底稿'!H:H,"自用"),SUMIFS('附表6-收入明细采集底稿'!P:P,'附表6-收入明细采集底稿'!G:G,数据对照表!A22,'附表6-收入明细采集底稿'!H:H,"未售"))</f>
        <v>0</v>
      </c>
      <c r="G27" s="451">
        <f>SUMIFS('附表6-收入明细采集底稿'!P:P,'附表6-收入明细采集底稿'!G:G,数据对照表!A22,'附表6-收入明细采集底稿'!H:H,"已售")</f>
        <v>0</v>
      </c>
      <c r="H27" s="451">
        <f t="shared" si="4"/>
        <v>0</v>
      </c>
      <c r="I27" s="451">
        <f>SUMIFS('附表6-收入明细采集底稿'!P:P,'附表6-收入明细采集底稿'!G:G,数据对照表!A22,'附表6-收入明细采集底稿'!H:H,"自用")</f>
        <v>0</v>
      </c>
      <c r="J27" s="451">
        <f>SUMIFS('附表6-收入明细采集底稿'!P:P,'附表6-收入明细采集底稿'!G:G,数据对照表!A22,'附表6-收入明细采集底稿'!H:H,"出租")</f>
        <v>0</v>
      </c>
      <c r="K27" s="464"/>
    </row>
    <row r="28" spans="1:11">
      <c r="A28" s="447"/>
      <c r="B28" s="453" t="str">
        <f>"            "&amp;数据对照表!A23</f>
        <v>            其他非营业性房产</v>
      </c>
      <c r="C28" s="450">
        <v>24</v>
      </c>
      <c r="D28" s="451">
        <f>SUMIFS('附表6-收入明细采集底稿'!P:P,'附表6-收入明细采集底稿'!G:G,数据对照表!A23)</f>
        <v>80.69</v>
      </c>
      <c r="E28" s="451">
        <f>SUMIFS('附表6-收入明细采集底稿'!P:P,'附表6-收入明细采集底稿'!G:G,数据对照表!A23,'附表6-收入明细采集底稿'!H:H,"不可售")</f>
        <v>80.69</v>
      </c>
      <c r="F28" s="451">
        <f>SUM(SUMIFS('附表6-收入明细采集底稿'!P:P,'附表6-收入明细采集底稿'!G:G,数据对照表!A23,'附表6-收入明细采集底稿'!H:H,"已售"),SUMIFS('附表6-收入明细采集底稿'!P:P,'附表6-收入明细采集底稿'!G:G,数据对照表!A23,'附表6-收入明细采集底稿'!H:H,"出租"),SUMIFS('附表6-收入明细采集底稿'!P:P,'附表6-收入明细采集底稿'!G:G,数据对照表!A23,'附表6-收入明细采集底稿'!H:H,"自用"),SUMIFS('附表6-收入明细采集底稿'!P:P,'附表6-收入明细采集底稿'!G:G,数据对照表!A23,'附表6-收入明细采集底稿'!H:H,"未售"))</f>
        <v>0</v>
      </c>
      <c r="G28" s="451">
        <f>SUMIFS('附表6-收入明细采集底稿'!P:P,'附表6-收入明细采集底稿'!G:G,数据对照表!A23,'附表6-收入明细采集底稿'!H:H,"已售")</f>
        <v>0</v>
      </c>
      <c r="H28" s="451">
        <f t="shared" si="4"/>
        <v>0</v>
      </c>
      <c r="I28" s="451">
        <f>SUMIFS('附表6-收入明细采集底稿'!P:P,'附表6-收入明细采集底稿'!G:G,数据对照表!A23,'附表6-收入明细采集底稿'!H:H,"自用")</f>
        <v>0</v>
      </c>
      <c r="J28" s="451">
        <f>SUMIFS('附表6-收入明细采集底稿'!P:P,'附表6-收入明细采集底稿'!G:G,数据对照表!A23,'附表6-收入明细采集底稿'!H:H,"出租")</f>
        <v>0</v>
      </c>
      <c r="K28" s="464"/>
    </row>
    <row r="29" spans="1:11">
      <c r="A29" s="454"/>
      <c r="B29" s="455" t="s">
        <v>184</v>
      </c>
      <c r="C29" s="450">
        <v>25</v>
      </c>
      <c r="D29" s="451">
        <f>SUM(D5:D7)</f>
        <v>54544.16</v>
      </c>
      <c r="E29" s="451">
        <f t="shared" ref="E29:J29" si="5">SUM(E5:E7)</f>
        <v>80.69</v>
      </c>
      <c r="F29" s="451">
        <f t="shared" si="5"/>
        <v>54463.47</v>
      </c>
      <c r="G29" s="451">
        <f t="shared" si="5"/>
        <v>44181.63</v>
      </c>
      <c r="H29" s="451">
        <f t="shared" si="5"/>
        <v>10281.84</v>
      </c>
      <c r="I29" s="451">
        <f t="shared" si="5"/>
        <v>0</v>
      </c>
      <c r="J29" s="451">
        <f t="shared" si="5"/>
        <v>0</v>
      </c>
      <c r="K29" s="464"/>
    </row>
    <row r="30" spans="1:11">
      <c r="A30" s="456" t="s">
        <v>325</v>
      </c>
      <c r="B30" s="457" t="s">
        <v>314</v>
      </c>
      <c r="C30" s="457" t="s">
        <v>33</v>
      </c>
      <c r="D30" s="163" t="s">
        <v>326</v>
      </c>
      <c r="E30" s="163" t="s">
        <v>246</v>
      </c>
      <c r="F30" s="163" t="s">
        <v>327</v>
      </c>
      <c r="G30" s="163" t="s">
        <v>328</v>
      </c>
      <c r="H30" s="163" t="s">
        <v>329</v>
      </c>
      <c r="I30" s="465" t="s">
        <v>330</v>
      </c>
      <c r="J30" s="466"/>
      <c r="K30" s="462" t="s">
        <v>322</v>
      </c>
    </row>
    <row r="31" spans="1:11">
      <c r="A31" s="456"/>
      <c r="B31" s="458"/>
      <c r="C31" s="458"/>
      <c r="D31" s="535" t="s">
        <v>109</v>
      </c>
      <c r="E31" s="535" t="s">
        <v>112</v>
      </c>
      <c r="F31" s="535" t="s">
        <v>331</v>
      </c>
      <c r="G31" s="535" t="s">
        <v>118</v>
      </c>
      <c r="H31" s="535" t="s">
        <v>121</v>
      </c>
      <c r="I31" s="537" t="s">
        <v>124</v>
      </c>
      <c r="J31" s="466"/>
      <c r="K31" s="536" t="s">
        <v>127</v>
      </c>
    </row>
    <row r="32" spans="1:11">
      <c r="A32" s="456"/>
      <c r="B32" s="453" t="str">
        <f>B5</f>
        <v>普通住宅</v>
      </c>
      <c r="C32" s="450">
        <v>26</v>
      </c>
      <c r="D32" s="459">
        <f>F5</f>
        <v>26385.54</v>
      </c>
      <c r="E32" s="459">
        <f t="shared" ref="D32:E34" si="6">G5</f>
        <v>26385.54</v>
      </c>
      <c r="F32" s="460">
        <f>IF(D32=0,"",ROUND(E32/D32,6))</f>
        <v>1</v>
      </c>
      <c r="G32" s="460">
        <f>IF(F5=0,"",ROUND(I5/F5,6))</f>
        <v>0</v>
      </c>
      <c r="H32" s="460">
        <f>IF(F5=0,"",ROUND(J5/F5,6))</f>
        <v>0</v>
      </c>
      <c r="I32" s="467">
        <f>IF(F5=0,"",ROUND((G5+I5+J5)/F5,6))</f>
        <v>1</v>
      </c>
      <c r="J32" s="468"/>
      <c r="K32" s="450"/>
    </row>
    <row r="33" spans="1:11">
      <c r="A33" s="456"/>
      <c r="B33" s="453" t="str">
        <f>B6</f>
        <v>非普通住宅</v>
      </c>
      <c r="C33" s="450">
        <v>27</v>
      </c>
      <c r="D33" s="459">
        <f t="shared" si="6"/>
        <v>17457.4</v>
      </c>
      <c r="E33" s="459">
        <f t="shared" si="6"/>
        <v>17218.06</v>
      </c>
      <c r="F33" s="460">
        <f t="shared" ref="F33:F35" si="7">IF(D33=0,"",ROUND(E33/D33,6))</f>
        <v>0.98629</v>
      </c>
      <c r="G33" s="460">
        <f t="shared" ref="G33:G34" si="8">IF(F6=0,"",ROUND(I6/F6,6))</f>
        <v>0</v>
      </c>
      <c r="H33" s="460">
        <f t="shared" ref="H33:H34" si="9">IF(F6=0,"",ROUND(J6/F6,6))</f>
        <v>0</v>
      </c>
      <c r="I33" s="467">
        <f t="shared" ref="I33:I34" si="10">IF(F6=0,"",ROUND((G6+I6+J6)/F6,6))</f>
        <v>0.98629</v>
      </c>
      <c r="J33" s="468"/>
      <c r="K33" s="450"/>
    </row>
    <row r="34" spans="1:11">
      <c r="A34" s="456"/>
      <c r="B34" s="453" t="str">
        <f>B7</f>
        <v>其他类型房产</v>
      </c>
      <c r="C34" s="450">
        <v>28</v>
      </c>
      <c r="D34" s="459">
        <f>F7</f>
        <v>10620.53</v>
      </c>
      <c r="E34" s="459">
        <f t="shared" si="6"/>
        <v>578.03</v>
      </c>
      <c r="F34" s="460">
        <f t="shared" si="7"/>
        <v>0.054426</v>
      </c>
      <c r="G34" s="460">
        <f t="shared" si="8"/>
        <v>0</v>
      </c>
      <c r="H34" s="460">
        <f t="shared" si="9"/>
        <v>0</v>
      </c>
      <c r="I34" s="467">
        <f t="shared" si="10"/>
        <v>0.054426</v>
      </c>
      <c r="J34" s="468"/>
      <c r="K34" s="450"/>
    </row>
    <row r="35" ht="14.25" customHeight="1" spans="1:11">
      <c r="A35" s="456"/>
      <c r="B35" s="441" t="s">
        <v>184</v>
      </c>
      <c r="C35" s="450">
        <v>29</v>
      </c>
      <c r="D35" s="459">
        <f>SUM(D32:D34)</f>
        <v>54463.47</v>
      </c>
      <c r="E35" s="459">
        <f>SUM(E32:E34)</f>
        <v>44181.63</v>
      </c>
      <c r="F35" s="460">
        <f t="shared" si="7"/>
        <v>0.811216</v>
      </c>
      <c r="G35" s="460">
        <f>IF(F29=0,"",ROUND(I29/F29,6))</f>
        <v>0</v>
      </c>
      <c r="H35" s="460">
        <f>IF(F29=0,"",ROUND(J29/F29,6))</f>
        <v>0</v>
      </c>
      <c r="I35" s="469">
        <f>IF(F29=0,"",ROUND((G29+I29+J29)/F29,6))</f>
        <v>0.811216</v>
      </c>
      <c r="J35" s="470"/>
      <c r="K35" s="471"/>
    </row>
    <row r="38" spans="5:5">
      <c r="E38" s="461"/>
    </row>
  </sheetData>
  <autoFilter xmlns:etc="http://www.wps.cn/officeDocument/2017/etCustomData" ref="A1:K35" etc:filterBottomFollowUsedRange="0">
    <extLst/>
  </autoFilter>
  <mergeCells count="14">
    <mergeCell ref="A1:K1"/>
    <mergeCell ref="A2:K2"/>
    <mergeCell ref="I30:J30"/>
    <mergeCell ref="I31:J31"/>
    <mergeCell ref="I32:J32"/>
    <mergeCell ref="I33:J33"/>
    <mergeCell ref="I34:J34"/>
    <mergeCell ref="I35:J35"/>
    <mergeCell ref="A3:A29"/>
    <mergeCell ref="A30:A35"/>
    <mergeCell ref="B3:B4"/>
    <mergeCell ref="B30:B31"/>
    <mergeCell ref="C3:C4"/>
    <mergeCell ref="C30:C31"/>
  </mergeCells>
  <printOptions horizontalCentered="1"/>
  <pageMargins left="0.747916666666667" right="0.747916666666667" top="0.984027777777778" bottom="0.984027777777778" header="0.511805555555556" footer="0.511805555555556"/>
  <pageSetup paperSize="9" scale="85" fitToHeight="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13"/>
  <sheetViews>
    <sheetView zoomScale="120" zoomScaleNormal="120" topLeftCell="A3" workbookViewId="0">
      <selection activeCell="C8" sqref="C8"/>
    </sheetView>
  </sheetViews>
  <sheetFormatPr defaultColWidth="8.8768115942029" defaultRowHeight="11.85"/>
  <cols>
    <col min="1" max="1" width="21.5" style="378" customWidth="1"/>
    <col min="2" max="2" width="5.7536231884058" style="378" customWidth="1"/>
    <col min="3" max="6" width="26.6231884057971" style="426" customWidth="1"/>
    <col min="7" max="7" width="15.8768115942029" style="378" customWidth="1"/>
    <col min="8" max="28" width="9" style="378"/>
    <col min="29" max="16384" width="8.8768115942029" style="378"/>
  </cols>
  <sheetData>
    <row r="1" ht="23.8" spans="1:6">
      <c r="A1" s="427" t="s">
        <v>332</v>
      </c>
      <c r="B1" s="427"/>
      <c r="C1" s="428"/>
      <c r="D1" s="428"/>
      <c r="E1" s="428"/>
      <c r="F1" s="428"/>
    </row>
    <row r="2" ht="35.1" customHeight="1" spans="1:9">
      <c r="A2" s="429" t="str">
        <f>土地增值税税源明细表!F5&amp;"："&amp;土地增值税税源明细表!H5&amp;"          "&amp;土地增值税税源明细表!A5&amp;"："&amp;土地增值税税源明细表!B5&amp;"          "&amp;"金额单位:人民币元(列至角分)"</f>
        <v>项目编码：Z65280120190027          项目名称：沁春锦苑19#、20#、23#、24#楼          金额单位:人民币元(列至角分)</v>
      </c>
      <c r="B2" s="429"/>
      <c r="C2" s="430"/>
      <c r="D2" s="430"/>
      <c r="E2" s="430"/>
      <c r="F2" s="430"/>
      <c r="G2" s="431"/>
      <c r="H2" s="431"/>
      <c r="I2" s="431"/>
    </row>
    <row r="3" ht="35.1" customHeight="1" spans="1:6">
      <c r="A3" s="432" t="s">
        <v>333</v>
      </c>
      <c r="B3" s="432" t="s">
        <v>33</v>
      </c>
      <c r="C3" s="433" t="s">
        <v>334</v>
      </c>
      <c r="D3" s="433" t="s">
        <v>335</v>
      </c>
      <c r="E3" s="433" t="s">
        <v>336</v>
      </c>
      <c r="F3" s="433" t="s">
        <v>337</v>
      </c>
    </row>
    <row r="4" s="424" customFormat="1" ht="35.1" customHeight="1" spans="1:6">
      <c r="A4" s="434"/>
      <c r="B4" s="434"/>
      <c r="C4" s="538" t="s">
        <v>38</v>
      </c>
      <c r="D4" s="538" t="s">
        <v>41</v>
      </c>
      <c r="E4" s="538" t="s">
        <v>44</v>
      </c>
      <c r="F4" s="538" t="s">
        <v>338</v>
      </c>
    </row>
    <row r="5" ht="35.1" customHeight="1" spans="1:6">
      <c r="A5" s="435" t="str">
        <f>数据对照表!A2</f>
        <v>普通住宅</v>
      </c>
      <c r="B5" s="436">
        <v>1</v>
      </c>
      <c r="C5" s="437">
        <f>SUMIFS('附表6-收入明细采集底稿'!X:X,'附表6-收入明细采集底稿'!G:G,"普通住宅",'附表6-收入明细采集底稿'!H:H,"已售",'附表6-收入明细采集底稿'!I:I,"货币收入")</f>
        <v>108698463.87</v>
      </c>
      <c r="D5" s="437">
        <f>SUMIFS('附表6-收入明细采集底稿'!X:X,'附表6-收入明细采集底稿'!G:G,"普通住宅",'附表6-收入明细采集底稿'!H:H,"已售",'附表6-收入明细采集底稿'!I:I,"实物及其他收入")</f>
        <v>0</v>
      </c>
      <c r="E5" s="437">
        <f>SUMIFS('附表6-收入明细采集底稿'!X:X,'附表6-收入明细采集底稿'!G:G,"普通住宅",'附表6-收入明细采集底稿'!H:H,"已售",'附表6-收入明细采集底稿'!I:I,"视同销售收入")</f>
        <v>0</v>
      </c>
      <c r="F5" s="438">
        <f>C5+D5+E5</f>
        <v>108698463.87</v>
      </c>
    </row>
    <row r="6" ht="35.1" customHeight="1" spans="1:6">
      <c r="A6" s="435" t="str">
        <f>数据对照表!A3</f>
        <v>非普通住宅</v>
      </c>
      <c r="B6" s="436">
        <v>2</v>
      </c>
      <c r="C6" s="437">
        <f>SUMIFS('附表6-收入明细采集底稿'!X:X,'附表6-收入明细采集底稿'!G:G,"非普通住宅",'附表6-收入明细采集底稿'!H:H,"已售",'附表6-收入明细采集底稿'!I:I,"货币收入")</f>
        <v>70519278.39</v>
      </c>
      <c r="D6" s="437">
        <f>SUMIFS('附表6-收入明细采集底稿'!X:X,'附表6-收入明细采集底稿'!G:G,"非普通住宅",'附表6-收入明细采集底稿'!H:H,"已售",'附表6-收入明细采集底稿'!I:I,"实物及其他收入")</f>
        <v>0</v>
      </c>
      <c r="E6" s="437">
        <f>SUMIFS('附表6-收入明细采集底稿'!X:X,'附表6-收入明细采集底稿'!G:G,"非普通住宅",'附表6-收入明细采集底稿'!H:H,"已售",'附表6-收入明细采集底稿'!I:I,"视同销售收入")</f>
        <v>0</v>
      </c>
      <c r="F6" s="438">
        <f t="shared" ref="F6:F13" si="0">C6+D6+E6</f>
        <v>70519278.39</v>
      </c>
    </row>
    <row r="7" ht="35.1" customHeight="1" spans="1:6">
      <c r="A7" s="435" t="s">
        <v>258</v>
      </c>
      <c r="B7" s="436">
        <v>3</v>
      </c>
      <c r="C7" s="437">
        <f>SUM(C8:C12)</f>
        <v>12009800.03</v>
      </c>
      <c r="D7" s="437">
        <f>SUM(D8:D12)</f>
        <v>0</v>
      </c>
      <c r="E7" s="437">
        <f>SUM(E8:E12)</f>
        <v>0</v>
      </c>
      <c r="F7" s="438">
        <f t="shared" si="0"/>
        <v>12009800.03</v>
      </c>
    </row>
    <row r="8" ht="35.1" customHeight="1" spans="1:6">
      <c r="A8" s="439" t="str">
        <f>"其中："&amp;数据对照表!A4</f>
        <v>其中：商业用房</v>
      </c>
      <c r="B8" s="436">
        <v>4</v>
      </c>
      <c r="C8" s="437">
        <f>SUMIFS('附表6-收入明细采集底稿'!X:X,'附表6-收入明细采集底稿'!G:G,"商业用房",'附表6-收入明细采集底稿'!H:H,"已售",'附表6-收入明细采集底稿'!I:I,"货币收入")</f>
        <v>12009800.03</v>
      </c>
      <c r="D8" s="437">
        <f>SUMIFS('附表6-收入明细采集底稿'!X:X,'附表6-收入明细采集底稿'!G:G,"商业用房",'附表6-收入明细采集底稿'!H:H,"已售",'附表6-收入明细采集底稿'!I:I,"实物及其他收入")</f>
        <v>0</v>
      </c>
      <c r="E8" s="437">
        <f>SUMIFS('附表6-收入明细采集底稿'!X:X,'附表6-收入明细采集底稿'!G:G,"商业用房",'附表6-收入明细采集底稿'!H:H,"已售",'附表6-收入明细采集底稿'!I:I,"视同销售收入")</f>
        <v>0</v>
      </c>
      <c r="F8" s="438">
        <f t="shared" si="0"/>
        <v>12009800.03</v>
      </c>
    </row>
    <row r="9" ht="35.1" customHeight="1" spans="1:6">
      <c r="A9" s="439" t="str">
        <f>"      "&amp;数据对照表!A5</f>
        <v>      办公用房</v>
      </c>
      <c r="B9" s="436">
        <v>5</v>
      </c>
      <c r="C9" s="437">
        <f>SUMIFS('附表6-收入明细采集底稿'!X:X,'附表6-收入明细采集底稿'!G:G,"办公用房",'附表6-收入明细采集底稿'!H:H,"已售",'附表6-收入明细采集底稿'!I:I,"货币收入")</f>
        <v>0</v>
      </c>
      <c r="D9" s="437">
        <f>SUMIFS('附表6-收入明细采集底稿'!X:X,'附表6-收入明细采集底稿'!G:G,"办公用房",'附表6-收入明细采集底稿'!H:H,"已售",'附表6-收入明细采集底稿'!I:I,"实物及其他收入")</f>
        <v>0</v>
      </c>
      <c r="E9" s="437">
        <f>SUMIFS('附表6-收入明细采集底稿'!X:X,'附表6-收入明细采集底稿'!G:G,"办公用房",'附表6-收入明细采集底稿'!H:H,"已售",'附表6-收入明细采集底稿'!I:I,"视同销售收入")</f>
        <v>0</v>
      </c>
      <c r="F9" s="438">
        <f t="shared" si="0"/>
        <v>0</v>
      </c>
    </row>
    <row r="10" ht="35.1" customHeight="1" spans="1:6">
      <c r="A10" s="439" t="str">
        <f>"      "&amp;数据对照表!A6</f>
        <v>      车位车库</v>
      </c>
      <c r="B10" s="436">
        <v>6</v>
      </c>
      <c r="C10" s="437">
        <f>SUMIFS('附表6-收入明细采集底稿'!X:X,'附表6-收入明细采集底稿'!G:G,"车位车库",'附表6-收入明细采集底稿'!H:H,"已售",'附表6-收入明细采集底稿'!I:I,"货币收入")</f>
        <v>0</v>
      </c>
      <c r="D10" s="437">
        <f>SUMIFS('附表6-收入明细采集底稿'!X:X,'附表6-收入明细采集底稿'!G:G,"车位车库",'附表6-收入明细采集底稿'!H:H,"已售",'附表6-收入明细采集底稿'!I:I,"实物及其他收入")</f>
        <v>0</v>
      </c>
      <c r="E10" s="437">
        <f>SUMIFS('附表6-收入明细采集底稿'!X:X,'附表6-收入明细采集底稿'!G:G,"车位车库",'附表6-收入明细采集底稿'!H:H,"已售",'附表6-收入明细采集底稿'!I:I,"视同销售收入")</f>
        <v>0</v>
      </c>
      <c r="F10" s="438">
        <f t="shared" si="0"/>
        <v>0</v>
      </c>
    </row>
    <row r="11" ht="35.1" customHeight="1" spans="1:6">
      <c r="A11" s="439" t="str">
        <f>"      "&amp;数据对照表!A7</f>
        <v>      其他营业性房产</v>
      </c>
      <c r="B11" s="436">
        <v>7</v>
      </c>
      <c r="C11" s="437">
        <f>SUMIFS('附表6-收入明细采集底稿'!X:X,'附表6-收入明细采集底稿'!G:G,"其他营业性房产",'附表6-收入明细采集底稿'!H:H,"已售",'附表6-收入明细采集底稿'!I:I,"货币收入")</f>
        <v>0</v>
      </c>
      <c r="D11" s="437">
        <f>SUMIFS('附表6-收入明细采集底稿'!X:X,'附表6-收入明细采集底稿'!G:G,"其他营业性房产",'附表6-收入明细采集底稿'!H:H,"已售",'附表6-收入明细采集底稿'!I:I,"实物及其他收入")</f>
        <v>0</v>
      </c>
      <c r="E11" s="437">
        <f>SUMIFS('附表6-收入明细采集底稿'!X:X,'附表6-收入明细采集底稿'!G:G,"其他营业性房产",'附表6-收入明细采集底稿'!H:H,"已售",'附表6-收入明细采集底稿'!I:I,"视同销售收入")</f>
        <v>0</v>
      </c>
      <c r="F11" s="438">
        <f t="shared" si="0"/>
        <v>0</v>
      </c>
    </row>
    <row r="12" ht="35.1" customHeight="1" spans="1:6">
      <c r="A12" s="439" t="str">
        <f>"      "&amp;"非营业性房产"</f>
        <v>      非营业性房产</v>
      </c>
      <c r="B12" s="436">
        <v>8</v>
      </c>
      <c r="C12" s="440">
        <f>ROUND(SUMIFS('附表6-收入明细采集底稿'!X:X,'附表6-收入明细采集底稿'!H:H,"已售",'附表6-收入明细采集底稿'!I:I,"货币收入")-C5-C6-C8-C9-C10-C11,2)</f>
        <v>0</v>
      </c>
      <c r="D12" s="440">
        <f>ROUND(SUMIFS('附表6-收入明细采集底稿'!X:X,'附表6-收入明细采集底稿'!H:H,"已售",'附表6-收入明细采集底稿'!I:I,"实物及其他收入")-D5-D6-D8-D9-D10-D11,2)</f>
        <v>0</v>
      </c>
      <c r="E12" s="440">
        <f>ROUND(SUMIFS('附表6-收入明细采集底稿'!X:X,'附表6-收入明细采集底稿'!H:H,"已售",'附表6-收入明细采集底稿'!I:I,"视同销售收入")-E5-E6-E8-E9-E10-E11,2)</f>
        <v>0</v>
      </c>
      <c r="F12" s="438">
        <f t="shared" si="0"/>
        <v>0</v>
      </c>
    </row>
    <row r="13" s="425" customFormat="1" ht="35.1" customHeight="1" spans="1:6">
      <c r="A13" s="441" t="s">
        <v>184</v>
      </c>
      <c r="B13" s="436">
        <v>9</v>
      </c>
      <c r="C13" s="438">
        <f>C5+C6+C7</f>
        <v>191227542.29</v>
      </c>
      <c r="D13" s="438">
        <f>D5+D6+D7</f>
        <v>0</v>
      </c>
      <c r="E13" s="438">
        <f>E5+E6+E7</f>
        <v>0</v>
      </c>
      <c r="F13" s="438">
        <f t="shared" si="0"/>
        <v>191227542.29</v>
      </c>
    </row>
  </sheetData>
  <mergeCells count="4">
    <mergeCell ref="A1:F1"/>
    <mergeCell ref="A2:F2"/>
    <mergeCell ref="A3:A4"/>
    <mergeCell ref="B3:B4"/>
  </mergeCells>
  <printOptions horizontalCentered="1"/>
  <pageMargins left="0.747916666666667" right="0.747916666666667" top="0.984027777777778" bottom="0.984027777777778" header="0.511805555555556" footer="0.511805555555556"/>
  <pageSetup paperSize="9" scale="80"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U36"/>
  <sheetViews>
    <sheetView zoomScale="90" zoomScaleNormal="90" topLeftCell="F1" workbookViewId="0">
      <selection activeCell="J13" sqref="J13"/>
    </sheetView>
  </sheetViews>
  <sheetFormatPr defaultColWidth="8.8768115942029" defaultRowHeight="15.65"/>
  <cols>
    <col min="1" max="1" width="25.5" style="381" customWidth="1"/>
    <col min="2" max="2" width="21.5" style="382" customWidth="1"/>
    <col min="3" max="3" width="13.3768115942029" style="383" customWidth="1"/>
    <col min="4" max="4" width="15" style="383" customWidth="1"/>
    <col min="5" max="5" width="14.1231884057971" style="383" customWidth="1"/>
    <col min="6" max="6" width="12.5942028985507" style="383" customWidth="1"/>
    <col min="7" max="7" width="13.3768115942029" style="384" customWidth="1"/>
    <col min="8" max="8" width="12.5" style="385" customWidth="1"/>
    <col min="9" max="10" width="12.8768115942029" style="385" customWidth="1"/>
    <col min="11" max="13" width="17.3768115942029" style="383" customWidth="1"/>
    <col min="14" max="14" width="15.5" style="383" customWidth="1"/>
    <col min="15" max="16384" width="8.8768115942029" style="381"/>
  </cols>
  <sheetData>
    <row r="1" s="377" customFormat="1" ht="20.65" spans="1:14">
      <c r="A1" s="386" t="s">
        <v>339</v>
      </c>
      <c r="B1" s="386"/>
      <c r="C1" s="387"/>
      <c r="D1" s="387"/>
      <c r="E1" s="387"/>
      <c r="F1" s="387"/>
      <c r="G1" s="386"/>
      <c r="H1" s="388"/>
      <c r="I1" s="388"/>
      <c r="J1" s="388"/>
      <c r="K1" s="387"/>
      <c r="L1" s="387"/>
      <c r="M1" s="387"/>
      <c r="N1" s="387"/>
    </row>
    <row r="2" s="378" customFormat="1" ht="19.5" customHeight="1" spans="1:21">
      <c r="A2" s="252" t="str">
        <f>土地增值税税源明细表!F5&amp;"："&amp;土地增值税税源明细表!H5&amp;"          "&amp;土地增值税税源明细表!A5&amp;"："&amp;土地增值税税源明细表!B5&amp;"          "&amp;"金额单位:人民币元(列至角分)"</f>
        <v>项目编码：Z65280120190027          项目名称：沁春锦苑19#、20#、23#、24#楼          金额单位:人民币元(列至角分)</v>
      </c>
      <c r="B2" s="252"/>
      <c r="C2" s="265"/>
      <c r="D2" s="265"/>
      <c r="E2" s="265"/>
      <c r="F2" s="265"/>
      <c r="G2" s="252"/>
      <c r="H2" s="389"/>
      <c r="I2" s="389"/>
      <c r="J2" s="389"/>
      <c r="K2" s="265"/>
      <c r="L2" s="265"/>
      <c r="M2" s="265"/>
      <c r="N2" s="265"/>
      <c r="O2" s="422"/>
      <c r="P2" s="422"/>
      <c r="Q2" s="422"/>
      <c r="R2" s="422"/>
      <c r="S2" s="422"/>
      <c r="T2" s="422"/>
      <c r="U2" s="422"/>
    </row>
    <row r="3" s="329" customFormat="1" ht="27.95" customHeight="1" spans="1:14">
      <c r="A3" s="390" t="s">
        <v>340</v>
      </c>
      <c r="B3" s="391" t="s">
        <v>33</v>
      </c>
      <c r="C3" s="267" t="s">
        <v>341</v>
      </c>
      <c r="D3" s="267"/>
      <c r="E3" s="267"/>
      <c r="F3" s="267"/>
      <c r="G3" s="392" t="s">
        <v>342</v>
      </c>
      <c r="H3" s="393"/>
      <c r="I3" s="393"/>
      <c r="J3" s="393"/>
      <c r="K3" s="267" t="s">
        <v>343</v>
      </c>
      <c r="L3" s="267"/>
      <c r="M3" s="267"/>
      <c r="N3" s="267"/>
    </row>
    <row r="4" s="329" customFormat="1" ht="27.95" customHeight="1" spans="1:14">
      <c r="A4" s="394"/>
      <c r="B4" s="395"/>
      <c r="C4" s="267" t="s">
        <v>256</v>
      </c>
      <c r="D4" s="267" t="s">
        <v>257</v>
      </c>
      <c r="E4" s="267" t="s">
        <v>258</v>
      </c>
      <c r="F4" s="267" t="s">
        <v>337</v>
      </c>
      <c r="G4" s="396" t="s">
        <v>344</v>
      </c>
      <c r="H4" s="397" t="s">
        <v>256</v>
      </c>
      <c r="I4" s="397" t="s">
        <v>257</v>
      </c>
      <c r="J4" s="397" t="s">
        <v>258</v>
      </c>
      <c r="K4" s="267" t="s">
        <v>256</v>
      </c>
      <c r="L4" s="267" t="s">
        <v>257</v>
      </c>
      <c r="M4" s="267" t="s">
        <v>258</v>
      </c>
      <c r="N4" s="267" t="s">
        <v>337</v>
      </c>
    </row>
    <row r="5" s="329" customFormat="1" ht="27.95" customHeight="1" spans="1:14">
      <c r="A5" s="398"/>
      <c r="B5" s="399"/>
      <c r="C5" s="539" t="s">
        <v>38</v>
      </c>
      <c r="D5" s="539" t="s">
        <v>41</v>
      </c>
      <c r="E5" s="539" t="s">
        <v>44</v>
      </c>
      <c r="F5" s="539" t="s">
        <v>338</v>
      </c>
      <c r="G5" s="540" t="s">
        <v>92</v>
      </c>
      <c r="H5" s="541" t="s">
        <v>97</v>
      </c>
      <c r="I5" s="541" t="s">
        <v>100</v>
      </c>
      <c r="J5" s="541" t="s">
        <v>105</v>
      </c>
      <c r="K5" s="539" t="s">
        <v>345</v>
      </c>
      <c r="L5" s="539" t="s">
        <v>346</v>
      </c>
      <c r="M5" s="539" t="s">
        <v>347</v>
      </c>
      <c r="N5" s="539" t="s">
        <v>348</v>
      </c>
    </row>
    <row r="6" s="329" customFormat="1" ht="27.95" customHeight="1" spans="1:14">
      <c r="A6" s="400" t="s">
        <v>349</v>
      </c>
      <c r="B6" s="401" t="s">
        <v>350</v>
      </c>
      <c r="C6" s="402">
        <f>'附表5-扣除项目统计表'!E87+'附表5-扣除项目统计表'!I87</f>
        <v>88646990.213</v>
      </c>
      <c r="D6" s="402">
        <f>'附表5-扣除项目统计表'!F87+'附表5-扣除项目统计表'!J87</f>
        <v>56444516.047</v>
      </c>
      <c r="E6" s="402">
        <f>'附表5-扣除项目统计表'!G87+'附表5-扣除项目统计表'!K87</f>
        <v>42982266.697</v>
      </c>
      <c r="F6" s="402">
        <f>SUM(C6:E6)</f>
        <v>188073772.957</v>
      </c>
      <c r="G6" s="403"/>
      <c r="H6" s="404"/>
      <c r="I6" s="404"/>
      <c r="J6" s="404"/>
      <c r="K6" s="423">
        <f>SUM(K7)+SUM(K9)+SUM(K17)+SUM(K20)+SUM(K26)+SUM(K27)</f>
        <v>88646990.21</v>
      </c>
      <c r="L6" s="423">
        <f>SUM(L7)+SUM(L9)+SUM(L17)+SUM(L20)+SUM(L26)+SUM(L27)</f>
        <v>55673682.87</v>
      </c>
      <c r="M6" s="423">
        <f>SUM(M7)+SUM(M9)+SUM(M17)+SUM(M20)+SUM(M26)+SUM(M27)</f>
        <v>2369637.53</v>
      </c>
      <c r="N6" s="423">
        <f>SUM(K6:M6)</f>
        <v>146690310.61</v>
      </c>
    </row>
    <row r="7" s="329" customFormat="1" ht="27.95" customHeight="1" spans="1:14">
      <c r="A7" s="405" t="s">
        <v>267</v>
      </c>
      <c r="B7" s="401" t="s">
        <v>41</v>
      </c>
      <c r="C7" s="402">
        <f>'附表5-扣除项目统计表'!E6+'附表5-扣除项目统计表'!I6</f>
        <v>0</v>
      </c>
      <c r="D7" s="402">
        <f>'附表5-扣除项目统计表'!F6+'附表5-扣除项目统计表'!J6</f>
        <v>0</v>
      </c>
      <c r="E7" s="402">
        <f>'附表5-扣除项目统计表'!G6+'附表5-扣除项目统计表'!K6</f>
        <v>0</v>
      </c>
      <c r="F7" s="402">
        <f t="shared" ref="F7:F19" si="0">SUM(C7:E7)</f>
        <v>0</v>
      </c>
      <c r="G7" s="406" t="s">
        <v>351</v>
      </c>
      <c r="H7" s="407">
        <f>IF(OR($G7="可售建筑面积法",$G7="可售建筑面积法（二分法）"),'附表1-面积统计表'!$F$32,IF($G7="其他合理方法","请填写","请选择分摊方法"))</f>
        <v>1</v>
      </c>
      <c r="I7" s="407">
        <f>IF($G7="可售建筑面积法（二分法）",IF('附表1-面积统计表'!$D$33+'附表1-面积统计表'!$D$34=0,"",ROUND(('附表1-面积统计表'!$E$33+'附表1-面积统计表'!$E$34)/('附表1-面积统计表'!$D$33+'附表1-面积统计表'!$D$34),6)),IF($G7="可售建筑面积法",'附表1-面积统计表'!$F$33,IF($G7="其他合理方法","请填写","请选择分摊方法")))</f>
        <v>0.98629</v>
      </c>
      <c r="J7" s="407">
        <f>IF($G7="可售建筑面积法（二分法）",IF('附表1-面积统计表'!$D$33+'附表1-面积统计表'!$D$34=0,"",ROUND(('附表1-面积统计表'!$E$33+'附表1-面积统计表'!$E$34)/('附表1-面积统计表'!$D$33+'附表1-面积统计表'!$D$34),6)),IF($G7="可售建筑面积法",'附表1-面积统计表'!$F$34,IF($G7="其他合理方法","请填写","请选择分摊方法")))</f>
        <v>0.054426</v>
      </c>
      <c r="K7" s="423">
        <f t="shared" ref="K7:K14" si="1">IF(AND(H7&lt;=1,H7&gt;=0),ROUND(C7*H7,2),"请准确填写扣除比例")</f>
        <v>0</v>
      </c>
      <c r="L7" s="423">
        <f t="shared" ref="L7:L14" si="2">IF(AND(I7&lt;=1,I7&gt;=0),ROUND(D7*I7,2),"请准确填写扣除比例")</f>
        <v>0</v>
      </c>
      <c r="M7" s="423">
        <f t="shared" ref="M7:M14" si="3">IF(AND(J7&lt;=1,J7&gt;=0),ROUND(E7*J7,2),"请准确填写扣除比例")</f>
        <v>0</v>
      </c>
      <c r="N7" s="423">
        <f t="shared" ref="N7:N27" si="4">SUM(K7:M7)</f>
        <v>0</v>
      </c>
    </row>
    <row r="8" s="329" customFormat="1" ht="27.95" customHeight="1" spans="1:14">
      <c r="A8" s="408" t="s">
        <v>268</v>
      </c>
      <c r="B8" s="401" t="s">
        <v>44</v>
      </c>
      <c r="C8" s="402">
        <f>'附表5-扣除项目统计表'!E10+'附表5-扣除项目统计表'!I10</f>
        <v>0</v>
      </c>
      <c r="D8" s="402">
        <f>'附表5-扣除项目统计表'!F10+'附表5-扣除项目统计表'!J10</f>
        <v>0</v>
      </c>
      <c r="E8" s="402">
        <f>'附表5-扣除项目统计表'!G10+'附表5-扣除项目统计表'!K10</f>
        <v>0</v>
      </c>
      <c r="F8" s="402">
        <f t="shared" si="0"/>
        <v>0</v>
      </c>
      <c r="G8" s="406" t="s">
        <v>351</v>
      </c>
      <c r="H8" s="407">
        <f>IF(OR($G8="可售建筑面积法",$G8="可售建筑面积法（二分法）"),'附表1-面积统计表'!$F$32,IF($G8="其他合理方法","请填写","请选择分摊方法"))</f>
        <v>1</v>
      </c>
      <c r="I8" s="407">
        <f>IF($G8="可售建筑面积法（二分法）",IF('附表1-面积统计表'!$D$33+'附表1-面积统计表'!$D$34=0,"",ROUND(('附表1-面积统计表'!$E$33+'附表1-面积统计表'!$E$34)/('附表1-面积统计表'!$D$33+'附表1-面积统计表'!$D$34),6)),IF($G8="可售建筑面积法",'附表1-面积统计表'!$F$33,IF($G8="其他合理方法","请填写","请选择分摊方法")))</f>
        <v>0.98629</v>
      </c>
      <c r="J8" s="407">
        <f>IF($G8="可售建筑面积法（二分法）",IF('附表1-面积统计表'!$D$33+'附表1-面积统计表'!$D$34=0,"",ROUND(('附表1-面积统计表'!$E$33+'附表1-面积统计表'!$E$34)/('附表1-面积统计表'!$D$33+'附表1-面积统计表'!$D$34),6)),IF($G8="可售建筑面积法",'附表1-面积统计表'!$F$34,IF($G8="其他合理方法","请填写","请选择分摊方法")))</f>
        <v>0.054426</v>
      </c>
      <c r="K8" s="423">
        <f t="shared" si="1"/>
        <v>0</v>
      </c>
      <c r="L8" s="423">
        <f t="shared" si="2"/>
        <v>0</v>
      </c>
      <c r="M8" s="423">
        <f t="shared" si="3"/>
        <v>0</v>
      </c>
      <c r="N8" s="423">
        <f t="shared" si="4"/>
        <v>0</v>
      </c>
    </row>
    <row r="9" s="329" customFormat="1" ht="27.95" customHeight="1" spans="1:14">
      <c r="A9" s="405" t="s">
        <v>270</v>
      </c>
      <c r="B9" s="401" t="s">
        <v>352</v>
      </c>
      <c r="C9" s="402">
        <f>'附表5-扣除项目统计表'!E11+'附表5-扣除项目统计表'!I11</f>
        <v>67911934.41</v>
      </c>
      <c r="D9" s="402">
        <f>'附表5-扣除项目统计表'!F11+'附表5-扣除项目统计表'!J11</f>
        <v>43249352.69</v>
      </c>
      <c r="E9" s="402">
        <f>'附表5-扣除项目统计表'!G11+'附表5-扣除项目统计表'!K11</f>
        <v>33038645.29</v>
      </c>
      <c r="F9" s="402">
        <f t="shared" si="0"/>
        <v>144199932.39</v>
      </c>
      <c r="G9" s="404"/>
      <c r="H9" s="404"/>
      <c r="I9" s="404"/>
      <c r="J9" s="404"/>
      <c r="K9" s="423">
        <f>SUM(K10:K15)</f>
        <v>67911934.41</v>
      </c>
      <c r="L9" s="423">
        <f>SUM(L10:L15)</f>
        <v>42656404.09</v>
      </c>
      <c r="M9" s="423">
        <f>SUM(M10:M15)</f>
        <v>1798161.32</v>
      </c>
      <c r="N9" s="423">
        <f t="shared" si="4"/>
        <v>112366499.82</v>
      </c>
    </row>
    <row r="10" s="329" customFormat="1" ht="27.95" customHeight="1" spans="1:14">
      <c r="A10" s="408" t="s">
        <v>272</v>
      </c>
      <c r="B10" s="401" t="s">
        <v>92</v>
      </c>
      <c r="C10" s="402">
        <f>'附表5-扣除项目统计表'!E12+'附表5-扣除项目统计表'!I12</f>
        <v>668995.79</v>
      </c>
      <c r="D10" s="402">
        <f>'附表5-扣除项目统计表'!F12+'附表5-扣除项目统计表'!J12</f>
        <v>442626.05</v>
      </c>
      <c r="E10" s="402">
        <f>'附表5-扣除项目统计表'!G12+'附表5-扣除项目统计表'!K12</f>
        <v>269279.69</v>
      </c>
      <c r="F10" s="402">
        <f t="shared" si="0"/>
        <v>1380901.53</v>
      </c>
      <c r="G10" s="406" t="s">
        <v>351</v>
      </c>
      <c r="H10" s="407">
        <f>1</f>
        <v>1</v>
      </c>
      <c r="I10" s="407">
        <f>'附表1-面积统计表'!G6/'附表1-面积统计表'!F6</f>
        <v>0.986290054647313</v>
      </c>
      <c r="J10" s="407">
        <f>IF($G10="可售建筑面积法（二分法）",IF('附表1-面积统计表'!$D$33+'附表1-面积统计表'!$D$34=0,"",ROUND(('附表1-面积统计表'!$E$33+'附表1-面积统计表'!$E$34)/('附表1-面积统计表'!$D$33+'附表1-面积统计表'!$D$34),6)),IF($G10="可售建筑面积法",'附表1-面积统计表'!$F$34,IF($G10="其他合理方法","请填写","请选择分摊方法")))</f>
        <v>0.054426</v>
      </c>
      <c r="K10" s="423">
        <f t="shared" si="1"/>
        <v>668995.79</v>
      </c>
      <c r="L10" s="423">
        <f t="shared" si="2"/>
        <v>436557.67</v>
      </c>
      <c r="M10" s="423">
        <f t="shared" si="3"/>
        <v>14655.82</v>
      </c>
      <c r="N10" s="423">
        <f t="shared" si="4"/>
        <v>1120209.28</v>
      </c>
    </row>
    <row r="11" s="329" customFormat="1" ht="27.95" customHeight="1" spans="1:14">
      <c r="A11" s="408" t="s">
        <v>273</v>
      </c>
      <c r="B11" s="401" t="s">
        <v>97</v>
      </c>
      <c r="C11" s="402">
        <f>'附表5-扣除项目统计表'!E19+'附表5-扣除项目统计表'!I19</f>
        <v>3382707.67</v>
      </c>
      <c r="D11" s="402">
        <f>'附表5-扣除项目统计表'!F19+'附表5-扣除项目统计表'!J19</f>
        <v>2238092.52</v>
      </c>
      <c r="E11" s="402">
        <f>'附表5-扣除项目统计表'!G19+'附表5-扣除项目统计表'!K19</f>
        <v>1357545.4</v>
      </c>
      <c r="F11" s="402">
        <f t="shared" si="0"/>
        <v>6978345.59</v>
      </c>
      <c r="G11" s="406" t="s">
        <v>351</v>
      </c>
      <c r="H11" s="407">
        <f>IF(OR($G11="可售建筑面积法",$G11="可售建筑面积法（二分法）"),'附表1-面积统计表'!$F$32,IF($G11="其他合理方法","请填写","请选择分摊方法"))</f>
        <v>1</v>
      </c>
      <c r="I11" s="407">
        <f>IF($G11="可售建筑面积法（二分法）",IF('附表1-面积统计表'!$D$33+'附表1-面积统计表'!$D$34=0,"",ROUND(('附表1-面积统计表'!$E$33+'附表1-面积统计表'!$E$34)/('附表1-面积统计表'!$D$33+'附表1-面积统计表'!$D$34),6)),IF($G11="可售建筑面积法",'附表1-面积统计表'!$F$33,IF($G11="其他合理方法","请填写","请选择分摊方法")))</f>
        <v>0.98629</v>
      </c>
      <c r="J11" s="407">
        <f>IF($G11="可售建筑面积法（二分法）",IF('附表1-面积统计表'!$D$33+'附表1-面积统计表'!$D$34=0,"",ROUND(('附表1-面积统计表'!$E$33+'附表1-面积统计表'!$E$34)/('附表1-面积统计表'!$D$33+'附表1-面积统计表'!$D$34),6)),IF($G11="可售建筑面积法",'附表1-面积统计表'!$F$34,IF($G11="其他合理方法","请填写","请选择分摊方法")))</f>
        <v>0.054426</v>
      </c>
      <c r="K11" s="423">
        <f t="shared" si="1"/>
        <v>3382707.67</v>
      </c>
      <c r="L11" s="423">
        <f t="shared" si="2"/>
        <v>2207408.27</v>
      </c>
      <c r="M11" s="423">
        <f t="shared" si="3"/>
        <v>73885.77</v>
      </c>
      <c r="N11" s="423">
        <f t="shared" si="4"/>
        <v>5664001.71</v>
      </c>
    </row>
    <row r="12" s="329" customFormat="1" ht="27.95" customHeight="1" spans="1:14">
      <c r="A12" s="408" t="s">
        <v>274</v>
      </c>
      <c r="B12" s="401" t="s">
        <v>100</v>
      </c>
      <c r="C12" s="402">
        <f>'附表5-扣除项目统计表'!E29+'附表5-扣除项目统计表'!I29</f>
        <v>46908389.72</v>
      </c>
      <c r="D12" s="402">
        <f>'附表5-扣除项目统计表'!F29+'附表5-扣除项目统计表'!J29</f>
        <v>31035903.75</v>
      </c>
      <c r="E12" s="402">
        <f>'附表5-扣除项目统计表'!G29+'附表5-扣除项目统计表'!K29</f>
        <v>24728739.14</v>
      </c>
      <c r="F12" s="402">
        <f t="shared" si="0"/>
        <v>102673032.61</v>
      </c>
      <c r="G12" s="406" t="s">
        <v>351</v>
      </c>
      <c r="H12" s="407">
        <f>IF(OR($G12="可售建筑面积法",$G12="可售建筑面积法（二分法）"),'附表1-面积统计表'!$F$32,IF($G12="其他合理方法","请填写","请选择分摊方法"))</f>
        <v>1</v>
      </c>
      <c r="I12" s="407">
        <f>IF($G12="可售建筑面积法（二分法）",IF('附表1-面积统计表'!$D$33+'附表1-面积统计表'!$D$34=0,"",ROUND(('附表1-面积统计表'!$E$33+'附表1-面积统计表'!$E$34)/('附表1-面积统计表'!$D$33+'附表1-面积统计表'!$D$34),6)),IF($G12="可售建筑面积法",'附表1-面积统计表'!$F$33,IF($G12="其他合理方法","请填写","请选择分摊方法")))</f>
        <v>0.98629</v>
      </c>
      <c r="J12" s="407">
        <f>IF($G12="可售建筑面积法（二分法）",IF('附表1-面积统计表'!$D$33+'附表1-面积统计表'!$D$34=0,"",ROUND(('附表1-面积统计表'!$E$33+'附表1-面积统计表'!$E$34)/('附表1-面积统计表'!$D$33+'附表1-面积统计表'!$D$34),6)),IF($G12="可售建筑面积法",'附表1-面积统计表'!$F$34,IF($G12="其他合理方法","请填写","请选择分摊方法")))</f>
        <v>0.054426</v>
      </c>
      <c r="K12" s="423">
        <f t="shared" si="1"/>
        <v>46908389.72</v>
      </c>
      <c r="L12" s="423">
        <f t="shared" si="2"/>
        <v>30610401.51</v>
      </c>
      <c r="M12" s="423">
        <f t="shared" si="3"/>
        <v>1345886.36</v>
      </c>
      <c r="N12" s="423">
        <f t="shared" si="4"/>
        <v>78864677.59</v>
      </c>
    </row>
    <row r="13" s="329" customFormat="1" ht="27.95" customHeight="1" spans="1:14">
      <c r="A13" s="408" t="s">
        <v>275</v>
      </c>
      <c r="B13" s="401" t="s">
        <v>105</v>
      </c>
      <c r="C13" s="402">
        <f>'附表5-扣除项目统计表'!E36+'附表5-扣除项目统计表'!I36</f>
        <v>11101502.1</v>
      </c>
      <c r="D13" s="402">
        <f>'附表5-扣除项目统计表'!F36+'附表5-扣除项目统计表'!J36</f>
        <v>7345059.57</v>
      </c>
      <c r="E13" s="402">
        <f>'附表5-扣除项目统计表'!G36+'附表5-扣除项目统计表'!K36</f>
        <v>4844597.6</v>
      </c>
      <c r="F13" s="402">
        <f t="shared" si="0"/>
        <v>23291159.27</v>
      </c>
      <c r="G13" s="406" t="s">
        <v>351</v>
      </c>
      <c r="H13" s="407">
        <f>IF(OR($G13="可售建筑面积法",$G13="可售建筑面积法（二分法）"),'附表1-面积统计表'!$F$32,IF($G13="其他合理方法","请填写","请选择分摊方法"))</f>
        <v>1</v>
      </c>
      <c r="I13" s="407">
        <f>IF($G13="可售建筑面积法（二分法）",IF('附表1-面积统计表'!$D$33+'附表1-面积统计表'!$D$34=0,"",ROUND(('附表1-面积统计表'!$E$33+'附表1-面积统计表'!$E$34)/('附表1-面积统计表'!$D$33+'附表1-面积统计表'!$D$34),6)),IF($G13="可售建筑面积法",'附表1-面积统计表'!$F$33,IF($G13="其他合理方法","请填写","请选择分摊方法")))</f>
        <v>0.98629</v>
      </c>
      <c r="J13" s="407">
        <f>IF($G13="可售建筑面积法（二分法）",IF('附表1-面积统计表'!$D$33+'附表1-面积统计表'!$D$34=0,"",ROUND(('附表1-面积统计表'!$E$33+'附表1-面积统计表'!$E$34)/('附表1-面积统计表'!$D$33+'附表1-面积统计表'!$D$34),6)),IF($G13="可售建筑面积法",'附表1-面积统计表'!$F$34,IF($G13="其他合理方法","请填写","请选择分摊方法")))</f>
        <v>0.054426</v>
      </c>
      <c r="K13" s="423">
        <f t="shared" si="1"/>
        <v>11101502.1</v>
      </c>
      <c r="L13" s="423">
        <f t="shared" si="2"/>
        <v>7244358.8</v>
      </c>
      <c r="M13" s="423">
        <f t="shared" si="3"/>
        <v>263672.07</v>
      </c>
      <c r="N13" s="423">
        <f t="shared" si="4"/>
        <v>18609532.97</v>
      </c>
    </row>
    <row r="14" s="379" customFormat="1" ht="27.95" customHeight="1" spans="1:14">
      <c r="A14" s="408" t="s">
        <v>276</v>
      </c>
      <c r="B14" s="401" t="s">
        <v>109</v>
      </c>
      <c r="C14" s="402">
        <f>'附表5-扣除项目统计表'!E48+'附表5-扣除项目统计表'!I48</f>
        <v>4319535.82</v>
      </c>
      <c r="D14" s="402">
        <f>'附表5-扣除项目统计表'!F48+'附表5-扣除项目统计表'!J48</f>
        <v>1174849.21</v>
      </c>
      <c r="E14" s="402">
        <f>'附表5-扣除项目统计表'!G48+'附表5-扣除项目统计表'!K48</f>
        <v>1288751.41</v>
      </c>
      <c r="F14" s="402">
        <f t="shared" si="0"/>
        <v>6783136.44</v>
      </c>
      <c r="G14" s="406" t="s">
        <v>351</v>
      </c>
      <c r="H14" s="407">
        <f>IF(OR($G14="可售建筑面积法",$G14="可售建筑面积法（二分法）"),'附表1-面积统计表'!$F$32,IF($G14="其他合理方法","请填写","请选择分摊方法"))</f>
        <v>1</v>
      </c>
      <c r="I14" s="407">
        <f>IF($G14="可售建筑面积法（二分法）",IF('附表1-面积统计表'!$D$33+'附表1-面积统计表'!$D$34=0,"",ROUND(('附表1-面积统计表'!$E$33+'附表1-面积统计表'!$E$34)/('附表1-面积统计表'!$D$33+'附表1-面积统计表'!$D$34),6)),IF($G14="可售建筑面积法",'附表1-面积统计表'!$F$33,IF($G14="其他合理方法","请填写","请选择分摊方法")))</f>
        <v>0.98629</v>
      </c>
      <c r="J14" s="407">
        <f>IF($G14="可售建筑面积法（二分法）",IF('附表1-面积统计表'!$D$33+'附表1-面积统计表'!$D$34=0,"",ROUND(('附表1-面积统计表'!$E$33+'附表1-面积统计表'!$E$34)/('附表1-面积统计表'!$D$33+'附表1-面积统计表'!$D$34),6)),IF($G14="可售建筑面积法",'附表1-面积统计表'!$F$34,IF($G14="其他合理方法","请填写","请选择分摊方法")))</f>
        <v>0.054426</v>
      </c>
      <c r="K14" s="423">
        <f t="shared" si="1"/>
        <v>4319535.82</v>
      </c>
      <c r="L14" s="423">
        <f t="shared" si="2"/>
        <v>1158742.03</v>
      </c>
      <c r="M14" s="423">
        <f t="shared" si="3"/>
        <v>70141.58</v>
      </c>
      <c r="N14" s="423">
        <f t="shared" si="4"/>
        <v>5548419.43</v>
      </c>
    </row>
    <row r="15" s="379" customFormat="1" ht="27.95" customHeight="1" spans="1:14">
      <c r="A15" s="408" t="s">
        <v>277</v>
      </c>
      <c r="B15" s="401" t="s">
        <v>112</v>
      </c>
      <c r="C15" s="402">
        <f>'附表5-扣除项目统计表'!E65+'附表5-扣除项目统计表'!I65</f>
        <v>1530803.31</v>
      </c>
      <c r="D15" s="402">
        <f>'附表5-扣除项目统计表'!F65+'附表5-扣除项目统计表'!J65</f>
        <v>1012821.59</v>
      </c>
      <c r="E15" s="402">
        <f>'附表5-扣除项目统计表'!G65+'附表5-扣除项目统计表'!K65</f>
        <v>549732.05</v>
      </c>
      <c r="F15" s="402">
        <f t="shared" si="0"/>
        <v>3093356.95</v>
      </c>
      <c r="G15" s="406" t="s">
        <v>351</v>
      </c>
      <c r="H15" s="407">
        <f>IF(OR($G15="可售建筑面积法",$G15="可售建筑面积法（二分法）"),'附表1-面积统计表'!$F$32,IF($G15="其他合理方法","请填写","请选择分摊方法"))</f>
        <v>1</v>
      </c>
      <c r="I15" s="407">
        <f>IF($G15="可售建筑面积法（二分法）",IF('附表1-面积统计表'!$D$33+'附表1-面积统计表'!$D$34=0,"",ROUND(('附表1-面积统计表'!$E$33+'附表1-面积统计表'!$E$34)/('附表1-面积统计表'!$D$33+'附表1-面积统计表'!$D$34),6)),IF($G15="可售建筑面积法",'附表1-面积统计表'!$F$33,IF($G15="其他合理方法","请填写","请选择分摊方法")))</f>
        <v>0.98629</v>
      </c>
      <c r="J15" s="407">
        <f>IF($G15="可售建筑面积法（二分法）",IF('附表1-面积统计表'!$D$33+'附表1-面积统计表'!$D$34=0,"",ROUND(('附表1-面积统计表'!$E$33+'附表1-面积统计表'!$E$34)/('附表1-面积统计表'!$D$33+'附表1-面积统计表'!$D$34),6)),IF($G15="可售建筑面积法",'附表1-面积统计表'!$F$34,IF($G15="其他合理方法","请填写","请选择分摊方法")))</f>
        <v>0.054426</v>
      </c>
      <c r="K15" s="423">
        <f t="shared" ref="K15:M16" si="5">IF(AND(H15&lt;=1,H15&gt;=0),ROUND(C15*H15,2),"请准确填写扣除比例")</f>
        <v>1530803.31</v>
      </c>
      <c r="L15" s="423">
        <f t="shared" si="5"/>
        <v>998935.81</v>
      </c>
      <c r="M15" s="423">
        <f t="shared" si="5"/>
        <v>29919.72</v>
      </c>
      <c r="N15" s="423">
        <f t="shared" si="4"/>
        <v>2559658.84</v>
      </c>
    </row>
    <row r="16" s="379" customFormat="1" ht="27.95" customHeight="1" spans="1:14">
      <c r="A16" s="408" t="s">
        <v>268</v>
      </c>
      <c r="B16" s="401" t="s">
        <v>115</v>
      </c>
      <c r="C16" s="402">
        <f>'附表5-扣除项目统计表'!E75+'附表5-扣除项目统计表'!I75</f>
        <v>0</v>
      </c>
      <c r="D16" s="402">
        <f>'附表5-扣除项目统计表'!F75+'附表5-扣除项目统计表'!J75</f>
        <v>0</v>
      </c>
      <c r="E16" s="402">
        <f>'附表5-扣除项目统计表'!G75+'附表5-扣除项目统计表'!K75</f>
        <v>0</v>
      </c>
      <c r="F16" s="402">
        <f t="shared" si="0"/>
        <v>0</v>
      </c>
      <c r="G16" s="406" t="s">
        <v>351</v>
      </c>
      <c r="H16" s="407">
        <f>IF(OR($G16="可售建筑面积法",$G16="可售建筑面积法（二分法）"),'附表1-面积统计表'!$F$32,IF($G16="其他合理方法","请填写","请选择分摊方法"))</f>
        <v>1</v>
      </c>
      <c r="I16" s="407">
        <f>IF($G16="可售建筑面积法（二分法）",IF('附表1-面积统计表'!$D$33+'附表1-面积统计表'!$D$34=0,"",ROUND(('附表1-面积统计表'!$E$33+'附表1-面积统计表'!$E$34)/('附表1-面积统计表'!$D$33+'附表1-面积统计表'!$D$34),6)),IF($G16="可售建筑面积法",'附表1-面积统计表'!$F$33,IF($G16="其他合理方法","请填写","请选择分摊方法")))</f>
        <v>0.98629</v>
      </c>
      <c r="J16" s="407">
        <f>IF($G16="可售建筑面积法（二分法）",IF('附表1-面积统计表'!$D$33+'附表1-面积统计表'!$D$34=0,"",ROUND(('附表1-面积统计表'!$E$33+'附表1-面积统计表'!$E$34)/('附表1-面积统计表'!$D$33+'附表1-面积统计表'!$D$34),6)),IF($G16="可售建筑面积法",'附表1-面积统计表'!$F$34,IF($G16="其他合理方法","请填写","请选择分摊方法")))</f>
        <v>0.054426</v>
      </c>
      <c r="K16" s="423">
        <f t="shared" si="5"/>
        <v>0</v>
      </c>
      <c r="L16" s="423">
        <f t="shared" si="5"/>
        <v>0</v>
      </c>
      <c r="M16" s="423">
        <f t="shared" si="5"/>
        <v>0</v>
      </c>
      <c r="N16" s="423">
        <f t="shared" si="4"/>
        <v>0</v>
      </c>
    </row>
    <row r="17" s="379" customFormat="1" ht="27.95" customHeight="1" spans="1:14">
      <c r="A17" s="405" t="s">
        <v>279</v>
      </c>
      <c r="B17" s="401" t="s">
        <v>353</v>
      </c>
      <c r="C17" s="402">
        <f>'附表5-扣除项目统计表'!E76+'附表5-扣除项目统计表'!I76</f>
        <v>6791193.441</v>
      </c>
      <c r="D17" s="402">
        <f>'附表5-扣除项目统计表'!F76+'附表5-扣除项目统计表'!J76</f>
        <v>4324935.269</v>
      </c>
      <c r="E17" s="402">
        <f>'附表5-扣除项目统计表'!G76+'附表5-扣除项目统计表'!K76</f>
        <v>3303864.529</v>
      </c>
      <c r="F17" s="402">
        <f t="shared" si="0"/>
        <v>14419993.239</v>
      </c>
      <c r="G17" s="404"/>
      <c r="H17" s="404"/>
      <c r="I17" s="404"/>
      <c r="J17" s="404"/>
      <c r="K17" s="423">
        <f>SUM(K18:K19)</f>
        <v>6791193.44</v>
      </c>
      <c r="L17" s="423">
        <f>SUM(L18:L19)</f>
        <v>4265640.41</v>
      </c>
      <c r="M17" s="423">
        <f>SUM(M18:M19)</f>
        <v>179816.13</v>
      </c>
      <c r="N17" s="423">
        <f t="shared" si="4"/>
        <v>11236649.98</v>
      </c>
    </row>
    <row r="18" s="329" customFormat="1" ht="27.95" customHeight="1" spans="1:14">
      <c r="A18" s="408" t="s">
        <v>281</v>
      </c>
      <c r="B18" s="401" t="s">
        <v>121</v>
      </c>
      <c r="C18" s="402">
        <f>'附表5-扣除项目统计表'!E77+'附表5-扣除项目统计表'!I77</f>
        <v>0</v>
      </c>
      <c r="D18" s="402">
        <f>'附表5-扣除项目统计表'!F77+'附表5-扣除项目统计表'!J77</f>
        <v>0</v>
      </c>
      <c r="E18" s="402">
        <f>'附表5-扣除项目统计表'!G77+'附表5-扣除项目统计表'!K77</f>
        <v>0</v>
      </c>
      <c r="F18" s="402">
        <f t="shared" si="0"/>
        <v>0</v>
      </c>
      <c r="G18" s="406" t="s">
        <v>351</v>
      </c>
      <c r="H18" s="407">
        <f>IF(OR($G18="可售建筑面积法",$G18="可售建筑面积法（二分法）"),'附表1-面积统计表'!$F$32,IF($G18="其他合理方法","请填写","请选择分摊方法"))</f>
        <v>1</v>
      </c>
      <c r="I18" s="407">
        <f>IF($G18="可售建筑面积法（二分法）",IF('附表1-面积统计表'!$D$33+'附表1-面积统计表'!$D$34=0,"",ROUND(('附表1-面积统计表'!$E$33+'附表1-面积统计表'!$E$34)/('附表1-面积统计表'!$D$33+'附表1-面积统计表'!$D$34),6)),IF($G18="可售建筑面积法",'附表1-面积统计表'!$F$33,IF($G18="其他合理方法","请填写","请选择分摊方法")))</f>
        <v>0.98629</v>
      </c>
      <c r="J18" s="407">
        <f>IF($G18="可售建筑面积法（二分法）",IF('附表1-面积统计表'!$D$33+'附表1-面积统计表'!$D$34=0,"",ROUND(('附表1-面积统计表'!$E$33+'附表1-面积统计表'!$E$34)/('附表1-面积统计表'!$D$33+'附表1-面积统计表'!$D$34),6)),IF($G18="可售建筑面积法",'附表1-面积统计表'!$F$34,IF($G18="其他合理方法","请填写","请选择分摊方法")))</f>
        <v>0.054426</v>
      </c>
      <c r="K18" s="423">
        <f>IF('附表5-扣除项目统计表'!$D$77="据实扣除",IF(AND(H18&lt;=1,H18&gt;=0),ROUND(C18*H18,2),"请准确填写扣除比例"),0)</f>
        <v>0</v>
      </c>
      <c r="L18" s="423">
        <f>IF('附表5-扣除项目统计表'!$D$77="据实扣除",IF(AND(I18&lt;=1,I18&gt;=0),ROUND(D18*I18,2),"请准确填写扣除比例"),0)</f>
        <v>0</v>
      </c>
      <c r="M18" s="423">
        <f>IF('附表5-扣除项目统计表'!$D$77="据实扣除",IF(AND(J18&lt;=1,J18&gt;=0),ROUND(E18*J18,2),"请准确填写扣除比例"),0)</f>
        <v>0</v>
      </c>
      <c r="N18" s="423">
        <f t="shared" si="4"/>
        <v>0</v>
      </c>
    </row>
    <row r="19" s="329" customFormat="1" ht="27.95" customHeight="1" spans="1:14">
      <c r="A19" s="408" t="s">
        <v>282</v>
      </c>
      <c r="B19" s="401" t="s">
        <v>124</v>
      </c>
      <c r="C19" s="402">
        <f>'附表5-扣除项目统计表'!E78+'附表5-扣除项目统计表'!I78</f>
        <v>6791193.441</v>
      </c>
      <c r="D19" s="402">
        <f>'附表5-扣除项目统计表'!F78+'附表5-扣除项目统计表'!J78</f>
        <v>4324935.269</v>
      </c>
      <c r="E19" s="402">
        <f>'附表5-扣除项目统计表'!G78+'附表5-扣除项目统计表'!K78</f>
        <v>3303864.529</v>
      </c>
      <c r="F19" s="402">
        <f t="shared" si="0"/>
        <v>14419993.239</v>
      </c>
      <c r="G19" s="329" t="s">
        <v>354</v>
      </c>
      <c r="H19" s="404"/>
      <c r="I19" s="404"/>
      <c r="J19" s="404"/>
      <c r="K19" s="423">
        <f>IF(G19="与加计扣除一致",ROUND(IF('附表5-扣除项目统计表'!$D$77="计算扣除",((SUM(K7)-SUM(K8))+(SUM(K9)-SUM(K16)))*10%,((SUM(K7)-SUM(K8))+(SUM(K9)-SUM(K16)))*5%),2),"请准确填写普通住宅扣除金额。")</f>
        <v>6791193.44</v>
      </c>
      <c r="L19" s="423">
        <f>IF(G19="与加计扣除一致",ROUND(IF('附表5-扣除项目统计表'!$D$77="计算扣除",((SUM(L7)-SUM(L8))+(SUM(L9)-SUM(L16)))*10%,((SUM(L7)-SUM(L8))+(SUM(L9)-SUM(L16)))*5%),2),"请准确填写非普通住宅扣除金额。")</f>
        <v>4265640.41</v>
      </c>
      <c r="M19" s="423">
        <f>IF(G19="与加计扣除一致",ROUND(IF('附表5-扣除项目统计表'!$D$77="计算扣除",((SUM(M7)-SUM(M8))+(SUM(M9)-SUM(M16)))*10%,((SUM(M7)-SUM(M8))+(SUM(M9)-SUM(M16)))*5%),2),"请准确填写其他类型房地产扣除金额。")</f>
        <v>179816.13</v>
      </c>
      <c r="N19" s="423">
        <f t="shared" si="4"/>
        <v>11236649.98</v>
      </c>
    </row>
    <row r="20" s="329" customFormat="1" ht="27.95" customHeight="1" spans="1:14">
      <c r="A20" s="405" t="s">
        <v>283</v>
      </c>
      <c r="B20" s="401" t="s">
        <v>355</v>
      </c>
      <c r="C20" s="409"/>
      <c r="D20" s="409"/>
      <c r="E20" s="409"/>
      <c r="F20" s="409"/>
      <c r="G20" s="410"/>
      <c r="H20" s="410"/>
      <c r="I20" s="404"/>
      <c r="J20" s="404"/>
      <c r="K20" s="423">
        <f>SUM(K21:K25)</f>
        <v>361475.48</v>
      </c>
      <c r="L20" s="423">
        <f>SUM(L21:L25)</f>
        <v>220357.55</v>
      </c>
      <c r="M20" s="423">
        <f>SUM(M21:M25)</f>
        <v>32027.82</v>
      </c>
      <c r="N20" s="423">
        <f t="shared" si="4"/>
        <v>613860.85</v>
      </c>
    </row>
    <row r="21" s="329" customFormat="1" ht="27.95" customHeight="1" spans="1:14">
      <c r="A21" s="408" t="s">
        <v>285</v>
      </c>
      <c r="B21" s="401" t="s">
        <v>131</v>
      </c>
      <c r="C21" s="409"/>
      <c r="D21" s="409"/>
      <c r="E21" s="409"/>
      <c r="F21" s="409"/>
      <c r="G21" s="410"/>
      <c r="H21" s="410"/>
      <c r="I21" s="404"/>
      <c r="J21" s="404"/>
      <c r="K21" s="423">
        <f>ROUND(SUM('附表5-扣除项目统计表'!E80),2)</f>
        <v>0</v>
      </c>
      <c r="L21" s="423">
        <f>ROUND(SUM('附表5-扣除项目统计表'!F80),2)</f>
        <v>0</v>
      </c>
      <c r="M21" s="423">
        <f>ROUND(SUM('附表5-扣除项目统计表'!G80),2)</f>
        <v>0</v>
      </c>
      <c r="N21" s="423">
        <f t="shared" si="4"/>
        <v>0</v>
      </c>
    </row>
    <row r="22" s="329" customFormat="1" ht="27.95" customHeight="1" spans="1:14">
      <c r="A22" s="408" t="s">
        <v>286</v>
      </c>
      <c r="B22" s="401" t="s">
        <v>356</v>
      </c>
      <c r="C22" s="409"/>
      <c r="D22" s="409"/>
      <c r="E22" s="409"/>
      <c r="F22" s="409"/>
      <c r="G22" s="410"/>
      <c r="H22" s="410"/>
      <c r="I22" s="404"/>
      <c r="J22" s="404"/>
      <c r="K22" s="423">
        <f>ROUND(SUM('附表5-扣除项目统计表'!E81),2)</f>
        <v>210860.71</v>
      </c>
      <c r="L22" s="423">
        <f>ROUND(SUM('附表5-扣除项目统计表'!F81),2)</f>
        <v>128541.91</v>
      </c>
      <c r="M22" s="423">
        <f>ROUND(SUM('附表5-扣除项目统计表'!G81),2)</f>
        <v>18682.9</v>
      </c>
      <c r="N22" s="423">
        <f t="shared" si="4"/>
        <v>358085.52</v>
      </c>
    </row>
    <row r="23" s="329" customFormat="1" ht="27.95" customHeight="1" spans="1:14">
      <c r="A23" s="408" t="s">
        <v>287</v>
      </c>
      <c r="B23" s="401" t="s">
        <v>357</v>
      </c>
      <c r="C23" s="409"/>
      <c r="D23" s="409"/>
      <c r="E23" s="409"/>
      <c r="F23" s="409"/>
      <c r="G23" s="410"/>
      <c r="H23" s="410"/>
      <c r="I23" s="404"/>
      <c r="J23" s="404"/>
      <c r="K23" s="423">
        <f>ROUND(SUM('附表5-扣除项目统计表'!E82),2)</f>
        <v>90368.87</v>
      </c>
      <c r="L23" s="423">
        <f>ROUND(SUM('附表5-扣除项目统计表'!F82),2)</f>
        <v>55089.39</v>
      </c>
      <c r="M23" s="423">
        <f>ROUND(SUM('附表5-扣除项目统计表'!G82),2)</f>
        <v>8006.95</v>
      </c>
      <c r="N23" s="423">
        <f t="shared" si="4"/>
        <v>153465.21</v>
      </c>
    </row>
    <row r="24" s="329" customFormat="1" ht="27.95" customHeight="1" spans="1:14">
      <c r="A24" s="408" t="s">
        <v>358</v>
      </c>
      <c r="B24" s="401" t="s">
        <v>359</v>
      </c>
      <c r="C24" s="409"/>
      <c r="D24" s="409"/>
      <c r="E24" s="409"/>
      <c r="F24" s="409"/>
      <c r="G24" s="410"/>
      <c r="H24" s="410"/>
      <c r="I24" s="404"/>
      <c r="J24" s="404"/>
      <c r="K24" s="423">
        <f>ROUND(SUM('附表5-扣除项目统计表'!E83),2)</f>
        <v>60245.9</v>
      </c>
      <c r="L24" s="423">
        <f>ROUND(SUM('附表5-扣除项目统计表'!F83),2)</f>
        <v>36726.25</v>
      </c>
      <c r="M24" s="423">
        <f>ROUND(SUM('附表5-扣除项目统计表'!G83),2)</f>
        <v>5337.97</v>
      </c>
      <c r="N24" s="423">
        <f t="shared" si="4"/>
        <v>102310.12</v>
      </c>
    </row>
    <row r="25" s="329" customFormat="1" ht="27.95" customHeight="1" spans="1:14">
      <c r="A25" s="408" t="s">
        <v>360</v>
      </c>
      <c r="B25" s="401" t="s">
        <v>361</v>
      </c>
      <c r="C25" s="409"/>
      <c r="D25" s="409"/>
      <c r="E25" s="409"/>
      <c r="F25" s="409"/>
      <c r="G25" s="410"/>
      <c r="H25" s="410"/>
      <c r="I25" s="404"/>
      <c r="J25" s="404"/>
      <c r="K25" s="423">
        <f>ROUND(SUM('附表5-扣除项目统计表'!E84),2)</f>
        <v>0</v>
      </c>
      <c r="L25" s="423">
        <f>ROUND(SUM('附表5-扣除项目统计表'!F84),2)</f>
        <v>0</v>
      </c>
      <c r="M25" s="423">
        <f>ROUND(SUM('附表5-扣除项目统计表'!G84),2)</f>
        <v>0</v>
      </c>
      <c r="N25" s="423">
        <f t="shared" si="4"/>
        <v>0</v>
      </c>
    </row>
    <row r="26" s="329" customFormat="1" ht="27.95" customHeight="1" spans="1:14">
      <c r="A26" s="405" t="s">
        <v>288</v>
      </c>
      <c r="B26" s="401" t="s">
        <v>362</v>
      </c>
      <c r="C26" s="402">
        <f>'附表5-扣除项目统计表'!E85+'附表5-扣除项目统计表'!I85</f>
        <v>13582386.882</v>
      </c>
      <c r="D26" s="402">
        <f>'附表5-扣除项目统计表'!F85+'附表5-扣除项目统计表'!J85</f>
        <v>8649870.538</v>
      </c>
      <c r="E26" s="402">
        <f>'附表5-扣除项目统计表'!G85+'附表5-扣除项目统计表'!K85</f>
        <v>6607729.058</v>
      </c>
      <c r="F26" s="402">
        <f>SUM(C26:E26)</f>
        <v>28839986.478</v>
      </c>
      <c r="G26" s="410"/>
      <c r="H26" s="410"/>
      <c r="I26" s="404"/>
      <c r="J26" s="404"/>
      <c r="K26" s="423">
        <f>ROUND((SUM(K7)-SUM(K8)+SUM(K9)-SUM(K16))*20%,2)</f>
        <v>13582386.88</v>
      </c>
      <c r="L26" s="423">
        <f>ROUND((SUM(L7)-SUM(L8)+SUM(L9)-SUM(L16))*20%,2)</f>
        <v>8531280.82</v>
      </c>
      <c r="M26" s="423">
        <f>ROUND((SUM(M7)-SUM(M8)+SUM(M9)-SUM(M16))*20%,2)</f>
        <v>359632.26</v>
      </c>
      <c r="N26" s="423">
        <f t="shared" si="4"/>
        <v>22473299.96</v>
      </c>
    </row>
    <row r="27" s="329" customFormat="1" ht="27.95" customHeight="1" spans="1:14">
      <c r="A27" s="405" t="s">
        <v>289</v>
      </c>
      <c r="B27" s="401" t="s">
        <v>363</v>
      </c>
      <c r="C27" s="402">
        <f>SUM('附表5-扣除项目统计表'!E86)+SUM('附表5-扣除项目统计表'!I86)</f>
        <v>0</v>
      </c>
      <c r="D27" s="402">
        <f>SUM('附表5-扣除项目统计表'!F86)+SUM('附表5-扣除项目统计表'!J86)</f>
        <v>0</v>
      </c>
      <c r="E27" s="402">
        <f>SUM('附表5-扣除项目统计表'!G86)+SUM('附表5-扣除项目统计表'!K86)</f>
        <v>0</v>
      </c>
      <c r="F27" s="402">
        <f>SUM(C27:E27)</f>
        <v>0</v>
      </c>
      <c r="G27" s="406" t="s">
        <v>351</v>
      </c>
      <c r="H27" s="407">
        <f>IF(OR($G27="可售建筑面积法",$G27="可售建筑面积法（二分法）"),'附表1-面积统计表'!$F$32,IF($G27="其他合理方法","请填写","请选择分摊方法"))</f>
        <v>1</v>
      </c>
      <c r="I27" s="407">
        <f>IF($G27="可售建筑面积法（二分法）",IF('附表1-面积统计表'!$D$33+'附表1-面积统计表'!$D$34=0,"",ROUND(('附表1-面积统计表'!$E$33+'附表1-面积统计表'!$E$34)/('附表1-面积统计表'!$D$33+'附表1-面积统计表'!$D$34),6)),IF($G27="可售建筑面积法",'附表1-面积统计表'!$F$33,IF($G27="其他合理方法","请填写","请选择分摊方法")))</f>
        <v>0.98629</v>
      </c>
      <c r="J27" s="407">
        <f>IF($G27="可售建筑面积法（二分法）",IF('附表1-面积统计表'!$D$33+'附表1-面积统计表'!$D$34=0,"",ROUND(('附表1-面积统计表'!$E$33+'附表1-面积统计表'!$E$34)/('附表1-面积统计表'!$D$33+'附表1-面积统计表'!$D$34),6)),IF($G27="可售建筑面积法",'附表1-面积统计表'!$F$34,IF($G27="其他合理方法","请填写","请选择分摊方法")))</f>
        <v>0.054426</v>
      </c>
      <c r="K27" s="423">
        <f>IF(AND(H27&lt;=1,H27&gt;=0),ROUND(C27*H27,2),"请准确填写扣除比例")</f>
        <v>0</v>
      </c>
      <c r="L27" s="423">
        <f>IF(AND(I27&lt;=1,I27&gt;=0),ROUND(D27*I27,2),"请准确填写扣除比例")</f>
        <v>0</v>
      </c>
      <c r="M27" s="423">
        <f>IF(AND(J27&lt;=1,J27&gt;=0),ROUND(E27*J27,2),"请准确填写扣除比例")</f>
        <v>0</v>
      </c>
      <c r="N27" s="423">
        <f t="shared" si="4"/>
        <v>0</v>
      </c>
    </row>
    <row r="28" spans="1:14">
      <c r="A28" s="411"/>
      <c r="B28" s="412"/>
      <c r="C28" s="413"/>
      <c r="D28" s="413"/>
      <c r="E28" s="413"/>
      <c r="F28" s="413"/>
      <c r="G28" s="412"/>
      <c r="H28" s="414"/>
      <c r="I28" s="414"/>
      <c r="J28" s="414"/>
      <c r="K28" s="381"/>
      <c r="L28" s="381"/>
      <c r="M28" s="381"/>
      <c r="N28" s="381"/>
    </row>
    <row r="29" spans="1:14">
      <c r="A29" s="411"/>
      <c r="B29" s="412"/>
      <c r="C29" s="413"/>
      <c r="D29" s="413"/>
      <c r="E29" s="413"/>
      <c r="F29" s="413"/>
      <c r="G29" s="412"/>
      <c r="H29" s="414"/>
      <c r="I29" s="414"/>
      <c r="J29" s="414"/>
      <c r="K29" s="381"/>
      <c r="L29" s="381"/>
      <c r="M29" s="381"/>
      <c r="N29" s="381"/>
    </row>
    <row r="30" spans="11:14">
      <c r="K30" s="381"/>
      <c r="L30" s="381"/>
      <c r="M30" s="381"/>
      <c r="N30" s="381"/>
    </row>
    <row r="31" spans="11:14">
      <c r="K31" s="381"/>
      <c r="L31" s="381"/>
      <c r="M31" s="381"/>
      <c r="N31" s="381"/>
    </row>
    <row r="34" s="380" customFormat="1" spans="1:10">
      <c r="A34" s="415"/>
      <c r="B34" s="416"/>
      <c r="C34" s="417"/>
      <c r="D34" s="417"/>
      <c r="E34" s="417"/>
      <c r="F34" s="417"/>
      <c r="G34" s="418"/>
      <c r="H34" s="419"/>
      <c r="I34" s="419"/>
      <c r="J34" s="419"/>
    </row>
    <row r="35" s="380" customFormat="1" spans="2:10">
      <c r="B35" s="420"/>
      <c r="C35" s="421"/>
      <c r="D35" s="421"/>
      <c r="E35" s="421"/>
      <c r="F35" s="421"/>
      <c r="G35" s="418"/>
      <c r="H35" s="419"/>
      <c r="I35" s="419"/>
      <c r="J35" s="419"/>
    </row>
    <row r="36" s="380" customFormat="1" spans="2:10">
      <c r="B36" s="420"/>
      <c r="C36" s="421"/>
      <c r="D36" s="421"/>
      <c r="E36" s="421"/>
      <c r="F36" s="421"/>
      <c r="G36" s="418"/>
      <c r="H36" s="419"/>
      <c r="I36" s="419"/>
      <c r="J36" s="419"/>
    </row>
  </sheetData>
  <mergeCells count="7">
    <mergeCell ref="A1:N1"/>
    <mergeCell ref="A2:N2"/>
    <mergeCell ref="C3:F3"/>
    <mergeCell ref="G3:J3"/>
    <mergeCell ref="K3:N3"/>
    <mergeCell ref="A3:A5"/>
    <mergeCell ref="B3:B5"/>
  </mergeCells>
  <dataValidations count="4">
    <dataValidation allowBlank="1" showInputMessage="1" showErrorMessage="1" sqref="G6 F6:F19 F26:F27"/>
    <dataValidation type="list" allowBlank="1" showInputMessage="1" showErrorMessage="1" sqref="G18 G27 G7:G8 G10:G16">
      <formula1>IF(土地增值税税源明细表!$H$6="三分法",数据对照表!$AB$2:$AB$3,数据对照表!$AC$2:$AC$4)</formula1>
    </dataValidation>
    <dataValidation type="list" allowBlank="1" showInputMessage="1" showErrorMessage="1" sqref="G19">
      <formula1>OFFSET(数据对照表!$AD$2,,,COUNTA(数据对照表!AD:AD)-1,1)</formula1>
    </dataValidation>
    <dataValidation type="list" allowBlank="1" showInputMessage="1" showErrorMessage="1" sqref="G20:H26">
      <formula1>"建筑面积法,其他合理方法"</formula1>
    </dataValidation>
  </dataValidations>
  <printOptions horizontalCentered="1"/>
  <pageMargins left="0.747916666666667" right="0.747916666666667" top="0.984027777777778" bottom="0.984027777777778" header="0.511805555555556" footer="0.511805555555556"/>
  <pageSetup paperSize="9" scale="46" fitToHeight="0" orientation="landscape"/>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I7"/>
  <sheetViews>
    <sheetView zoomScale="115" zoomScaleNormal="115" topLeftCell="B1" workbookViewId="0">
      <selection activeCell="H5" sqref="H5:H7"/>
    </sheetView>
  </sheetViews>
  <sheetFormatPr defaultColWidth="8.8768115942029" defaultRowHeight="17.5" outlineLevelRow="6"/>
  <cols>
    <col min="1" max="1" width="5" style="359" customWidth="1"/>
    <col min="2" max="2" width="23.1231884057971" style="360" customWidth="1"/>
    <col min="3" max="3" width="8.5" style="361" customWidth="1"/>
    <col min="4" max="4" width="20.1231884057971" style="362" customWidth="1"/>
    <col min="5" max="5" width="21.1231884057971" style="362" customWidth="1"/>
    <col min="6" max="6" width="13.0434782608696" style="362" customWidth="1"/>
    <col min="7" max="7" width="21.8768115942029" style="362" customWidth="1"/>
    <col min="8" max="8" width="20.1231884057971" style="362" customWidth="1"/>
    <col min="9" max="9" width="16" customWidth="1"/>
  </cols>
  <sheetData>
    <row r="1" ht="20.65" spans="1:9">
      <c r="A1" s="363" t="s">
        <v>364</v>
      </c>
      <c r="B1" s="363"/>
      <c r="C1" s="363"/>
      <c r="D1" s="363"/>
      <c r="E1" s="363"/>
      <c r="F1" s="363"/>
      <c r="G1" s="363"/>
      <c r="H1" s="363"/>
      <c r="I1" s="363"/>
    </row>
    <row r="2" spans="1:9">
      <c r="A2" s="364" t="str">
        <f>土地增值税税源明细表!F5&amp;"："&amp;土地增值税税源明细表!H5&amp;"          "&amp;土地增值税税源明细表!A5&amp;"："&amp;土地增值税税源明细表!B5&amp;"          "&amp;"金额单位:人民币元(列至角分)"</f>
        <v>项目编码：Z65280120190027          项目名称：沁春锦苑19#、20#、23#、24#楼          金额单位:人民币元(列至角分)</v>
      </c>
      <c r="B2" s="364"/>
      <c r="C2" s="364"/>
      <c r="D2" s="364"/>
      <c r="E2" s="364"/>
      <c r="F2" s="364"/>
      <c r="G2" s="364"/>
      <c r="H2" s="364"/>
      <c r="I2" s="364"/>
    </row>
    <row r="3" ht="23.8" spans="1:9">
      <c r="A3" s="365" t="s">
        <v>33</v>
      </c>
      <c r="B3" s="366" t="s">
        <v>10</v>
      </c>
      <c r="C3" s="366" t="s">
        <v>365</v>
      </c>
      <c r="D3" s="367" t="s">
        <v>12</v>
      </c>
      <c r="E3" s="368" t="s">
        <v>366</v>
      </c>
      <c r="F3" s="368" t="s">
        <v>315</v>
      </c>
      <c r="G3" s="368" t="s">
        <v>317</v>
      </c>
      <c r="H3" s="366" t="s">
        <v>367</v>
      </c>
      <c r="I3" s="366" t="s">
        <v>368</v>
      </c>
    </row>
    <row r="4" spans="1:9">
      <c r="A4" s="365"/>
      <c r="B4" s="542" t="s">
        <v>38</v>
      </c>
      <c r="C4" s="542" t="s">
        <v>41</v>
      </c>
      <c r="D4" s="542" t="s">
        <v>44</v>
      </c>
      <c r="E4" s="542" t="s">
        <v>47</v>
      </c>
      <c r="F4" s="542" t="s">
        <v>92</v>
      </c>
      <c r="G4" s="542" t="s">
        <v>97</v>
      </c>
      <c r="H4" s="542" t="s">
        <v>100</v>
      </c>
      <c r="I4" s="542" t="s">
        <v>105</v>
      </c>
    </row>
    <row r="5" spans="1:9">
      <c r="A5" s="370">
        <v>1</v>
      </c>
      <c r="B5" s="371" t="s">
        <v>11</v>
      </c>
      <c r="C5" s="372" t="s">
        <v>15</v>
      </c>
      <c r="D5" s="373" t="str">
        <f>IF(清算项目基本情况表!S6="","",清算项目基本情况表!S6)</f>
        <v>Z65280120190027</v>
      </c>
      <c r="E5" s="372">
        <v>40521.01</v>
      </c>
      <c r="F5" s="372">
        <v>54544.16</v>
      </c>
      <c r="G5" s="372">
        <v>54463.47</v>
      </c>
      <c r="H5" s="374">
        <v>655.35</v>
      </c>
      <c r="I5" s="375" t="s">
        <v>369</v>
      </c>
    </row>
    <row r="6" spans="1:9">
      <c r="A6" s="7">
        <v>2</v>
      </c>
      <c r="B6" s="371" t="s">
        <v>46</v>
      </c>
      <c r="C6" s="374" t="s">
        <v>15</v>
      </c>
      <c r="D6" s="10" t="s">
        <v>370</v>
      </c>
      <c r="E6" s="374">
        <v>37660.54</v>
      </c>
      <c r="F6" s="374">
        <v>53048.66</v>
      </c>
      <c r="G6" s="374">
        <f>F6-38.8</f>
        <v>53009.86</v>
      </c>
      <c r="H6" s="374">
        <v>1901.66</v>
      </c>
      <c r="I6" s="376"/>
    </row>
    <row r="7" spans="1:9">
      <c r="A7" s="7">
        <v>3</v>
      </c>
      <c r="B7" s="371" t="s">
        <v>371</v>
      </c>
      <c r="C7" s="374" t="s">
        <v>15</v>
      </c>
      <c r="D7" s="10" t="s">
        <v>372</v>
      </c>
      <c r="E7" s="374">
        <v>35429.51</v>
      </c>
      <c r="F7" s="374">
        <v>53435.89</v>
      </c>
      <c r="G7" s="374">
        <f>F7-39.24</f>
        <v>53396.65</v>
      </c>
      <c r="H7" s="374">
        <v>3409.98</v>
      </c>
      <c r="I7" s="376"/>
    </row>
  </sheetData>
  <mergeCells count="3">
    <mergeCell ref="A1:I1"/>
    <mergeCell ref="A2:I2"/>
    <mergeCell ref="A3:A4"/>
  </mergeCells>
  <dataValidations count="1">
    <dataValidation type="list" allowBlank="1" showInputMessage="1" showErrorMessage="1" sqref="C1:C2 C5:C1048576">
      <formula1>"是,否"</formula1>
    </dataValidation>
  </dataValidations>
  <pageMargins left="0.747916666666667" right="0.747916666666667" top="0.984027777777778" bottom="0.984027777777778" header="0.511805555555556" footer="0.511805555555556"/>
  <pageSetup paperSize="9" scale="66"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pageSetUpPr fitToPage="1"/>
  </sheetPr>
  <dimension ref="A1:M87"/>
  <sheetViews>
    <sheetView zoomScale="90" zoomScaleNormal="90" topLeftCell="D57" workbookViewId="0">
      <selection activeCell="G90" sqref="G90"/>
    </sheetView>
  </sheetViews>
  <sheetFormatPr defaultColWidth="3.6231884057971" defaultRowHeight="17.5"/>
  <cols>
    <col min="1" max="2" width="3.6231884057971" style="333"/>
    <col min="3" max="3" width="10.3768115942029" style="333" customWidth="1"/>
    <col min="4" max="4" width="16.8768115942029" style="333" customWidth="1"/>
    <col min="5" max="5" width="21.1231884057971" style="334" customWidth="1"/>
    <col min="6" max="6" width="20.6231884057971" style="334" customWidth="1"/>
    <col min="7" max="7" width="22.6231884057971" style="334" customWidth="1"/>
    <col min="8" max="8" width="13.1376811594203" style="334" customWidth="1"/>
    <col min="9" max="11" width="23.3768115942029" style="334" customWidth="1"/>
    <col min="12" max="12" width="11.768115942029" style="334" customWidth="1"/>
    <col min="13" max="13" width="13.5797101449275" style="334" customWidth="1"/>
    <col min="15" max="15" width="8.09420289855072"/>
    <col min="16" max="16" width="9.5"/>
  </cols>
  <sheetData>
    <row r="1" s="329" customFormat="1" ht="20.65" spans="1:13">
      <c r="A1" s="335" t="s">
        <v>373</v>
      </c>
      <c r="B1" s="335"/>
      <c r="C1" s="335"/>
      <c r="D1" s="335"/>
      <c r="E1" s="336"/>
      <c r="F1" s="336"/>
      <c r="G1" s="336"/>
      <c r="H1" s="336"/>
      <c r="I1" s="336"/>
      <c r="J1" s="336"/>
      <c r="K1" s="336"/>
      <c r="L1" s="336"/>
      <c r="M1" s="336"/>
    </row>
    <row r="2" s="329" customFormat="1" ht="18.75" customHeight="1" spans="1:13">
      <c r="A2" s="337" t="str">
        <f>土地增值税税源明细表!F5&amp;"："&amp;土地增值税税源明细表!H5&amp;"          "&amp;土地增值税税源明细表!A5&amp;"："&amp;土地增值税税源明细表!B5&amp;"          "&amp;"金额单位:人民币元(列至角分)"</f>
        <v>项目编码：Z65280120190027          项目名称：沁春锦苑19#、20#、23#、24#楼          金额单位:人民币元(列至角分)</v>
      </c>
      <c r="B2" s="337"/>
      <c r="C2" s="337"/>
      <c r="D2" s="337"/>
      <c r="E2" s="338"/>
      <c r="F2" s="338"/>
      <c r="G2" s="338"/>
      <c r="H2" s="338"/>
      <c r="I2" s="338"/>
      <c r="J2" s="338"/>
      <c r="K2" s="338"/>
      <c r="L2" s="338"/>
      <c r="M2" s="338"/>
    </row>
    <row r="3" s="330" customFormat="1" ht="24" customHeight="1" spans="1:13">
      <c r="A3" s="339" t="s">
        <v>33</v>
      </c>
      <c r="B3" s="340" t="s">
        <v>340</v>
      </c>
      <c r="C3" s="340"/>
      <c r="D3" s="340"/>
      <c r="E3" s="341" t="s">
        <v>374</v>
      </c>
      <c r="F3" s="341"/>
      <c r="G3" s="341"/>
      <c r="H3" s="341"/>
      <c r="I3" s="352" t="s">
        <v>375</v>
      </c>
      <c r="J3" s="353"/>
      <c r="K3" s="353"/>
      <c r="L3" s="354"/>
      <c r="M3" s="343" t="s">
        <v>184</v>
      </c>
    </row>
    <row r="4" s="331" customFormat="1" ht="24" customHeight="1" spans="1:13">
      <c r="A4" s="342"/>
      <c r="B4" s="340"/>
      <c r="C4" s="340"/>
      <c r="D4" s="340"/>
      <c r="E4" s="343" t="s">
        <v>256</v>
      </c>
      <c r="F4" s="343" t="s">
        <v>257</v>
      </c>
      <c r="G4" s="343" t="s">
        <v>258</v>
      </c>
      <c r="H4" s="343" t="s">
        <v>337</v>
      </c>
      <c r="I4" s="343" t="s">
        <v>256</v>
      </c>
      <c r="J4" s="343" t="s">
        <v>257</v>
      </c>
      <c r="K4" s="343" t="s">
        <v>258</v>
      </c>
      <c r="L4" s="343" t="s">
        <v>337</v>
      </c>
      <c r="M4" s="343"/>
    </row>
    <row r="5" s="332" customFormat="1" ht="24" customHeight="1" spans="1:13">
      <c r="A5" s="344"/>
      <c r="B5" s="340"/>
      <c r="C5" s="340"/>
      <c r="D5" s="340"/>
      <c r="E5" s="543" t="s">
        <v>38</v>
      </c>
      <c r="F5" s="543" t="s">
        <v>41</v>
      </c>
      <c r="G5" s="543" t="s">
        <v>44</v>
      </c>
      <c r="H5" s="543" t="s">
        <v>338</v>
      </c>
      <c r="I5" s="543" t="s">
        <v>92</v>
      </c>
      <c r="J5" s="544" t="s">
        <v>97</v>
      </c>
      <c r="K5" s="543" t="s">
        <v>100</v>
      </c>
      <c r="L5" s="543" t="s">
        <v>376</v>
      </c>
      <c r="M5" s="543" t="s">
        <v>377</v>
      </c>
    </row>
    <row r="6" s="329" customFormat="1" ht="24" customHeight="1" spans="1:13">
      <c r="A6" s="345">
        <v>1</v>
      </c>
      <c r="B6" s="346" t="str">
        <f>数据对照表!B1</f>
        <v>取得土地使用权所支付的金额</v>
      </c>
      <c r="C6" s="346"/>
      <c r="D6" s="346"/>
      <c r="E6" s="347">
        <f>SUMIFS('附表7-扣除项目明细采集底稿'!W:W,'附表7-扣除项目明细采集底稿'!D:D,数据对照表!B1,'附表7-扣除项目明细采集底稿'!V:V,"直接归集成本费用")</f>
        <v>0</v>
      </c>
      <c r="F6" s="347">
        <f>SUMIFS('附表7-扣除项目明细采集底稿'!X:X,'附表7-扣除项目明细采集底稿'!D:D,数据对照表!B1,'附表7-扣除项目明细采集底稿'!V:V,"直接归集成本费用")</f>
        <v>0</v>
      </c>
      <c r="G6" s="347">
        <f>SUMIFS('附表7-扣除项目明细采集底稿'!Y:Y,'附表7-扣除项目明细采集底稿'!D:D,数据对照表!B1,'附表7-扣除项目明细采集底稿'!V:V,"直接归集成本费用")</f>
        <v>0</v>
      </c>
      <c r="H6" s="348">
        <f t="shared" ref="H6:H20" si="0">SUM(E6:G6)</f>
        <v>0</v>
      </c>
      <c r="I6" s="347">
        <f>SUMIFS('附表7-扣除项目明细采集底稿'!W:W,'附表7-扣除项目明细采集底稿'!D:D,数据对照表!B1,'附表7-扣除项目明细采集底稿'!V:V,"共同成本费用")</f>
        <v>0</v>
      </c>
      <c r="J6" s="347">
        <f>SUMIFS('附表7-扣除项目明细采集底稿'!X:X,'附表7-扣除项目明细采集底稿'!D:D,数据对照表!B1,'附表7-扣除项目明细采集底稿'!V:V,"共同成本费用")</f>
        <v>0</v>
      </c>
      <c r="K6" s="347">
        <f>SUMIFS('附表7-扣除项目明细采集底稿'!Y:Y,'附表7-扣除项目明细采集底稿'!D:D,数据对照表!B1,'附表7-扣除项目明细采集底稿'!V:V,"共同成本费用")</f>
        <v>0</v>
      </c>
      <c r="L6" s="348">
        <f t="shared" ref="L6:L20" si="1">SUM(I6:K6)</f>
        <v>0</v>
      </c>
      <c r="M6" s="348">
        <f t="shared" ref="M6:M20" si="2">H6+L6</f>
        <v>0</v>
      </c>
    </row>
    <row r="7" s="329" customFormat="1" ht="24" customHeight="1" spans="1:13">
      <c r="A7" s="345">
        <v>2</v>
      </c>
      <c r="B7" s="345" t="s">
        <v>378</v>
      </c>
      <c r="C7" s="349" t="str">
        <f>数据对照表!B2</f>
        <v>支付的土地出让金额</v>
      </c>
      <c r="D7" s="349"/>
      <c r="E7" s="347">
        <f>SUMIFS('附表7-扣除项目明细采集底稿'!W:W,'附表7-扣除项目明细采集底稿'!E:E,数据对照表!B2,'附表7-扣除项目明细采集底稿'!V:V,"直接归集成本费用")</f>
        <v>0</v>
      </c>
      <c r="F7" s="347">
        <f>SUMIFS('附表7-扣除项目明细采集底稿'!X:X,'附表7-扣除项目明细采集底稿'!E:E,数据对照表!B2,'附表7-扣除项目明细采集底稿'!V:V,"直接归集成本费用")</f>
        <v>0</v>
      </c>
      <c r="G7" s="347">
        <f>SUMIFS('附表7-扣除项目明细采集底稿'!Y:Y,'附表7-扣除项目明细采集底稿'!E:E,数据对照表!B2,'附表7-扣除项目明细采集底稿'!V:V,"直接归集成本费用")</f>
        <v>0</v>
      </c>
      <c r="H7" s="348">
        <f t="shared" si="0"/>
        <v>0</v>
      </c>
      <c r="I7" s="347">
        <f>SUMIFS('附表7-扣除项目明细采集底稿'!W:W,'附表7-扣除项目明细采集底稿'!E:E,数据对照表!B2,'附表7-扣除项目明细采集底稿'!V:V,"共同成本费用")</f>
        <v>0</v>
      </c>
      <c r="J7" s="347">
        <f>SUMIFS('附表7-扣除项目明细采集底稿'!X:X,'附表7-扣除项目明细采集底稿'!E:E,数据对照表!B2,'附表7-扣除项目明细采集底稿'!V:V,"共同成本费用")</f>
        <v>0</v>
      </c>
      <c r="K7" s="347">
        <f>SUMIFS('附表7-扣除项目明细采集底稿'!Y:Y,'附表7-扣除项目明细采集底稿'!E:E,数据对照表!B2,'附表7-扣除项目明细采集底稿'!V:V,"共同成本费用")</f>
        <v>0</v>
      </c>
      <c r="L7" s="348">
        <f t="shared" si="1"/>
        <v>0</v>
      </c>
      <c r="M7" s="348">
        <f t="shared" si="2"/>
        <v>0</v>
      </c>
    </row>
    <row r="8" s="329" customFormat="1" ht="24" customHeight="1" spans="1:13">
      <c r="A8" s="345">
        <v>3</v>
      </c>
      <c r="B8" s="345"/>
      <c r="C8" s="349" t="str">
        <f>数据对照表!B3</f>
        <v>支付的地价款金额</v>
      </c>
      <c r="D8" s="349"/>
      <c r="E8" s="347">
        <f>SUMIFS('附表7-扣除项目明细采集底稿'!W:W,'附表7-扣除项目明细采集底稿'!E:E,数据对照表!B3,'附表7-扣除项目明细采集底稿'!V:V,"直接归集成本费用")</f>
        <v>0</v>
      </c>
      <c r="F8" s="347">
        <f>SUMIFS('附表7-扣除项目明细采集底稿'!X:X,'附表7-扣除项目明细采集底稿'!E:E,数据对照表!B3,'附表7-扣除项目明细采集底稿'!V:V,"直接归集成本费用")</f>
        <v>0</v>
      </c>
      <c r="G8" s="347">
        <f>SUMIFS('附表7-扣除项目明细采集底稿'!Y:Y,'附表7-扣除项目明细采集底稿'!E:E,数据对照表!B3,'附表7-扣除项目明细采集底稿'!V:V,"直接归集成本费用")</f>
        <v>0</v>
      </c>
      <c r="H8" s="348">
        <f t="shared" si="0"/>
        <v>0</v>
      </c>
      <c r="I8" s="347">
        <f>SUMIFS('附表7-扣除项目明细采集底稿'!W:W,'附表7-扣除项目明细采集底稿'!E:E,数据对照表!B3,'附表7-扣除项目明细采集底稿'!V:V,"共同成本费用")</f>
        <v>0</v>
      </c>
      <c r="J8" s="347">
        <f>SUMIFS('附表7-扣除项目明细采集底稿'!X:X,'附表7-扣除项目明细采集底稿'!E:E,数据对照表!B3,'附表7-扣除项目明细采集底稿'!V:V,"共同成本费用")</f>
        <v>0</v>
      </c>
      <c r="K8" s="347">
        <f>SUMIFS('附表7-扣除项目明细采集底稿'!Y:Y,'附表7-扣除项目明细采集底稿'!E:E,数据对照表!B3,'附表7-扣除项目明细采集底稿'!V:V,"共同成本费用")</f>
        <v>0</v>
      </c>
      <c r="L8" s="348">
        <f t="shared" si="1"/>
        <v>0</v>
      </c>
      <c r="M8" s="348">
        <f t="shared" si="2"/>
        <v>0</v>
      </c>
    </row>
    <row r="9" s="329" customFormat="1" ht="24" customHeight="1" spans="1:13">
      <c r="A9" s="345">
        <v>4</v>
      </c>
      <c r="B9" s="345"/>
      <c r="C9" s="349" t="str">
        <f>数据对照表!B4</f>
        <v>交纳的有关税费</v>
      </c>
      <c r="D9" s="349"/>
      <c r="E9" s="350">
        <f>SUMIFS('附表7-扣除项目明细采集底稿'!W:W,'附表7-扣除项目明细采集底稿'!E:E,数据对照表!B4,'附表7-扣除项目明细采集底稿'!V:V,"直接归集成本费用")</f>
        <v>0</v>
      </c>
      <c r="F9" s="350">
        <f>SUMIFS('附表7-扣除项目明细采集底稿'!X:X,'附表7-扣除项目明细采集底稿'!E:E,数据对照表!B4,'附表7-扣除项目明细采集底稿'!V:V,"直接归集成本费用")</f>
        <v>0</v>
      </c>
      <c r="G9" s="350">
        <f>SUMIFS('附表7-扣除项目明细采集底稿'!Y:Y,'附表7-扣除项目明细采集底稿'!E:E,数据对照表!B4,'附表7-扣除项目明细采集底稿'!V:V,"直接归集成本费用")</f>
        <v>0</v>
      </c>
      <c r="H9" s="351">
        <f t="shared" si="0"/>
        <v>0</v>
      </c>
      <c r="I9" s="350">
        <f>SUMIFS('附表7-扣除项目明细采集底稿'!W:W,'附表7-扣除项目明细采集底稿'!E:E,数据对照表!B4,'附表7-扣除项目明细采集底稿'!V:V,"共同成本费用")</f>
        <v>0</v>
      </c>
      <c r="J9" s="350">
        <f>SUMIFS('附表7-扣除项目明细采集底稿'!X:X,'附表7-扣除项目明细采集底稿'!E:E,数据对照表!B4,'附表7-扣除项目明细采集底稿'!V:V,"共同成本费用")</f>
        <v>0</v>
      </c>
      <c r="K9" s="350">
        <f>SUMIFS('附表7-扣除项目明细采集底稿'!Y:Y,'附表7-扣除项目明细采集底稿'!E:E,数据对照表!B4,'附表7-扣除项目明细采集底稿'!V:V,"共同成本费用")</f>
        <v>0</v>
      </c>
      <c r="L9" s="348">
        <f t="shared" si="1"/>
        <v>0</v>
      </c>
      <c r="M9" s="348">
        <f t="shared" si="2"/>
        <v>0</v>
      </c>
    </row>
    <row r="10" s="329" customFormat="1" ht="24" customHeight="1" spans="1:13">
      <c r="A10" s="345">
        <v>5</v>
      </c>
      <c r="B10" s="349" t="s">
        <v>268</v>
      </c>
      <c r="C10" s="349"/>
      <c r="D10" s="349"/>
      <c r="E10" s="347">
        <f>SUMIFS('附表7-扣除项目明细采集底稿'!W:W,'附表7-扣除项目明细采集底稿'!D:D,数据对照表!B1,'附表7-扣除项目明细采集底稿'!V:V,"直接归集成本费用",'附表7-扣除项目明细采集底稿'!AB:AB,"不可加计")</f>
        <v>0</v>
      </c>
      <c r="F10" s="347">
        <f>SUMIFS('附表7-扣除项目明细采集底稿'!X:X,'附表7-扣除项目明细采集底稿'!D:D,数据对照表!B1,'附表7-扣除项目明细采集底稿'!V:V,"直接归集成本费用",'附表7-扣除项目明细采集底稿'!AB:AB,"不可加计")</f>
        <v>0</v>
      </c>
      <c r="G10" s="347">
        <f>SUMIFS('附表7-扣除项目明细采集底稿'!Y:Y,'附表7-扣除项目明细采集底稿'!D:D,数据对照表!B1,'附表7-扣除项目明细采集底稿'!V:V,"直接归集成本费用",'附表7-扣除项目明细采集底稿'!AB:AB,"不可加计")</f>
        <v>0</v>
      </c>
      <c r="H10" s="348">
        <f t="shared" si="0"/>
        <v>0</v>
      </c>
      <c r="I10" s="347">
        <f>SUMIFS('附表7-扣除项目明细采集底稿'!W:W,'附表7-扣除项目明细采集底稿'!D:D,数据对照表!B1,'附表7-扣除项目明细采集底稿'!V:V,"共同成本费用",'附表7-扣除项目明细采集底稿'!AB:AB,"不可加计")</f>
        <v>0</v>
      </c>
      <c r="J10" s="347">
        <f>SUMIFS('附表7-扣除项目明细采集底稿'!X:X,'附表7-扣除项目明细采集底稿'!D:D,数据对照表!B1,'附表7-扣除项目明细采集底稿'!V:V,"共同成本费用",'附表7-扣除项目明细采集底稿'!AB:AB,"不可加计")</f>
        <v>0</v>
      </c>
      <c r="K10" s="347">
        <f>SUMIFS('附表7-扣除项目明细采集底稿'!Y:Y,'附表7-扣除项目明细采集底稿'!D:D,数据对照表!B1,'附表7-扣除项目明细采集底稿'!V:V,"共同成本费用",'附表7-扣除项目明细采集底稿'!AB:AB,"不可加计")</f>
        <v>0</v>
      </c>
      <c r="L10" s="348">
        <f t="shared" si="1"/>
        <v>0</v>
      </c>
      <c r="M10" s="348">
        <f t="shared" si="2"/>
        <v>0</v>
      </c>
    </row>
    <row r="11" s="329" customFormat="1" ht="24" customHeight="1" spans="1:13">
      <c r="A11" s="345">
        <v>6</v>
      </c>
      <c r="B11" s="349" t="s">
        <v>379</v>
      </c>
      <c r="C11" s="349"/>
      <c r="D11" s="349"/>
      <c r="E11" s="347">
        <f>SUM(SUMIFS('附表7-扣除项目明细采集底稿'!W:W,'附表7-扣除项目明细采集底稿'!D:D,"土地征用及拆迁补偿费",'附表7-扣除项目明细采集底稿'!V:V,"直接归集成本费用"),SUMIFS('附表7-扣除项目明细采集底稿'!W:W,'附表7-扣除项目明细采集底稿'!D:D,"前期工程费",'附表7-扣除项目明细采集底稿'!V:V,"直接归集成本费用"),SUMIFS('附表7-扣除项目明细采集底稿'!W:W,'附表7-扣除项目明细采集底稿'!D:D,"建筑安装工程费",'附表7-扣除项目明细采集底稿'!V:V,"直接归集成本费用"),SUMIFS('附表7-扣除项目明细采集底稿'!W:W,'附表7-扣除项目明细采集底稿'!D:D,"基础设施费",'附表7-扣除项目明细采集底稿'!V:V,"直接归集成本费用"),SUMIFS('附表7-扣除项目明细采集底稿'!W:W,'附表7-扣除项目明细采集底稿'!D:D,"公共配套设施费",'附表7-扣除项目明细采集底稿'!V:V,"直接归集成本费用"),SUMIFS('附表7-扣除项目明细采集底稿'!W:W,'附表7-扣除项目明细采集底稿'!D:D,"开发间接费用",'附表7-扣除项目明细采集底稿'!V:V,"直接归集成本费用"))</f>
        <v>52911663.7</v>
      </c>
      <c r="F11" s="347">
        <f>SUM(SUMIFS('附表7-扣除项目明细采集底稿'!X:X,'附表7-扣除项目明细采集底稿'!D:D,"土地征用及拆迁补偿费",'附表7-扣除项目明细采集底稿'!V:V,"直接归集成本费用"),SUMIFS('附表7-扣除项目明细采集底稿'!X:X,'附表7-扣除项目明细采集底稿'!D:D,"前期工程费",'附表7-扣除项目明细采集底稿'!V:V,"直接归集成本费用"),SUMIFS('附表7-扣除项目明细采集底稿'!X:X,'附表7-扣除项目明细采集底稿'!D:D,"建筑安装工程费",'附表7-扣除项目明细采集底稿'!V:V,"直接归集成本费用"),SUMIFS('附表7-扣除项目明细采集底稿'!X:X,'附表7-扣除项目明细采集底稿'!D:D,"基础设施费",'附表7-扣除项目明细采集底稿'!V:V,"直接归集成本费用"),SUMIFS('附表7-扣除项目明细采集底稿'!X:X,'附表7-扣除项目明细采集底稿'!D:D,"公共配套设施费",'附表7-扣除项目明细采集底稿'!V:V,"直接归集成本费用"),SUMIFS('附表7-扣除项目明细采集底稿'!X:X,'附表7-扣除项目明细采集底稿'!D:D,"开发间接费用",'附表7-扣除项目明细采集底稿'!V:V,"直接归集成本费用"))</f>
        <v>33324760.5</v>
      </c>
      <c r="G11" s="347">
        <f>SUM(SUMIFS('附表7-扣除项目明细采集底稿'!Y:Y,'附表7-扣除项目明细采集底稿'!D:D,"土地征用及拆迁补偿费",'附表7-扣除项目明细采集底稿'!V:V,"直接归集成本费用"),SUMIFS('附表7-扣除项目明细采集底稿'!Y:Y,'附表7-扣除项目明细采集底稿'!D:D,"前期工程费",'附表7-扣除项目明细采集底稿'!V:V,"直接归集成本费用"),SUMIFS('附表7-扣除项目明细采集底稿'!Y:Y,'附表7-扣除项目明细采集底稿'!D:D,"建筑安装工程费",'附表7-扣除项目明细采集底稿'!V:V,"直接归集成本费用"),SUMIFS('附表7-扣除项目明细采集底稿'!Y:Y,'附表7-扣除项目明细采集底稿'!D:D,"基础设施费",'附表7-扣除项目明细采集底稿'!V:V,"直接归集成本费用"),SUMIFS('附表7-扣除项目明细采集底稿'!Y:Y,'附表7-扣除项目明细采集底稿'!D:D,"公共配套设施费",'附表7-扣除项目明细采集底稿'!V:V,"直接归集成本费用"),SUMIFS('附表7-扣除项目明细采集底稿'!Y:Y,'附表7-扣除项目明细采集底稿'!D:D,"开发间接费用",'附表7-扣除项目明细采集底稿'!V:V,"直接归集成本费用"))</f>
        <v>27000837.25</v>
      </c>
      <c r="H11" s="348">
        <f t="shared" si="0"/>
        <v>113237261.45</v>
      </c>
      <c r="I11" s="347">
        <f>SUM(SUMIFS('附表7-扣除项目明细采集底稿'!W:W,'附表7-扣除项目明细采集底稿'!D:D,"土地征用及拆迁补偿费",'附表7-扣除项目明细采集底稿'!V:V,"共同成本费用"),SUMIFS('附表7-扣除项目明细采集底稿'!W:W,'附表7-扣除项目明细采集底稿'!D:D,"前期工程费",'附表7-扣除项目明细采集底稿'!V:V,"共同成本费用"),SUMIFS('附表7-扣除项目明细采集底稿'!W:W,'附表7-扣除项目明细采集底稿'!D:D,"建筑安装工程费",'附表7-扣除项目明细采集底稿'!V:V,"共同成本费用"),SUMIFS('附表7-扣除项目明细采集底稿'!W:W,'附表7-扣除项目明细采集底稿'!D:D,"基础设施费",'附表7-扣除项目明细采集底稿'!V:V,"共同成本费用"),SUMIFS('附表7-扣除项目明细采集底稿'!W:W,'附表7-扣除项目明细采集底稿'!D:D,"公共配套设施费",'附表7-扣除项目明细采集底稿'!V:V,"共同成本费用"),SUMIFS('附表7-扣除项目明细采集底稿'!W:W,'附表7-扣除项目明细采集底稿'!D:D,"开发间接费用",'附表7-扣除项目明细采集底稿'!V:V,"共同成本费用"))</f>
        <v>15000270.71</v>
      </c>
      <c r="J11" s="347">
        <f>SUM(SUMIFS('附表7-扣除项目明细采集底稿'!X:X,'附表7-扣除项目明细采集底稿'!D:D,"土地征用及拆迁补偿费",'附表7-扣除项目明细采集底稿'!V:V,"共同成本费用"),SUMIFS('附表7-扣除项目明细采集底稿'!X:X,'附表7-扣除项目明细采集底稿'!D:D,"前期工程费",'附表7-扣除项目明细采集底稿'!V:V,"共同成本费用"),SUMIFS('附表7-扣除项目明细采集底稿'!X:X,'附表7-扣除项目明细采集底稿'!D:D,"建筑安装工程费",'附表7-扣除项目明细采集底稿'!V:V,"共同成本费用"),SUMIFS('附表7-扣除项目明细采集底稿'!X:X,'附表7-扣除项目明细采集底稿'!D:D,"基础设施费",'附表7-扣除项目明细采集底稿'!V:V,"共同成本费用"),SUMIFS('附表7-扣除项目明细采集底稿'!X:X,'附表7-扣除项目明细采集底稿'!D:D,"公共配套设施费",'附表7-扣除项目明细采集底稿'!V:V,"共同成本费用"),SUMIFS('附表7-扣除项目明细采集底稿'!X:X,'附表7-扣除项目明细采集底稿'!D:D,"开发间接费用",'附表7-扣除项目明细采集底稿'!V:V,"共同成本费用"))</f>
        <v>9924592.19</v>
      </c>
      <c r="K11" s="347">
        <f>SUM(SUMIFS('附表7-扣除项目明细采集底稿'!Y:Y,'附表7-扣除项目明细采集底稿'!D:D,"土地征用及拆迁补偿费",'附表7-扣除项目明细采集底稿'!V:V,"共同成本费用"),SUMIFS('附表7-扣除项目明细采集底稿'!Y:Y,'附表7-扣除项目明细采集底稿'!D:D,"前期工程费",'附表7-扣除项目明细采集底稿'!V:V,"共同成本费用"),SUMIFS('附表7-扣除项目明细采集底稿'!Y:Y,'附表7-扣除项目明细采集底稿'!D:D,"建筑安装工程费",'附表7-扣除项目明细采集底稿'!V:V,"共同成本费用"),SUMIFS('附表7-扣除项目明细采集底稿'!Y:Y,'附表7-扣除项目明细采集底稿'!D:D,"基础设施费",'附表7-扣除项目明细采集底稿'!V:V,"共同成本费用"),SUMIFS('附表7-扣除项目明细采集底稿'!Y:Y,'附表7-扣除项目明细采集底稿'!D:D,"公共配套设施费",'附表7-扣除项目明细采集底稿'!V:V,"共同成本费用"),SUMIFS('附表7-扣除项目明细采集底稿'!Y:Y,'附表7-扣除项目明细采集底稿'!D:D,"开发间接费用",'附表7-扣除项目明细采集底稿'!V:V,"共同成本费用"))</f>
        <v>6037808.04</v>
      </c>
      <c r="L11" s="348">
        <f t="shared" si="1"/>
        <v>30962670.94</v>
      </c>
      <c r="M11" s="348">
        <f t="shared" si="2"/>
        <v>144199932.39</v>
      </c>
    </row>
    <row r="12" s="329" customFormat="1" ht="24" customHeight="1" spans="1:13">
      <c r="A12" s="345">
        <v>7</v>
      </c>
      <c r="B12" s="345" t="s">
        <v>378</v>
      </c>
      <c r="C12" s="346" t="str">
        <f>数据对照表!C1</f>
        <v>土地征用及拆迁补偿费</v>
      </c>
      <c r="D12" s="346"/>
      <c r="E12" s="347">
        <f>SUMIFS('附表7-扣除项目明细采集底稿'!W:W,'附表7-扣除项目明细采集底稿'!D:D,数据对照表!C1,'附表7-扣除项目明细采集底稿'!V:V,"直接归集成本费用")</f>
        <v>0</v>
      </c>
      <c r="F12" s="347">
        <f>SUMIFS('附表7-扣除项目明细采集底稿'!X:X,'附表7-扣除项目明细采集底稿'!D:D,数据对照表!C1,'附表7-扣除项目明细采集底稿'!V:V,"直接归集成本费用")</f>
        <v>0</v>
      </c>
      <c r="G12" s="347">
        <f>SUMIFS('附表7-扣除项目明细采集底稿'!Y:Y,'附表7-扣除项目明细采集底稿'!D:D,数据对照表!C1,'附表7-扣除项目明细采集底稿'!V:V,"直接归集成本费用")</f>
        <v>0</v>
      </c>
      <c r="H12" s="348">
        <f t="shared" si="0"/>
        <v>0</v>
      </c>
      <c r="I12" s="347">
        <f>SUMIFS('附表7-扣除项目明细采集底稿'!W:W,'附表7-扣除项目明细采集底稿'!D:D,数据对照表!C1,'附表7-扣除项目明细采集底稿'!V:V,"共同成本费用")</f>
        <v>668995.79</v>
      </c>
      <c r="J12" s="347">
        <f>SUMIFS('附表7-扣除项目明细采集底稿'!X:X,'附表7-扣除项目明细采集底稿'!D:D,数据对照表!C1,'附表7-扣除项目明细采集底稿'!V:V,"共同成本费用")</f>
        <v>442626.05</v>
      </c>
      <c r="K12" s="347">
        <f>SUMIFS('附表7-扣除项目明细采集底稿'!Y:Y,'附表7-扣除项目明细采集底稿'!D:D,数据对照表!C1,'附表7-扣除项目明细采集底稿'!V:V,"共同成本费用")</f>
        <v>269279.69</v>
      </c>
      <c r="L12" s="348">
        <f t="shared" si="1"/>
        <v>1380901.53</v>
      </c>
      <c r="M12" s="348">
        <f t="shared" si="2"/>
        <v>1380901.53</v>
      </c>
    </row>
    <row r="13" s="329" customFormat="1" ht="24" customHeight="1" spans="1:13">
      <c r="A13" s="345">
        <v>8</v>
      </c>
      <c r="B13" s="345"/>
      <c r="C13" s="345" t="s">
        <v>378</v>
      </c>
      <c r="D13" s="349" t="str">
        <f>数据对照表!C2</f>
        <v>土地征用费用</v>
      </c>
      <c r="E13" s="347">
        <f>SUMIFS('附表7-扣除项目明细采集底稿'!W:W,'附表7-扣除项目明细采集底稿'!E:E,数据对照表!C2,'附表7-扣除项目明细采集底稿'!V:V,"直接归集成本费用")</f>
        <v>0</v>
      </c>
      <c r="F13" s="347">
        <f>SUMIFS('附表7-扣除项目明细采集底稿'!X:X,'附表7-扣除项目明细采集底稿'!E:E,数据对照表!C2,'附表7-扣除项目明细采集底稿'!V:V,"直接归集成本费用")</f>
        <v>0</v>
      </c>
      <c r="G13" s="347">
        <f>SUMIFS('附表7-扣除项目明细采集底稿'!Y:Y,'附表7-扣除项目明细采集底稿'!E:E,数据对照表!C2,'附表7-扣除项目明细采集底稿'!V:V,"直接归集成本费用")</f>
        <v>0</v>
      </c>
      <c r="H13" s="348">
        <f t="shared" si="0"/>
        <v>0</v>
      </c>
      <c r="I13" s="347">
        <f>SUMIFS('附表7-扣除项目明细采集底稿'!W:W,'附表7-扣除项目明细采集底稿'!E:E,数据对照表!C2,'附表7-扣除项目明细采集底稿'!V:V,"共同成本费用")</f>
        <v>0</v>
      </c>
      <c r="J13" s="347">
        <f>SUMIFS('附表7-扣除项目明细采集底稿'!X:X,'附表7-扣除项目明细采集底稿'!E:E,数据对照表!C2,'附表7-扣除项目明细采集底稿'!V:V,"共同成本费用")</f>
        <v>0</v>
      </c>
      <c r="K13" s="347">
        <f>SUMIFS('附表7-扣除项目明细采集底稿'!Y:Y,'附表7-扣除项目明细采集底稿'!E:E,数据对照表!C2,'附表7-扣除项目明细采集底稿'!V:V,"共同成本费用")</f>
        <v>0</v>
      </c>
      <c r="L13" s="348">
        <f t="shared" si="1"/>
        <v>0</v>
      </c>
      <c r="M13" s="348">
        <f t="shared" si="2"/>
        <v>0</v>
      </c>
    </row>
    <row r="14" s="329" customFormat="1" ht="24" customHeight="1" spans="1:13">
      <c r="A14" s="345">
        <v>9</v>
      </c>
      <c r="B14" s="345"/>
      <c r="C14" s="345"/>
      <c r="D14" s="349" t="str">
        <f>数据对照表!C3</f>
        <v>耕地占用税</v>
      </c>
      <c r="E14" s="347">
        <f>SUMIFS('附表7-扣除项目明细采集底稿'!W:W,'附表7-扣除项目明细采集底稿'!E:E,数据对照表!C3,'附表7-扣除项目明细采集底稿'!V:V,"直接归集成本费用")</f>
        <v>0</v>
      </c>
      <c r="F14" s="347">
        <f>SUMIFS('附表7-扣除项目明细采集底稿'!X:X,'附表7-扣除项目明细采集底稿'!E:E,数据对照表!C3,'附表7-扣除项目明细采集底稿'!V:V,"直接归集成本费用")</f>
        <v>0</v>
      </c>
      <c r="G14" s="347">
        <f>SUMIFS('附表7-扣除项目明细采集底稿'!Y:Y,'附表7-扣除项目明细采集底稿'!E:E,数据对照表!C3,'附表7-扣除项目明细采集底稿'!V:V,"直接归集成本费用")</f>
        <v>0</v>
      </c>
      <c r="H14" s="348">
        <f t="shared" si="0"/>
        <v>0</v>
      </c>
      <c r="I14" s="347">
        <f>SUMIFS('附表7-扣除项目明细采集底稿'!W:W,'附表7-扣除项目明细采集底稿'!E:E,数据对照表!C3,'附表7-扣除项目明细采集底稿'!V:V,"共同成本费用")</f>
        <v>0</v>
      </c>
      <c r="J14" s="347">
        <f>SUMIFS('附表7-扣除项目明细采集底稿'!X:X,'附表7-扣除项目明细采集底稿'!E:E,数据对照表!C3,'附表7-扣除项目明细采集底稿'!V:V,"共同成本费用")</f>
        <v>0</v>
      </c>
      <c r="K14" s="347">
        <f>SUMIFS('附表7-扣除项目明细采集底稿'!Y:Y,'附表7-扣除项目明细采集底稿'!E:E,数据对照表!C3,'附表7-扣除项目明细采集底稿'!V:V,"共同成本费用")</f>
        <v>0</v>
      </c>
      <c r="L14" s="348">
        <f t="shared" si="1"/>
        <v>0</v>
      </c>
      <c r="M14" s="348">
        <f t="shared" si="2"/>
        <v>0</v>
      </c>
    </row>
    <row r="15" s="329" customFormat="1" ht="24" customHeight="1" spans="1:13">
      <c r="A15" s="345">
        <v>10</v>
      </c>
      <c r="B15" s="345"/>
      <c r="C15" s="345"/>
      <c r="D15" s="349" t="str">
        <f>数据对照表!C4</f>
        <v>劳动力安置费</v>
      </c>
      <c r="E15" s="347">
        <f>SUMIFS('附表7-扣除项目明细采集底稿'!W:W,'附表7-扣除项目明细采集底稿'!E:E,数据对照表!C4,'附表7-扣除项目明细采集底稿'!V:V,"直接归集成本费用")</f>
        <v>0</v>
      </c>
      <c r="F15" s="347">
        <f>SUMIFS('附表7-扣除项目明细采集底稿'!X:X,'附表7-扣除项目明细采集底稿'!E:E,数据对照表!C4,'附表7-扣除项目明细采集底稿'!V:V,"直接归集成本费用")</f>
        <v>0</v>
      </c>
      <c r="G15" s="347">
        <f>SUMIFS('附表7-扣除项目明细采集底稿'!Y:Y,'附表7-扣除项目明细采集底稿'!E:E,数据对照表!C4,'附表7-扣除项目明细采集底稿'!V:V,"直接归集成本费用")</f>
        <v>0</v>
      </c>
      <c r="H15" s="348">
        <f t="shared" si="0"/>
        <v>0</v>
      </c>
      <c r="I15" s="347">
        <f>SUMIFS('附表7-扣除项目明细采集底稿'!W:W,'附表7-扣除项目明细采集底稿'!E:E,数据对照表!C4,'附表7-扣除项目明细采集底稿'!V:V,"共同成本费用")</f>
        <v>0</v>
      </c>
      <c r="J15" s="347">
        <f>SUMIFS('附表7-扣除项目明细采集底稿'!X:X,'附表7-扣除项目明细采集底稿'!E:E,数据对照表!C4,'附表7-扣除项目明细采集底稿'!V:V,"共同成本费用")</f>
        <v>0</v>
      </c>
      <c r="K15" s="347">
        <f>SUMIFS('附表7-扣除项目明细采集底稿'!Y:Y,'附表7-扣除项目明细采集底稿'!E:E,数据对照表!C4,'附表7-扣除项目明细采集底稿'!V:V,"共同成本费用")</f>
        <v>0</v>
      </c>
      <c r="L15" s="348">
        <f t="shared" si="1"/>
        <v>0</v>
      </c>
      <c r="M15" s="348">
        <f t="shared" si="2"/>
        <v>0</v>
      </c>
    </row>
    <row r="16" s="329" customFormat="1" ht="24" customHeight="1" spans="1:13">
      <c r="A16" s="345">
        <v>11</v>
      </c>
      <c r="B16" s="345"/>
      <c r="C16" s="345"/>
      <c r="D16" s="349" t="str">
        <f>数据对照表!C5</f>
        <v>安置动迁用房支出</v>
      </c>
      <c r="E16" s="347">
        <f>SUMIFS('附表7-扣除项目明细采集底稿'!W:W,'附表7-扣除项目明细采集底稿'!E:E,数据对照表!C5,'附表7-扣除项目明细采集底稿'!V:V,"直接归集成本费用")</f>
        <v>0</v>
      </c>
      <c r="F16" s="347">
        <f>SUMIFS('附表7-扣除项目明细采集底稿'!X:X,'附表7-扣除项目明细采集底稿'!E:E,数据对照表!C5,'附表7-扣除项目明细采集底稿'!V:V,"直接归集成本费用")</f>
        <v>0</v>
      </c>
      <c r="G16" s="347">
        <f>SUMIFS('附表7-扣除项目明细采集底稿'!Y:Y,'附表7-扣除项目明细采集底稿'!E:E,数据对照表!C5,'附表7-扣除项目明细采集底稿'!V:V,"直接归集成本费用")</f>
        <v>0</v>
      </c>
      <c r="H16" s="348">
        <f t="shared" si="0"/>
        <v>0</v>
      </c>
      <c r="I16" s="347">
        <f>SUMIFS('附表7-扣除项目明细采集底稿'!W:W,'附表7-扣除项目明细采集底稿'!E:E,数据对照表!C5,'附表7-扣除项目明细采集底稿'!V:V,"共同成本费用")</f>
        <v>0</v>
      </c>
      <c r="J16" s="347">
        <f>SUMIFS('附表7-扣除项目明细采集底稿'!X:X,'附表7-扣除项目明细采集底稿'!E:E,数据对照表!C5,'附表7-扣除项目明细采集底稿'!V:V,"共同成本费用")</f>
        <v>0</v>
      </c>
      <c r="K16" s="347">
        <f>SUMIFS('附表7-扣除项目明细采集底稿'!Y:Y,'附表7-扣除项目明细采集底稿'!E:E,数据对照表!C5,'附表7-扣除项目明细采集底稿'!V:V,"共同成本费用")</f>
        <v>0</v>
      </c>
      <c r="L16" s="348">
        <f t="shared" si="1"/>
        <v>0</v>
      </c>
      <c r="M16" s="348">
        <f t="shared" si="2"/>
        <v>0</v>
      </c>
    </row>
    <row r="17" s="329" customFormat="1" ht="24" customHeight="1" spans="1:13">
      <c r="A17" s="345">
        <v>12</v>
      </c>
      <c r="B17" s="345"/>
      <c r="C17" s="345"/>
      <c r="D17" s="349" t="str">
        <f>数据对照表!C6</f>
        <v>拆迁补偿费</v>
      </c>
      <c r="E17" s="347">
        <f>SUMIFS('附表7-扣除项目明细采集底稿'!W:W,'附表7-扣除项目明细采集底稿'!E:E,数据对照表!C6,'附表7-扣除项目明细采集底稿'!V:V,"直接归集成本费用")</f>
        <v>0</v>
      </c>
      <c r="F17" s="347">
        <f>SUMIFS('附表7-扣除项目明细采集底稿'!X:X,'附表7-扣除项目明细采集底稿'!E:E,数据对照表!C6,'附表7-扣除项目明细采集底稿'!V:V,"直接归集成本费用")</f>
        <v>0</v>
      </c>
      <c r="G17" s="347">
        <f>SUMIFS('附表7-扣除项目明细采集底稿'!Y:Y,'附表7-扣除项目明细采集底稿'!E:E,数据对照表!C6,'附表7-扣除项目明细采集底稿'!V:V,"直接归集成本费用")</f>
        <v>0</v>
      </c>
      <c r="H17" s="348">
        <f t="shared" si="0"/>
        <v>0</v>
      </c>
      <c r="I17" s="347">
        <f>SUMIFS('附表7-扣除项目明细采集底稿'!W:W,'附表7-扣除项目明细采集底稿'!E:E,数据对照表!C6,'附表7-扣除项目明细采集底稿'!V:V,"共同成本费用")</f>
        <v>668995.79</v>
      </c>
      <c r="J17" s="347">
        <f>SUMIFS('附表7-扣除项目明细采集底稿'!X:X,'附表7-扣除项目明细采集底稿'!E:E,数据对照表!C6,'附表7-扣除项目明细采集底稿'!V:V,"共同成本费用")</f>
        <v>442626.05</v>
      </c>
      <c r="K17" s="347">
        <f>SUMIFS('附表7-扣除项目明细采集底稿'!Y:Y,'附表7-扣除项目明细采集底稿'!E:E,数据对照表!C6,'附表7-扣除项目明细采集底稿'!V:V,"共同成本费用")</f>
        <v>269279.69</v>
      </c>
      <c r="L17" s="348">
        <f t="shared" si="1"/>
        <v>1380901.53</v>
      </c>
      <c r="M17" s="348">
        <f t="shared" si="2"/>
        <v>1380901.53</v>
      </c>
    </row>
    <row r="18" s="329" customFormat="1" ht="27.95" customHeight="1" spans="1:13">
      <c r="A18" s="345">
        <v>13</v>
      </c>
      <c r="B18" s="345"/>
      <c r="C18" s="345"/>
      <c r="D18" s="349" t="str">
        <f>数据对照表!C7</f>
        <v>其他土地征用及拆迁补偿费</v>
      </c>
      <c r="E18" s="347">
        <f>SUMIFS('附表7-扣除项目明细采集底稿'!W:W,'附表7-扣除项目明细采集底稿'!E:E,数据对照表!C7,'附表7-扣除项目明细采集底稿'!V:V,"直接归集成本费用")</f>
        <v>0</v>
      </c>
      <c r="F18" s="347">
        <f>SUMIFS('附表7-扣除项目明细采集底稿'!X:X,'附表7-扣除项目明细采集底稿'!E:E,数据对照表!C7,'附表7-扣除项目明细采集底稿'!V:V,"直接归集成本费用")</f>
        <v>0</v>
      </c>
      <c r="G18" s="347">
        <f>SUMIFS('附表7-扣除项目明细采集底稿'!Y:Y,'附表7-扣除项目明细采集底稿'!E:E,数据对照表!C7,'附表7-扣除项目明细采集底稿'!V:V,"直接归集成本费用")</f>
        <v>0</v>
      </c>
      <c r="H18" s="348">
        <f t="shared" si="0"/>
        <v>0</v>
      </c>
      <c r="I18" s="347">
        <f>SUMIFS('附表7-扣除项目明细采集底稿'!W:W,'附表7-扣除项目明细采集底稿'!E:E,数据对照表!C7,'附表7-扣除项目明细采集底稿'!V:V,"共同成本费用")</f>
        <v>0</v>
      </c>
      <c r="J18" s="347">
        <f>SUMIFS('附表7-扣除项目明细采集底稿'!X:X,'附表7-扣除项目明细采集底稿'!E:E,数据对照表!C7,'附表7-扣除项目明细采集底稿'!V:V,"共同成本费用")</f>
        <v>0</v>
      </c>
      <c r="K18" s="347">
        <f>SUMIFS('附表7-扣除项目明细采集底稿'!Y:Y,'附表7-扣除项目明细采集底稿'!E:E,数据对照表!C7,'附表7-扣除项目明细采集底稿'!V:V,"共同成本费用")</f>
        <v>0</v>
      </c>
      <c r="L18" s="348">
        <f t="shared" si="1"/>
        <v>0</v>
      </c>
      <c r="M18" s="348">
        <f t="shared" si="2"/>
        <v>0</v>
      </c>
    </row>
    <row r="19" s="329" customFormat="1" ht="24" customHeight="1" spans="1:13">
      <c r="A19" s="345">
        <v>14</v>
      </c>
      <c r="B19" s="345"/>
      <c r="C19" s="349" t="str">
        <f>数据对照表!D1</f>
        <v>前期工程费</v>
      </c>
      <c r="D19" s="349"/>
      <c r="E19" s="347">
        <f>SUMIFS('附表7-扣除项目明细采集底稿'!W:W,'附表7-扣除项目明细采集底稿'!D:D,数据对照表!D1,'附表7-扣除项目明细采集底稿'!V:V,"直接归集成本费用")</f>
        <v>1992711.45</v>
      </c>
      <c r="F19" s="347">
        <f>SUMIFS('附表7-扣除项目明细采集底稿'!X:X,'附表7-扣除项目明细采集底稿'!D:D,数据对照表!D1,'附表7-扣除项目明细采集底稿'!V:V,"直接归集成本费用")</f>
        <v>1318432.77</v>
      </c>
      <c r="G19" s="347">
        <f>SUMIFS('附表7-扣除项目明细采集底稿'!Y:Y,'附表7-扣除项目明细采集底稿'!D:D,数据对照表!D1,'附表7-扣除项目明细采集底稿'!V:V,"直接归集成本费用")</f>
        <v>798053.44</v>
      </c>
      <c r="H19" s="348">
        <f t="shared" si="0"/>
        <v>4109197.66</v>
      </c>
      <c r="I19" s="347">
        <f>SUMIFS('附表7-扣除项目明细采集底稿'!W:W,'附表7-扣除项目明细采集底稿'!D:D,数据对照表!D1,'附表7-扣除项目明细采集底稿'!V:V,"共同成本费用")</f>
        <v>1389996.22</v>
      </c>
      <c r="J19" s="347">
        <f>SUMIFS('附表7-扣除项目明细采集底稿'!X:X,'附表7-扣除项目明细采集底稿'!D:D,数据对照表!D1,'附表7-扣除项目明细采集底稿'!V:V,"共同成本费用")</f>
        <v>919659.75</v>
      </c>
      <c r="K19" s="347">
        <f>SUMIFS('附表7-扣除项目明细采集底稿'!Y:Y,'附表7-扣除项目明细采集底稿'!D:D,数据对照表!D1,'附表7-扣除项目明细采集底稿'!V:V,"共同成本费用")</f>
        <v>559491.96</v>
      </c>
      <c r="L19" s="348">
        <f t="shared" si="1"/>
        <v>2869147.93</v>
      </c>
      <c r="M19" s="348">
        <f t="shared" si="2"/>
        <v>6978345.59</v>
      </c>
    </row>
    <row r="20" s="329" customFormat="1" ht="24" customHeight="1" spans="1:13">
      <c r="A20" s="345">
        <v>15</v>
      </c>
      <c r="B20" s="345"/>
      <c r="C20" s="345" t="s">
        <v>378</v>
      </c>
      <c r="D20" s="349" t="str">
        <f>数据对照表!D2</f>
        <v>规划费用</v>
      </c>
      <c r="E20" s="347">
        <f>SUMIFS('附表7-扣除项目明细采集底稿'!W:W,'附表7-扣除项目明细采集底稿'!E:E,数据对照表!D2,'附表7-扣除项目明细采集底稿'!V:V,"直接归集成本费用")</f>
        <v>44051.48</v>
      </c>
      <c r="F20" s="347">
        <f>SUMIFS('附表7-扣除项目明细采集底稿'!X:X,'附表7-扣除项目明细采集底稿'!E:E,数据对照表!D2,'附表7-扣除项目明细采集底稿'!V:V,"直接归集成本费用")</f>
        <v>29145.67</v>
      </c>
      <c r="G20" s="347">
        <f>SUMIFS('附表7-扣除项目明细采集底稿'!Y:Y,'附表7-扣除项目明细采集底稿'!E:E,数据对照表!D2,'附表7-扣除项目明细采集底稿'!V:V,"直接归集成本费用")</f>
        <v>11241.65</v>
      </c>
      <c r="H20" s="348">
        <f t="shared" si="0"/>
        <v>84438.8</v>
      </c>
      <c r="I20" s="347">
        <f>SUMIFS('附表7-扣除项目明细采集底稿'!W:W,'附表7-扣除项目明细采集底稿'!E:E,数据对照表!D2,'附表7-扣除项目明细采集底稿'!V:V,"共同成本费用")</f>
        <v>128268.86</v>
      </c>
      <c r="J20" s="347">
        <f>SUMIFS('附表7-扣除项目明细采集底稿'!X:X,'附表7-扣除项目明细采集底稿'!E:E,数据对照表!D2,'附表7-扣除项目明细采集底稿'!V:V,"共同成本费用")</f>
        <v>84866.2</v>
      </c>
      <c r="K20" s="347">
        <f>SUMIFS('附表7-扣除项目明细采集底稿'!Y:Y,'附表7-扣除项目明细采集底稿'!E:E,数据对照表!D2,'附表7-扣除项目明细采集底稿'!V:V,"共同成本费用")</f>
        <v>51629.93</v>
      </c>
      <c r="L20" s="348">
        <f t="shared" si="1"/>
        <v>264764.99</v>
      </c>
      <c r="M20" s="348">
        <f t="shared" si="2"/>
        <v>349203.79</v>
      </c>
    </row>
    <row r="21" s="329" customFormat="1" ht="24" customHeight="1" spans="1:13">
      <c r="A21" s="345">
        <v>16</v>
      </c>
      <c r="B21" s="345"/>
      <c r="C21" s="345"/>
      <c r="D21" s="349" t="str">
        <f>数据对照表!D3</f>
        <v>设计费用</v>
      </c>
      <c r="E21" s="347">
        <f>SUMIFS('附表7-扣除项目明细采集底稿'!W:W,'附表7-扣除项目明细采集底稿'!E:E,数据对照表!D3,'附表7-扣除项目明细采集底稿'!V:V,"直接归集成本费用")</f>
        <v>243803.52</v>
      </c>
      <c r="F21" s="347">
        <f>SUMIFS('附表7-扣除项目明细采集底稿'!X:X,'附表7-扣除项目明细采集底稿'!E:E,数据对照表!D3,'附表7-扣除项目明细采集底稿'!V:V,"直接归集成本费用")</f>
        <v>161307.12</v>
      </c>
      <c r="G21" s="347">
        <f>SUMIFS('附表7-扣除项目明细采集底稿'!Y:Y,'附表7-扣除项目明细采集底稿'!E:E,数据对照表!D3,'附表7-扣除项目明细采集底稿'!V:V,"直接归集成本费用")</f>
        <v>79485.86</v>
      </c>
      <c r="H21" s="348">
        <f t="shared" ref="H21:H37" si="3">SUM(E21:G21)</f>
        <v>484596.5</v>
      </c>
      <c r="I21" s="347">
        <f>SUMIFS('附表7-扣除项目明细采集底稿'!W:W,'附表7-扣除项目明细采集底稿'!E:E,数据对照表!D3,'附表7-扣除项目明细采集底稿'!V:V,"共同成本费用")</f>
        <v>545178.03</v>
      </c>
      <c r="J21" s="347">
        <f>SUMIFS('附表7-扣除项目明细采集底稿'!X:X,'附表7-扣除项目明细采集底稿'!E:E,数据对照表!D3,'附表7-扣除项目明细采集底稿'!V:V,"共同成本费用")</f>
        <v>360704.81</v>
      </c>
      <c r="K21" s="347">
        <f>SUMIFS('附表7-扣除项目明细采集底稿'!Y:Y,'附表7-扣除项目明细采集底稿'!E:E,数据对照表!D3,'附表7-扣除项目明细采集底稿'!V:V,"共同成本费用")</f>
        <v>219441.42</v>
      </c>
      <c r="L21" s="348">
        <f t="shared" ref="L21:L37" si="4">SUM(I21:K21)</f>
        <v>1125324.26</v>
      </c>
      <c r="M21" s="348">
        <f t="shared" ref="M21:M37" si="5">H21+L21</f>
        <v>1609920.76</v>
      </c>
    </row>
    <row r="22" s="329" customFormat="1" ht="24" customHeight="1" spans="1:13">
      <c r="A22" s="345">
        <v>17</v>
      </c>
      <c r="B22" s="345"/>
      <c r="C22" s="345"/>
      <c r="D22" s="349" t="str">
        <f>数据对照表!D4</f>
        <v>项目可行性研究费用</v>
      </c>
      <c r="E22" s="347">
        <f>SUMIFS('附表7-扣除项目明细采集底稿'!W:W,'附表7-扣除项目明细采集底稿'!E:E,数据对照表!D4,'附表7-扣除项目明细采集底稿'!V:V,"直接归集成本费用")</f>
        <v>0</v>
      </c>
      <c r="F22" s="347">
        <f>SUMIFS('附表7-扣除项目明细采集底稿'!X:X,'附表7-扣除项目明细采集底稿'!E:E,数据对照表!D4,'附表7-扣除项目明细采集底稿'!V:V,"直接归集成本费用")</f>
        <v>0</v>
      </c>
      <c r="G22" s="347">
        <f>SUMIFS('附表7-扣除项目明细采集底稿'!Y:Y,'附表7-扣除项目明细采集底稿'!E:E,数据对照表!D4,'附表7-扣除项目明细采集底稿'!V:V,"直接归集成本费用")</f>
        <v>0</v>
      </c>
      <c r="H22" s="348">
        <f t="shared" si="3"/>
        <v>0</v>
      </c>
      <c r="I22" s="347">
        <f>SUMIFS('附表7-扣除项目明细采集底稿'!W:W,'附表7-扣除项目明细采集底稿'!E:E,数据对照表!D4,'附表7-扣除项目明细采集底稿'!V:V,"共同成本费用")</f>
        <v>0</v>
      </c>
      <c r="J22" s="347">
        <f>SUMIFS('附表7-扣除项目明细采集底稿'!X:X,'附表7-扣除项目明细采集底稿'!E:E,数据对照表!D4,'附表7-扣除项目明细采集底稿'!V:V,"共同成本费用")</f>
        <v>0</v>
      </c>
      <c r="K22" s="347">
        <f>SUMIFS('附表7-扣除项目明细采集底稿'!Y:Y,'附表7-扣除项目明细采集底稿'!E:E,数据对照表!D4,'附表7-扣除项目明细采集底稿'!V:V,"共同成本费用")</f>
        <v>0</v>
      </c>
      <c r="L22" s="348">
        <f t="shared" si="4"/>
        <v>0</v>
      </c>
      <c r="M22" s="348">
        <f t="shared" si="5"/>
        <v>0</v>
      </c>
    </row>
    <row r="23" s="329" customFormat="1" ht="24" customHeight="1" spans="1:13">
      <c r="A23" s="345">
        <v>18</v>
      </c>
      <c r="B23" s="345"/>
      <c r="C23" s="345"/>
      <c r="D23" s="349" t="str">
        <f>数据对照表!D5</f>
        <v>水文费用</v>
      </c>
      <c r="E23" s="347">
        <f>SUMIFS('附表7-扣除项目明细采集底稿'!W:W,'附表7-扣除项目明细采集底稿'!E:E,数据对照表!D5,'附表7-扣除项目明细采集底稿'!V:V,"直接归集成本费用")</f>
        <v>0</v>
      </c>
      <c r="F23" s="347">
        <f>SUMIFS('附表7-扣除项目明细采集底稿'!X:X,'附表7-扣除项目明细采集底稿'!E:E,数据对照表!D5,'附表7-扣除项目明细采集底稿'!V:V,"直接归集成本费用")</f>
        <v>0</v>
      </c>
      <c r="G23" s="347">
        <f>SUMIFS('附表7-扣除项目明细采集底稿'!Y:Y,'附表7-扣除项目明细采集底稿'!E:E,数据对照表!D5,'附表7-扣除项目明细采集底稿'!V:V,"直接归集成本费用")</f>
        <v>0</v>
      </c>
      <c r="H23" s="348">
        <f t="shared" si="3"/>
        <v>0</v>
      </c>
      <c r="I23" s="347">
        <f>SUMIFS('附表7-扣除项目明细采集底稿'!W:W,'附表7-扣除项目明细采集底稿'!E:E,数据对照表!D5,'附表7-扣除项目明细采集底稿'!V:V,"共同成本费用")</f>
        <v>5415.68</v>
      </c>
      <c r="J23" s="347">
        <f>SUMIFS('附表7-扣除项目明细采集底稿'!X:X,'附表7-扣除项目明细采集底稿'!E:E,数据对照表!D5,'附表7-扣除项目明细采集底稿'!V:V,"共同成本费用")</f>
        <v>3583.17</v>
      </c>
      <c r="K23" s="347">
        <f>SUMIFS('附表7-扣除项目明细采集底稿'!Y:Y,'附表7-扣除项目明细采集底稿'!E:E,数据对照表!D5,'附表7-扣除项目明细采集底稿'!V:V,"共同成本费用")</f>
        <v>2179.88</v>
      </c>
      <c r="L23" s="348">
        <f t="shared" si="4"/>
        <v>11178.73</v>
      </c>
      <c r="M23" s="348">
        <f t="shared" si="5"/>
        <v>11178.73</v>
      </c>
    </row>
    <row r="24" s="329" customFormat="1" ht="24" customHeight="1" spans="1:13">
      <c r="A24" s="345">
        <v>19</v>
      </c>
      <c r="B24" s="345"/>
      <c r="C24" s="345"/>
      <c r="D24" s="349" t="str">
        <f>数据对照表!D6</f>
        <v>地质费用</v>
      </c>
      <c r="E24" s="347">
        <f>SUMIFS('附表7-扣除项目明细采集底稿'!W:W,'附表7-扣除项目明细采集底稿'!E:E,数据对照表!D6,'附表7-扣除项目明细采集底稿'!V:V,"直接归集成本费用")</f>
        <v>0</v>
      </c>
      <c r="F24" s="347">
        <f>SUMIFS('附表7-扣除项目明细采集底稿'!X:X,'附表7-扣除项目明细采集底稿'!E:E,数据对照表!D6,'附表7-扣除项目明细采集底稿'!V:V,"直接归集成本费用")</f>
        <v>0</v>
      </c>
      <c r="G24" s="347">
        <f>SUMIFS('附表7-扣除项目明细采集底稿'!Y:Y,'附表7-扣除项目明细采集底稿'!E:E,数据对照表!D6,'附表7-扣除项目明细采集底稿'!V:V,"直接归集成本费用")</f>
        <v>0</v>
      </c>
      <c r="H24" s="348">
        <f t="shared" si="3"/>
        <v>0</v>
      </c>
      <c r="I24" s="347">
        <f>SUMIFS('附表7-扣除项目明细采集底稿'!W:W,'附表7-扣除项目明细采集底稿'!E:E,数据对照表!D6,'附表7-扣除项目明细采集底稿'!V:V,"共同成本费用")</f>
        <v>0</v>
      </c>
      <c r="J24" s="347">
        <f>SUMIFS('附表7-扣除项目明细采集底稿'!X:X,'附表7-扣除项目明细采集底稿'!E:E,数据对照表!D6,'附表7-扣除项目明细采集底稿'!V:V,"共同成本费用")</f>
        <v>0</v>
      </c>
      <c r="K24" s="347">
        <f>SUMIFS('附表7-扣除项目明细采集底稿'!Y:Y,'附表7-扣除项目明细采集底稿'!E:E,数据对照表!D6,'附表7-扣除项目明细采集底稿'!V:V,"共同成本费用")</f>
        <v>0</v>
      </c>
      <c r="L24" s="348">
        <f t="shared" si="4"/>
        <v>0</v>
      </c>
      <c r="M24" s="348">
        <f t="shared" si="5"/>
        <v>0</v>
      </c>
    </row>
    <row r="25" s="329" customFormat="1" ht="24" customHeight="1" spans="1:13">
      <c r="A25" s="345">
        <v>20</v>
      </c>
      <c r="B25" s="345"/>
      <c r="C25" s="345"/>
      <c r="D25" s="349" t="str">
        <f>数据对照表!D7</f>
        <v>勘探费用</v>
      </c>
      <c r="E25" s="347">
        <f>SUMIFS('附表7-扣除项目明细采集底稿'!W:W,'附表7-扣除项目明细采集底稿'!E:E,数据对照表!D7,'附表7-扣除项目明细采集底稿'!V:V,"直接归集成本费用")</f>
        <v>0</v>
      </c>
      <c r="F25" s="347">
        <f>SUMIFS('附表7-扣除项目明细采集底稿'!X:X,'附表7-扣除项目明细采集底稿'!E:E,数据对照表!D7,'附表7-扣除项目明细采集底稿'!V:V,"直接归集成本费用")</f>
        <v>0</v>
      </c>
      <c r="G25" s="347">
        <f>SUMIFS('附表7-扣除项目明细采集底稿'!Y:Y,'附表7-扣除项目明细采集底稿'!E:E,数据对照表!D7,'附表7-扣除项目明细采集底稿'!V:V,"直接归集成本费用")</f>
        <v>0</v>
      </c>
      <c r="H25" s="348">
        <f t="shared" si="3"/>
        <v>0</v>
      </c>
      <c r="I25" s="347">
        <f>SUMIFS('附表7-扣除项目明细采集底稿'!W:W,'附表7-扣除项目明细采集底稿'!E:E,数据对照表!D7,'附表7-扣除项目明细采集底稿'!V:V,"共同成本费用")</f>
        <v>111440.22</v>
      </c>
      <c r="J25" s="347">
        <f>SUMIFS('附表7-扣除项目明细采集底稿'!X:X,'附表7-扣除项目明细采集底稿'!E:E,数据对照表!D7,'附表7-扣除项目明细采集底稿'!V:V,"共同成本费用")</f>
        <v>73731.92</v>
      </c>
      <c r="K25" s="347">
        <f>SUMIFS('附表7-扣除项目明细采集底稿'!Y:Y,'附表7-扣除项目明细采集底稿'!E:E,数据对照表!D7,'附表7-扣除项目明细采集底稿'!V:V,"共同成本费用")</f>
        <v>44856.16</v>
      </c>
      <c r="L25" s="348">
        <f t="shared" si="4"/>
        <v>230028.3</v>
      </c>
      <c r="M25" s="348">
        <f t="shared" si="5"/>
        <v>230028.3</v>
      </c>
    </row>
    <row r="26" s="329" customFormat="1" ht="24" customHeight="1" spans="1:13">
      <c r="A26" s="345">
        <v>21</v>
      </c>
      <c r="B26" s="345"/>
      <c r="C26" s="345"/>
      <c r="D26" s="349" t="str">
        <f>数据对照表!D8</f>
        <v>测绘费用</v>
      </c>
      <c r="E26" s="347">
        <f>SUMIFS('附表7-扣除项目明细采集底稿'!W:W,'附表7-扣除项目明细采集底稿'!E:E,数据对照表!D8,'附表7-扣除项目明细采集底稿'!V:V,"直接归集成本费用")</f>
        <v>33316.23</v>
      </c>
      <c r="F26" s="347">
        <f>SUMIFS('附表7-扣除项目明细采集底稿'!X:X,'附表7-扣除项目明细采集底稿'!E:E,数据对照表!D8,'附表7-扣除项目明细采集底稿'!V:V,"直接归集成本费用")</f>
        <v>22042.93</v>
      </c>
      <c r="G26" s="347">
        <f>SUMIFS('附表7-扣除项目明细采集底稿'!Y:Y,'附表7-扣除项目明细采集底稿'!E:E,数据对照表!D8,'附表7-扣除项目明细采集底稿'!V:V,"直接归集成本费用")</f>
        <v>37666.95</v>
      </c>
      <c r="H26" s="348">
        <f t="shared" si="3"/>
        <v>93026.11</v>
      </c>
      <c r="I26" s="347">
        <f>SUMIFS('附表7-扣除项目明细采集底稿'!W:W,'附表7-扣除项目明细采集底稿'!E:E,数据对照表!D8,'附表7-扣除项目明细采集底稿'!V:V,"共同成本费用")</f>
        <v>103756.82</v>
      </c>
      <c r="J26" s="347">
        <f>SUMIFS('附表7-扣除项目明细采集底稿'!X:X,'附表7-扣除项目明细采集底稿'!E:E,数据对照表!D8,'附表7-扣除项目明细采集底稿'!V:V,"共同成本费用")</f>
        <v>68648.37</v>
      </c>
      <c r="K26" s="347">
        <f>SUMIFS('附表7-扣除项目明细采集底稿'!Y:Y,'附表7-扣除项目明细采集底稿'!E:E,数据对照表!D8,'附表7-扣除项目明细采集底稿'!V:V,"共同成本费用")</f>
        <v>41763.49</v>
      </c>
      <c r="L26" s="348">
        <f t="shared" si="4"/>
        <v>214168.68</v>
      </c>
      <c r="M26" s="348">
        <f t="shared" si="5"/>
        <v>307194.79</v>
      </c>
    </row>
    <row r="27" s="329" customFormat="1" ht="24" customHeight="1" spans="1:13">
      <c r="A27" s="345">
        <v>22</v>
      </c>
      <c r="B27" s="345"/>
      <c r="C27" s="345"/>
      <c r="D27" s="349" t="str">
        <f>数据对照表!D9</f>
        <v>七通一平支出</v>
      </c>
      <c r="E27" s="347">
        <f>SUMIFS('附表7-扣除项目明细采集底稿'!W:W,'附表7-扣除项目明细采集底稿'!E:E,数据对照表!D9,'附表7-扣除项目明细采集底稿'!V:V,"直接归集成本费用")</f>
        <v>171978.06</v>
      </c>
      <c r="F27" s="347">
        <f>SUMIFS('附表7-扣除项目明细采集底稿'!X:X,'附表7-扣除项目明细采集底稿'!E:E,数据对照表!D9,'附表7-扣除项目明细采集底稿'!V:V,"直接归集成本费用")</f>
        <v>113785.42</v>
      </c>
      <c r="G27" s="347">
        <f>SUMIFS('附表7-扣除项目明细采集底稿'!Y:Y,'附表7-扣除项目明细采集底稿'!E:E,数据对照表!D9,'附表7-扣除项目明细采集底稿'!V:V,"直接归集成本费用")</f>
        <v>32536.52</v>
      </c>
      <c r="H27" s="348">
        <f t="shared" si="3"/>
        <v>318300</v>
      </c>
      <c r="I27" s="347">
        <f>SUMIFS('附表7-扣除项目明细采集底稿'!W:W,'附表7-扣除项目明细采集底稿'!E:E,数据对照表!D9,'附表7-扣除项目明细采集底稿'!V:V,"共同成本费用")</f>
        <v>495052.49</v>
      </c>
      <c r="J27" s="347">
        <f>SUMIFS('附表7-扣除项目明细采集底稿'!X:X,'附表7-扣除项目明细采集底稿'!E:E,数据对照表!D9,'附表7-扣除项目明细采集底稿'!V:V,"共同成本费用")</f>
        <v>327540.33</v>
      </c>
      <c r="K27" s="347">
        <f>SUMIFS('附表7-扣除项目明细采集底稿'!Y:Y,'附表7-扣除项目明细采集底稿'!E:E,数据对照表!D9,'附表7-扣除项目明细采集底稿'!V:V,"共同成本费用")</f>
        <v>199265.22</v>
      </c>
      <c r="L27" s="348">
        <f t="shared" si="4"/>
        <v>1021858.04</v>
      </c>
      <c r="M27" s="348">
        <f t="shared" si="5"/>
        <v>1340158.04</v>
      </c>
    </row>
    <row r="28" s="329" customFormat="1" ht="24" customHeight="1" spans="1:13">
      <c r="A28" s="345">
        <v>23</v>
      </c>
      <c r="B28" s="345"/>
      <c r="C28" s="345"/>
      <c r="D28" s="349" t="str">
        <f>数据对照表!D10</f>
        <v>其他前期工程费</v>
      </c>
      <c r="E28" s="347">
        <f>SUMIFS('附表7-扣除项目明细采集底稿'!W:W,'附表7-扣除项目明细采集底稿'!E:E,数据对照表!D10,'附表7-扣除项目明细采集底稿'!V:V,"直接归集成本费用")</f>
        <v>1499562.16</v>
      </c>
      <c r="F28" s="347">
        <f>SUMIFS('附表7-扣除项目明细采集底稿'!X:X,'附表7-扣除项目明细采集底稿'!E:E,数据对照表!D10,'附表7-扣除项目明细采集底稿'!V:V,"直接归集成本费用")</f>
        <v>992151.63</v>
      </c>
      <c r="G28" s="347">
        <f>SUMIFS('附表7-扣除项目明细采集底稿'!Y:Y,'附表7-扣除项目明细采集底稿'!E:E,数据对照表!D10,'附表7-扣除项目明细采集底稿'!V:V,"直接归集成本费用")</f>
        <v>637122.46</v>
      </c>
      <c r="H28" s="348">
        <f t="shared" si="3"/>
        <v>3128836.25</v>
      </c>
      <c r="I28" s="347">
        <f>SUMIFS('附表7-扣除项目明细采集底稿'!W:W,'附表7-扣除项目明细采集底稿'!E:E,数据对照表!D10,'附表7-扣除项目明细采集底稿'!V:V,"共同成本费用")</f>
        <v>884.12</v>
      </c>
      <c r="J28" s="347">
        <f>SUMIFS('附表7-扣除项目明细采集底稿'!X:X,'附表7-扣除项目明细采集底稿'!E:E,数据对照表!D10,'附表7-扣除项目明细采集底稿'!V:V,"共同成本费用")</f>
        <v>584.95</v>
      </c>
      <c r="K28" s="347">
        <f>SUMIFS('附表7-扣除项目明细采集底稿'!Y:Y,'附表7-扣除项目明细采集底稿'!E:E,数据对照表!D10,'附表7-扣除项目明细采集底稿'!V:V,"共同成本费用")</f>
        <v>355.86</v>
      </c>
      <c r="L28" s="348">
        <f t="shared" si="4"/>
        <v>1824.93</v>
      </c>
      <c r="M28" s="348">
        <f t="shared" si="5"/>
        <v>3130661.18</v>
      </c>
    </row>
    <row r="29" s="329" customFormat="1" ht="24" customHeight="1" spans="1:13">
      <c r="A29" s="345">
        <v>24</v>
      </c>
      <c r="B29" s="345"/>
      <c r="C29" s="346" t="str">
        <f>数据对照表!E1</f>
        <v>建筑安装工程费</v>
      </c>
      <c r="D29" s="346"/>
      <c r="E29" s="347">
        <f>SUMIFS('附表7-扣除项目明细采集底稿'!W:W,'附表7-扣除项目明细采集底稿'!D:D,数据对照表!E1,'附表7-扣除项目明细采集底稿'!V:V,"直接归集成本费用")</f>
        <v>45637380.69</v>
      </c>
      <c r="F29" s="347">
        <f>SUMIFS('附表7-扣除项目明细采集底稿'!X:X,'附表7-扣除项目明细采集底稿'!D:D,数据对照表!E1,'附表7-扣除项目明细采集底稿'!V:V,"直接归集成本费用")</f>
        <v>30194969.16</v>
      </c>
      <c r="G29" s="347">
        <f>SUMIFS('附表7-扣除项目明细采集底稿'!Y:Y,'附表7-扣除项目明细采集底稿'!D:D,数据对照表!E1,'附表7-扣除项目明细采集底稿'!V:V,"直接归集成本费用")</f>
        <v>24217141.14</v>
      </c>
      <c r="H29" s="348">
        <f t="shared" si="3"/>
        <v>100049490.99</v>
      </c>
      <c r="I29" s="347">
        <f>SUMIFS('附表7-扣除项目明细采集底稿'!W:W,'附表7-扣除项目明细采集底稿'!D:D,数据对照表!E1,'附表7-扣除项目明细采集底稿'!V:V,"共同成本费用")</f>
        <v>1271009.03</v>
      </c>
      <c r="J29" s="347">
        <f>SUMIFS('附表7-扣除项目明细采集底稿'!X:X,'附表7-扣除项目明细采集底稿'!D:D,数据对照表!E1,'附表7-扣除项目明细采集底稿'!V:V,"共同成本费用")</f>
        <v>840934.59</v>
      </c>
      <c r="K29" s="347">
        <f>SUMIFS('附表7-扣除项目明细采集底稿'!Y:Y,'附表7-扣除项目明细采集底稿'!D:D,数据对照表!E1,'附表7-扣除项目明细采集底稿'!V:V,"共同成本费用")</f>
        <v>511598</v>
      </c>
      <c r="L29" s="348">
        <f t="shared" si="4"/>
        <v>2623541.62</v>
      </c>
      <c r="M29" s="348">
        <f t="shared" si="5"/>
        <v>102673032.61</v>
      </c>
    </row>
    <row r="30" s="329" customFormat="1" ht="24" customHeight="1" spans="1:13">
      <c r="A30" s="345">
        <v>25</v>
      </c>
      <c r="B30" s="345"/>
      <c r="C30" s="345" t="s">
        <v>378</v>
      </c>
      <c r="D30" s="349" t="str">
        <f>数据对照表!E2</f>
        <v>桩基础工程费用</v>
      </c>
      <c r="E30" s="347">
        <f>SUMIFS('附表7-扣除项目明细采集底稿'!W:W,'附表7-扣除项目明细采集底稿'!E:E,数据对照表!E2,'附表7-扣除项目明细采集底稿'!V:V,"直接归集成本费用")</f>
        <v>0</v>
      </c>
      <c r="F30" s="347">
        <f>SUMIFS('附表7-扣除项目明细采集底稿'!X:X,'附表7-扣除项目明细采集底稿'!E:E,数据对照表!E2,'附表7-扣除项目明细采集底稿'!V:V,"直接归集成本费用")</f>
        <v>0</v>
      </c>
      <c r="G30" s="347">
        <f>SUMIFS('附表7-扣除项目明细采集底稿'!Y:Y,'附表7-扣除项目明细采集底稿'!E:E,数据对照表!E2,'附表7-扣除项目明细采集底稿'!V:V,"直接归集成本费用")</f>
        <v>0</v>
      </c>
      <c r="H30" s="348">
        <f t="shared" si="3"/>
        <v>0</v>
      </c>
      <c r="I30" s="347">
        <f>SUMIFS('附表7-扣除项目明细采集底稿'!W:W,'附表7-扣除项目明细采集底稿'!E:E,数据对照表!E2,'附表7-扣除项目明细采集底稿'!V:V,"共同成本费用")</f>
        <v>0</v>
      </c>
      <c r="J30" s="347">
        <f>SUMIFS('附表7-扣除项目明细采集底稿'!X:X,'附表7-扣除项目明细采集底稿'!E:E,数据对照表!E2,'附表7-扣除项目明细采集底稿'!V:V,"共同成本费用")</f>
        <v>0</v>
      </c>
      <c r="K30" s="347">
        <f>SUMIFS('附表7-扣除项目明细采集底稿'!Y:Y,'附表7-扣除项目明细采集底稿'!E:E,数据对照表!E2,'附表7-扣除项目明细采集底稿'!V:V,"共同成本费用")</f>
        <v>0</v>
      </c>
      <c r="L30" s="348">
        <f t="shared" si="4"/>
        <v>0</v>
      </c>
      <c r="M30" s="348">
        <f t="shared" si="5"/>
        <v>0</v>
      </c>
    </row>
    <row r="31" s="329" customFormat="1" ht="24" customHeight="1" spans="1:13">
      <c r="A31" s="345">
        <v>26</v>
      </c>
      <c r="B31" s="345"/>
      <c r="C31" s="345"/>
      <c r="D31" s="349" t="str">
        <f>数据对照表!E3</f>
        <v>地下室工程费用</v>
      </c>
      <c r="E31" s="347">
        <f>SUMIFS('附表7-扣除项目明细采集底稿'!W:W,'附表7-扣除项目明细采集底稿'!E:E,数据对照表!E3,'附表7-扣除项目明细采集底稿'!V:V,"直接归集成本费用")</f>
        <v>17890.2</v>
      </c>
      <c r="F31" s="347">
        <f>SUMIFS('附表7-扣除项目明细采集底稿'!X:X,'附表7-扣除项目明细采集底稿'!E:E,数据对照表!E3,'附表7-扣除项目明细采集底稿'!V:V,"直接归集成本费用")</f>
        <v>11836.65</v>
      </c>
      <c r="G31" s="347">
        <f>SUMIFS('附表7-扣除项目明细采集底稿'!Y:Y,'附表7-扣除项目明细采集底稿'!E:E,数据对照表!E3,'附表7-扣除项目明细采集底稿'!V:V,"直接归集成本费用")</f>
        <v>3384.65</v>
      </c>
      <c r="H31" s="348">
        <f t="shared" si="3"/>
        <v>33111.5</v>
      </c>
      <c r="I31" s="347">
        <f>SUMIFS('附表7-扣除项目明细采集底稿'!W:W,'附表7-扣除项目明细采集底稿'!E:E,数据对照表!E3,'附表7-扣除项目明细采集底稿'!V:V,"共同成本费用")</f>
        <v>0</v>
      </c>
      <c r="J31" s="347">
        <f>SUMIFS('附表7-扣除项目明细采集底稿'!X:X,'附表7-扣除项目明细采集底稿'!E:E,数据对照表!E3,'附表7-扣除项目明细采集底稿'!V:V,"共同成本费用")</f>
        <v>0</v>
      </c>
      <c r="K31" s="347">
        <f>SUMIFS('附表7-扣除项目明细采集底稿'!Y:Y,'附表7-扣除项目明细采集底稿'!E:E,数据对照表!E3,'附表7-扣除项目明细采集底稿'!V:V,"共同成本费用")</f>
        <v>0</v>
      </c>
      <c r="L31" s="348">
        <f t="shared" si="4"/>
        <v>0</v>
      </c>
      <c r="M31" s="348">
        <f t="shared" si="5"/>
        <v>33111.5</v>
      </c>
    </row>
    <row r="32" s="329" customFormat="1" ht="24" customHeight="1" spans="1:13">
      <c r="A32" s="345">
        <v>27</v>
      </c>
      <c r="B32" s="345"/>
      <c r="C32" s="345"/>
      <c r="D32" s="349" t="str">
        <f>数据对照表!E4</f>
        <v>地上建筑工程费用</v>
      </c>
      <c r="E32" s="347">
        <f>SUMIFS('附表7-扣除项目明细采集底稿'!W:W,'附表7-扣除项目明细采集底稿'!E:E,数据对照表!E4,'附表7-扣除项目明细采集底稿'!V:V,"直接归集成本费用")</f>
        <v>40176119.22</v>
      </c>
      <c r="F32" s="347">
        <f>SUMIFS('附表7-扣除项目明细采集底稿'!X:X,'附表7-扣除项目明细采集底稿'!E:E,数据对照表!E4,'附表7-扣除项目明细采集底稿'!V:V,"直接归集成本费用")</f>
        <v>26581627.08</v>
      </c>
      <c r="G32" s="347">
        <f>SUMIFS('附表7-扣除项目明细采集底稿'!Y:Y,'附表7-扣除项目明细采集底稿'!E:E,数据对照表!E4,'附表7-扣除项目明细采集底稿'!V:V,"直接归集成本费用")</f>
        <v>18207674.88</v>
      </c>
      <c r="H32" s="348">
        <f t="shared" si="3"/>
        <v>84965421.18</v>
      </c>
      <c r="I32" s="347">
        <f>SUMIFS('附表7-扣除项目明细采集底稿'!W:W,'附表7-扣除项目明细采集底稿'!E:E,数据对照表!E4,'附表7-扣除项目明细采集底稿'!V:V,"共同成本费用")</f>
        <v>1271009.03</v>
      </c>
      <c r="J32" s="347">
        <f>SUMIFS('附表7-扣除项目明细采集底稿'!X:X,'附表7-扣除项目明细采集底稿'!E:E,数据对照表!E4,'附表7-扣除项目明细采集底稿'!V:V,"共同成本费用")</f>
        <v>840934.59</v>
      </c>
      <c r="K32" s="347">
        <f>SUMIFS('附表7-扣除项目明细采集底稿'!Y:Y,'附表7-扣除项目明细采集底稿'!E:E,数据对照表!E4,'附表7-扣除项目明细采集底稿'!V:V,"共同成本费用")</f>
        <v>511598</v>
      </c>
      <c r="L32" s="348">
        <f t="shared" si="4"/>
        <v>2623541.62</v>
      </c>
      <c r="M32" s="348">
        <f t="shared" si="5"/>
        <v>87588962.8</v>
      </c>
    </row>
    <row r="33" s="329" customFormat="1" ht="24" customHeight="1" spans="1:13">
      <c r="A33" s="345">
        <v>28</v>
      </c>
      <c r="B33" s="345"/>
      <c r="C33" s="345"/>
      <c r="D33" s="349" t="str">
        <f>数据对照表!E5</f>
        <v>户内装修费用</v>
      </c>
      <c r="E33" s="347">
        <f>SUMIFS('附表7-扣除项目明细采集底稿'!W:W,'附表7-扣除项目明细采集底稿'!E:E,数据对照表!E5,'附表7-扣除项目明细采集底稿'!V:V,"直接归集成本费用")</f>
        <v>1263425.61</v>
      </c>
      <c r="F33" s="347">
        <f>SUMIFS('附表7-扣除项目明细采集底稿'!X:X,'附表7-扣除项目明细采集底稿'!E:E,数据对照表!E5,'附表7-扣除项目明细采集底稿'!V:V,"直接归集成本费用")</f>
        <v>835938.26</v>
      </c>
      <c r="G33" s="347">
        <f>SUMIFS('附表7-扣除项目明细采集底稿'!Y:Y,'附表7-扣除项目明细采集底稿'!E:E,数据对照表!E5,'附表7-扣除项目明细采集底稿'!V:V,"直接归集成本费用")</f>
        <v>875009.62</v>
      </c>
      <c r="H33" s="348">
        <f t="shared" si="3"/>
        <v>2974373.49</v>
      </c>
      <c r="I33" s="347">
        <f>SUMIFS('附表7-扣除项目明细采集底稿'!W:W,'附表7-扣除项目明细采集底稿'!E:E,数据对照表!E5,'附表7-扣除项目明细采集底稿'!V:V,"共同成本费用")</f>
        <v>0</v>
      </c>
      <c r="J33" s="347">
        <f>SUMIFS('附表7-扣除项目明细采集底稿'!X:X,'附表7-扣除项目明细采集底稿'!E:E,数据对照表!E5,'附表7-扣除项目明细采集底稿'!V:V,"共同成本费用")</f>
        <v>0</v>
      </c>
      <c r="K33" s="347">
        <f>SUMIFS('附表7-扣除项目明细采集底稿'!Y:Y,'附表7-扣除项目明细采集底稿'!E:E,数据对照表!E5,'附表7-扣除项目明细采集底稿'!V:V,"共同成本费用")</f>
        <v>0</v>
      </c>
      <c r="L33" s="348">
        <f t="shared" si="4"/>
        <v>0</v>
      </c>
      <c r="M33" s="348">
        <f t="shared" si="5"/>
        <v>2974373.49</v>
      </c>
    </row>
    <row r="34" s="329" customFormat="1" ht="24" customHeight="1" spans="1:13">
      <c r="A34" s="345">
        <v>29</v>
      </c>
      <c r="B34" s="345"/>
      <c r="C34" s="345"/>
      <c r="D34" s="349" t="str">
        <f>数据对照表!E6</f>
        <v>高档外立面工程费用</v>
      </c>
      <c r="E34" s="347">
        <f>SUMIFS('附表7-扣除项目明细采集底稿'!W:W,'附表7-扣除项目明细采集底稿'!E:E,数据对照表!E6,'附表7-扣除项目明细采集底稿'!V:V,"直接归集成本费用")</f>
        <v>11806.39</v>
      </c>
      <c r="F34" s="347">
        <f>SUMIFS('附表7-扣除项目明细采集底稿'!X:X,'附表7-扣除项目明细采集底稿'!E:E,数据对照表!E6,'附表7-扣除项目明细采集底稿'!V:V,"直接归集成本费用")</f>
        <v>7811.44</v>
      </c>
      <c r="G34" s="347">
        <f>SUMIFS('附表7-扣除项目明细采集底稿'!Y:Y,'附表7-扣除项目明细采集底稿'!E:E,数据对照表!E6,'附表7-扣除项目明细采集底稿'!V:V,"直接归集成本费用")</f>
        <v>1983760.58</v>
      </c>
      <c r="H34" s="348">
        <f t="shared" si="3"/>
        <v>2003378.41</v>
      </c>
      <c r="I34" s="347">
        <f>SUMIFS('附表7-扣除项目明细采集底稿'!W:W,'附表7-扣除项目明细采集底稿'!E:E,数据对照表!E6,'附表7-扣除项目明细采集底稿'!V:V,"共同成本费用")</f>
        <v>0</v>
      </c>
      <c r="J34" s="347">
        <f>SUMIFS('附表7-扣除项目明细采集底稿'!X:X,'附表7-扣除项目明细采集底稿'!E:E,数据对照表!E6,'附表7-扣除项目明细采集底稿'!V:V,"共同成本费用")</f>
        <v>0</v>
      </c>
      <c r="K34" s="347">
        <f>SUMIFS('附表7-扣除项目明细采集底稿'!Y:Y,'附表7-扣除项目明细采集底稿'!E:E,数据对照表!E6,'附表7-扣除项目明细采集底稿'!V:V,"共同成本费用")</f>
        <v>0</v>
      </c>
      <c r="L34" s="348">
        <f t="shared" si="4"/>
        <v>0</v>
      </c>
      <c r="M34" s="348">
        <f t="shared" si="5"/>
        <v>2003378.41</v>
      </c>
    </row>
    <row r="35" s="329" customFormat="1" ht="24" customHeight="1" spans="1:13">
      <c r="A35" s="345">
        <v>30</v>
      </c>
      <c r="B35" s="345"/>
      <c r="C35" s="345"/>
      <c r="D35" s="349" t="str">
        <f>数据对照表!E7</f>
        <v>其他建筑安装工程费</v>
      </c>
      <c r="E35" s="347">
        <f>SUMIFS('附表7-扣除项目明细采集底稿'!W:W,'附表7-扣除项目明细采集底稿'!E:E,数据对照表!E7,'附表7-扣除项目明细采集底稿'!V:V,"直接归集成本费用")</f>
        <v>4168139.27</v>
      </c>
      <c r="F35" s="347">
        <f>SUMIFS('附表7-扣除项目明细采集底稿'!X:X,'附表7-扣除项目明细采集底稿'!E:E,数据对照表!E7,'附表7-扣除项目明细采集底稿'!V:V,"直接归集成本费用")</f>
        <v>2757755.73</v>
      </c>
      <c r="G35" s="347">
        <f>SUMIFS('附表7-扣除项目明细采集底稿'!Y:Y,'附表7-扣除项目明细采集底稿'!E:E,数据对照表!E7,'附表7-扣除项目明细采集底稿'!V:V,"直接归集成本费用")</f>
        <v>3147311.41</v>
      </c>
      <c r="H35" s="348">
        <f t="shared" si="3"/>
        <v>10073206.41</v>
      </c>
      <c r="I35" s="347">
        <f>SUMIFS('附表7-扣除项目明细采集底稿'!W:W,'附表7-扣除项目明细采集底稿'!E:E,数据对照表!E7,'附表7-扣除项目明细采集底稿'!V:V,"共同成本费用")</f>
        <v>0</v>
      </c>
      <c r="J35" s="347">
        <f>SUMIFS('附表7-扣除项目明细采集底稿'!X:X,'附表7-扣除项目明细采集底稿'!E:E,数据对照表!E7,'附表7-扣除项目明细采集底稿'!V:V,"共同成本费用")</f>
        <v>0</v>
      </c>
      <c r="K35" s="347">
        <f>SUMIFS('附表7-扣除项目明细采集底稿'!Y:Y,'附表7-扣除项目明细采集底稿'!E:E,数据对照表!E7,'附表7-扣除项目明细采集底稿'!V:V,"共同成本费用")</f>
        <v>0</v>
      </c>
      <c r="L35" s="348">
        <f t="shared" si="4"/>
        <v>0</v>
      </c>
      <c r="M35" s="348">
        <f t="shared" si="5"/>
        <v>10073206.41</v>
      </c>
    </row>
    <row r="36" s="329" customFormat="1" ht="24" customHeight="1" spans="1:13">
      <c r="A36" s="345">
        <v>31</v>
      </c>
      <c r="B36" s="345"/>
      <c r="C36" s="349" t="str">
        <f>数据对照表!F1</f>
        <v>基础设施费</v>
      </c>
      <c r="D36" s="349"/>
      <c r="E36" s="347">
        <f>SUMIFS('附表7-扣除项目明细采集底稿'!W:W,'附表7-扣除项目明细采集底稿'!D:D,数据对照表!F1,'附表7-扣除项目明细采集底稿'!V:V,"直接归集成本费用")</f>
        <v>2426295.3</v>
      </c>
      <c r="F36" s="347">
        <f>SUMIFS('附表7-扣除项目明细采集底稿'!X:X,'附表7-扣除项目明细采集底稿'!D:D,数据对照表!F1,'附表7-扣除项目明细采集底稿'!V:V,"直接归集成本费用")</f>
        <v>1605303.8</v>
      </c>
      <c r="G36" s="347">
        <f>SUMIFS('附表7-扣除项目明细采集底稿'!Y:Y,'附表7-扣除项目明细采集底稿'!D:D,数据对照表!F1,'附表7-扣除项目明细采集底稿'!V:V,"直接归集成本费用")</f>
        <v>1352711.74</v>
      </c>
      <c r="H36" s="348">
        <f t="shared" si="3"/>
        <v>5384310.84</v>
      </c>
      <c r="I36" s="347">
        <f>SUMIFS('附表7-扣除项目明细采集底稿'!W:W,'附表7-扣除项目明细采集底稿'!D:D,数据对照表!F1,'附表7-扣除项目明细采集底稿'!V:V,"共同成本费用")</f>
        <v>8675206.8</v>
      </c>
      <c r="J36" s="347">
        <f>SUMIFS('附表7-扣除项目明细采集底稿'!X:X,'附表7-扣除项目明细采集底稿'!D:D,数据对照表!F1,'附表7-扣除项目明细采集底稿'!V:V,"共同成本费用")</f>
        <v>5739755.77</v>
      </c>
      <c r="K36" s="347">
        <f>SUMIFS('附表7-扣除项目明细采集底稿'!Y:Y,'附表7-扣除项目明细采集底稿'!D:D,数据对照表!F1,'附表7-扣除项目明细采集底稿'!V:V,"共同成本费用")</f>
        <v>3491885.86</v>
      </c>
      <c r="L36" s="348">
        <f t="shared" si="4"/>
        <v>17906848.43</v>
      </c>
      <c r="M36" s="348">
        <f t="shared" si="5"/>
        <v>23291159.27</v>
      </c>
    </row>
    <row r="37" s="329" customFormat="1" ht="27.95" customHeight="1" spans="1:13">
      <c r="A37" s="345">
        <v>32</v>
      </c>
      <c r="B37" s="345"/>
      <c r="C37" s="345" t="s">
        <v>378</v>
      </c>
      <c r="D37" s="349" t="str">
        <f>数据对照表!F2</f>
        <v>开发小区内道路工程支出</v>
      </c>
      <c r="E37" s="347">
        <f>SUMIFS('附表7-扣除项目明细采集底稿'!W:W,'附表7-扣除项目明细采集底稿'!E:E,数据对照表!F2,'附表7-扣除项目明细采集底稿'!V:V,"直接归集成本费用")</f>
        <v>107104.07</v>
      </c>
      <c r="F37" s="347">
        <f>SUMIFS('附表7-扣除项目明细采集底稿'!X:X,'附表7-扣除项目明细采集底稿'!E:E,数据对照表!F2,'附表7-扣除项目明细采集底稿'!V:V,"直接归集成本费用")</f>
        <v>70863</v>
      </c>
      <c r="G37" s="347">
        <f>SUMIFS('附表7-扣除项目明细采集底稿'!Y:Y,'附表7-扣除项目明细采集底稿'!E:E,数据对照表!F2,'附表7-扣除项目明细采集底稿'!V:V,"直接归集成本费用")</f>
        <v>20263.01</v>
      </c>
      <c r="H37" s="348">
        <f t="shared" si="3"/>
        <v>198230.08</v>
      </c>
      <c r="I37" s="347">
        <f>SUMIFS('附表7-扣除项目明细采集底稿'!W:W,'附表7-扣除项目明细采集底稿'!E:E,数据对照表!F2,'附表7-扣除项目明细采集底稿'!V:V,"共同成本费用")</f>
        <v>554835.37</v>
      </c>
      <c r="J37" s="347">
        <f>SUMIFS('附表7-扣除项目明细采集底稿'!X:X,'附表7-扣除项目明细采集底稿'!E:E,数据对照表!F2,'附表7-扣除项目明细采集底稿'!V:V,"共同成本费用")</f>
        <v>367094.37</v>
      </c>
      <c r="K37" s="347">
        <f>SUMIFS('附表7-扣除项目明细采集底稿'!Y:Y,'附表7-扣除项目明细采集底稿'!E:E,数据对照表!F2,'附表7-扣除项目明细采集底稿'!V:V,"共同成本费用")</f>
        <v>223328.6</v>
      </c>
      <c r="L37" s="348">
        <f t="shared" si="4"/>
        <v>1145258.34</v>
      </c>
      <c r="M37" s="348">
        <f t="shared" si="5"/>
        <v>1343488.42</v>
      </c>
    </row>
    <row r="38" s="329" customFormat="1" ht="24" customHeight="1" spans="1:13">
      <c r="A38" s="345">
        <v>33</v>
      </c>
      <c r="B38" s="345"/>
      <c r="C38" s="345"/>
      <c r="D38" s="349" t="str">
        <f>数据对照表!F3</f>
        <v>供水工程支出</v>
      </c>
      <c r="E38" s="347">
        <f>SUMIFS('附表7-扣除项目明细采集底稿'!W:W,'附表7-扣除项目明细采集底稿'!E:E,数据对照表!F3,'附表7-扣除项目明细采集底稿'!V:V,"直接归集成本费用")</f>
        <v>38963.88</v>
      </c>
      <c r="F38" s="347">
        <f>SUMIFS('附表7-扣除项目明细采集底稿'!X:X,'附表7-扣除项目明细采集底稿'!E:E,数据对照表!F3,'附表7-扣除项目明细采集底稿'!V:V,"直接归集成本费用")</f>
        <v>25779.58</v>
      </c>
      <c r="G38" s="347">
        <f>SUMIFS('附表7-扣除项目明细采集底稿'!Y:Y,'附表7-扣除项目明细采集底稿'!E:E,数据对照表!F3,'附表7-扣除项目明细采集底稿'!V:V,"直接归集成本费用")</f>
        <v>7371.58</v>
      </c>
      <c r="H38" s="348">
        <f t="shared" ref="H38:H49" si="6">SUM(E38:G38)</f>
        <v>72115.04</v>
      </c>
      <c r="I38" s="347">
        <f>SUMIFS('附表7-扣除项目明细采集底稿'!W:W,'附表7-扣除项目明细采集底稿'!E:E,数据对照表!F3,'附表7-扣除项目明细采集底稿'!V:V,"共同成本费用")</f>
        <v>13021.7</v>
      </c>
      <c r="J38" s="347">
        <f>SUMIFS('附表7-扣除项目明细采集底稿'!X:X,'附表7-扣除项目明细采集底稿'!E:E,数据对照表!F3,'附表7-扣除项目明细采集底稿'!V:V,"共同成本费用")</f>
        <v>8615.51</v>
      </c>
      <c r="K38" s="347">
        <f>SUMIFS('附表7-扣除项目明细采集底稿'!Y:Y,'附表7-扣除项目明细采集底稿'!E:E,数据对照表!F3,'附表7-扣除项目明细采集底稿'!V:V,"共同成本费用")</f>
        <v>5241.42</v>
      </c>
      <c r="L38" s="348">
        <f t="shared" ref="L38:L49" si="7">SUM(I38:K38)</f>
        <v>26878.63</v>
      </c>
      <c r="M38" s="348">
        <f t="shared" ref="M38:M49" si="8">H38+L38</f>
        <v>98993.67</v>
      </c>
    </row>
    <row r="39" s="329" customFormat="1" ht="24" customHeight="1" spans="1:13">
      <c r="A39" s="345">
        <v>34</v>
      </c>
      <c r="B39" s="345"/>
      <c r="C39" s="345"/>
      <c r="D39" s="349" t="str">
        <f>数据对照表!F4</f>
        <v>供电工程支出</v>
      </c>
      <c r="E39" s="347">
        <f>SUMIFS('附表7-扣除项目明细采集底稿'!W:W,'附表7-扣除项目明细采集底稿'!E:E,数据对照表!F4,'附表7-扣除项目明细采集底稿'!V:V,"直接归集成本费用")</f>
        <v>456668.74</v>
      </c>
      <c r="F39" s="347">
        <f>SUMIFS('附表7-扣除项目明细采集底稿'!X:X,'附表7-扣除项目明细采集底稿'!E:E,数据对照表!F4,'附表7-扣除项目明细采集底稿'!V:V,"直接归集成本费用")</f>
        <v>302144.61</v>
      </c>
      <c r="G39" s="347">
        <f>SUMIFS('附表7-扣除项目明细采集底稿'!Y:Y,'附表7-扣除项目明细采集底稿'!E:E,数据对照表!F4,'附表7-扣除项目明细采集底稿'!V:V,"直接归集成本费用")</f>
        <v>86397.16</v>
      </c>
      <c r="H39" s="348">
        <f t="shared" si="6"/>
        <v>845210.51</v>
      </c>
      <c r="I39" s="347">
        <f>SUMIFS('附表7-扣除项目明细采集底稿'!W:W,'附表7-扣除项目明细采集底稿'!E:E,数据对照表!F4,'附表7-扣除项目明细采集底稿'!V:V,"共同成本费用")</f>
        <v>279067.48</v>
      </c>
      <c r="J39" s="347">
        <f>SUMIFS('附表7-扣除项目明细采集底稿'!X:X,'附表7-扣除项目明细采集底稿'!E:E,数据对照表!F4,'附表7-扣除项目明细采集底稿'!V:V,"共同成本费用")</f>
        <v>184638.73</v>
      </c>
      <c r="K39" s="347">
        <f>SUMIFS('附表7-扣除项目明细采集底稿'!Y:Y,'附表7-扣除项目明细采集底稿'!E:E,数据对照表!F4,'附表7-扣除项目明细采集底稿'!V:V,"共同成本费用")</f>
        <v>112328.36</v>
      </c>
      <c r="L39" s="348">
        <f t="shared" si="7"/>
        <v>576034.57</v>
      </c>
      <c r="M39" s="348">
        <f t="shared" si="8"/>
        <v>1421245.08</v>
      </c>
    </row>
    <row r="40" s="329" customFormat="1" ht="24" customHeight="1" spans="1:13">
      <c r="A40" s="345">
        <v>35</v>
      </c>
      <c r="B40" s="345"/>
      <c r="C40" s="345"/>
      <c r="D40" s="349" t="str">
        <f>数据对照表!F5</f>
        <v>供气工程支出</v>
      </c>
      <c r="E40" s="347">
        <f>SUMIFS('附表7-扣除项目明细采集底稿'!W:W,'附表7-扣除项目明细采集底稿'!E:E,数据对照表!F5,'附表7-扣除项目明细采集底稿'!V:V,"直接归集成本费用")</f>
        <v>828653.1</v>
      </c>
      <c r="F40" s="347">
        <f>SUMIFS('附表7-扣除项目明细采集底稿'!X:X,'附表7-扣除项目明细采集底稿'!E:E,数据对照表!F5,'附表7-扣除项目明细采集底稿'!V:V,"直接归集成本费用")</f>
        <v>548259.72</v>
      </c>
      <c r="G40" s="347">
        <f>SUMIFS('附表7-扣除项目明细采集底稿'!Y:Y,'附表7-扣除项目明细采集底稿'!E:E,数据对照表!F5,'附表7-扣除项目明细采集底稿'!V:V,"直接归集成本费用")</f>
        <v>398492.21</v>
      </c>
      <c r="H40" s="348">
        <f t="shared" si="6"/>
        <v>1775405.03</v>
      </c>
      <c r="I40" s="347">
        <f>SUMIFS('附表7-扣除项目明细采集底稿'!W:W,'附表7-扣除项目明细采集底稿'!E:E,数据对照表!F5,'附表7-扣除项目明细采集底稿'!V:V,"共同成本费用")</f>
        <v>0</v>
      </c>
      <c r="J40" s="347">
        <f>SUMIFS('附表7-扣除项目明细采集底稿'!X:X,'附表7-扣除项目明细采集底稿'!E:E,数据对照表!F5,'附表7-扣除项目明细采集底稿'!V:V,"共同成本费用")</f>
        <v>0</v>
      </c>
      <c r="K40" s="347">
        <f>SUMIFS('附表7-扣除项目明细采集底稿'!Y:Y,'附表7-扣除项目明细采集底稿'!E:E,数据对照表!F5,'附表7-扣除项目明细采集底稿'!V:V,"共同成本费用")</f>
        <v>0</v>
      </c>
      <c r="L40" s="348">
        <f t="shared" si="7"/>
        <v>0</v>
      </c>
      <c r="M40" s="348">
        <f t="shared" si="8"/>
        <v>1775405.03</v>
      </c>
    </row>
    <row r="41" s="329" customFormat="1" ht="24" customHeight="1" spans="1:13">
      <c r="A41" s="345">
        <v>36</v>
      </c>
      <c r="B41" s="345"/>
      <c r="C41" s="345"/>
      <c r="D41" s="349" t="str">
        <f>数据对照表!F6</f>
        <v>排污工程支出</v>
      </c>
      <c r="E41" s="347">
        <f>SUMIFS('附表7-扣除项目明细采集底稿'!W:W,'附表7-扣除项目明细采集底稿'!E:E,数据对照表!F6,'附表7-扣除项目明细采集底稿'!V:V,"直接归集成本费用")</f>
        <v>0</v>
      </c>
      <c r="F41" s="347">
        <f>SUMIFS('附表7-扣除项目明细采集底稿'!X:X,'附表7-扣除项目明细采集底稿'!E:E,数据对照表!F6,'附表7-扣除项目明细采集底稿'!V:V,"直接归集成本费用")</f>
        <v>0</v>
      </c>
      <c r="G41" s="347">
        <f>SUMIFS('附表7-扣除项目明细采集底稿'!Y:Y,'附表7-扣除项目明细采集底稿'!E:E,数据对照表!F6,'附表7-扣除项目明细采集底稿'!V:V,"直接归集成本费用")</f>
        <v>0</v>
      </c>
      <c r="H41" s="348">
        <f t="shared" si="6"/>
        <v>0</v>
      </c>
      <c r="I41" s="347">
        <f>SUMIFS('附表7-扣除项目明细采集底稿'!W:W,'附表7-扣除项目明细采集底稿'!E:E,数据对照表!F6,'附表7-扣除项目明细采集底稿'!V:V,"共同成本费用")</f>
        <v>579343.72</v>
      </c>
      <c r="J41" s="347">
        <f>SUMIFS('附表7-扣除项目明细采集底稿'!X:X,'附表7-扣除项目明细采集底稿'!E:E,数据对照表!F6,'附表7-扣除项目明细采集底稿'!V:V,"共同成本费用")</f>
        <v>383309.74</v>
      </c>
      <c r="K41" s="347">
        <f>SUMIFS('附表7-扣除项目明细采集底稿'!Y:Y,'附表7-扣除项目明细采集底稿'!E:E,数据对照表!F6,'附表7-扣除项目明细采集底稿'!V:V,"共同成本费用")</f>
        <v>233193.53</v>
      </c>
      <c r="L41" s="348">
        <f t="shared" si="7"/>
        <v>1195846.99</v>
      </c>
      <c r="M41" s="348">
        <f t="shared" si="8"/>
        <v>1195846.99</v>
      </c>
    </row>
    <row r="42" s="329" customFormat="1" ht="24" customHeight="1" spans="1:13">
      <c r="A42" s="345">
        <v>37</v>
      </c>
      <c r="B42" s="345"/>
      <c r="C42" s="345"/>
      <c r="D42" s="349" t="str">
        <f>数据对照表!F7</f>
        <v>排洪工程支出</v>
      </c>
      <c r="E42" s="347">
        <f>SUMIFS('附表7-扣除项目明细采集底稿'!W:W,'附表7-扣除项目明细采集底稿'!E:E,数据对照表!F7,'附表7-扣除项目明细采集底稿'!V:V,"直接归集成本费用")</f>
        <v>0</v>
      </c>
      <c r="F42" s="347">
        <f>SUMIFS('附表7-扣除项目明细采集底稿'!X:X,'附表7-扣除项目明细采集底稿'!E:E,数据对照表!F7,'附表7-扣除项目明细采集底稿'!V:V,"直接归集成本费用")</f>
        <v>0</v>
      </c>
      <c r="G42" s="347">
        <f>SUMIFS('附表7-扣除项目明细采集底稿'!Y:Y,'附表7-扣除项目明细采集底稿'!E:E,数据对照表!F7,'附表7-扣除项目明细采集底稿'!V:V,"直接归集成本费用")</f>
        <v>0</v>
      </c>
      <c r="H42" s="348">
        <f t="shared" si="6"/>
        <v>0</v>
      </c>
      <c r="I42" s="347">
        <f>SUMIFS('附表7-扣除项目明细采集底稿'!W:W,'附表7-扣除项目明细采集底稿'!E:E,数据对照表!F7,'附表7-扣除项目明细采集底稿'!V:V,"共同成本费用")</f>
        <v>0</v>
      </c>
      <c r="J42" s="347">
        <f>SUMIFS('附表7-扣除项目明细采集底稿'!X:X,'附表7-扣除项目明细采集底稿'!E:E,数据对照表!F7,'附表7-扣除项目明细采集底稿'!V:V,"共同成本费用")</f>
        <v>0</v>
      </c>
      <c r="K42" s="347">
        <f>SUMIFS('附表7-扣除项目明细采集底稿'!Y:Y,'附表7-扣除项目明细采集底稿'!E:E,数据对照表!F7,'附表7-扣除项目明细采集底稿'!V:V,"共同成本费用")</f>
        <v>0</v>
      </c>
      <c r="L42" s="348">
        <f t="shared" si="7"/>
        <v>0</v>
      </c>
      <c r="M42" s="348">
        <f t="shared" si="8"/>
        <v>0</v>
      </c>
    </row>
    <row r="43" s="329" customFormat="1" ht="24" customHeight="1" spans="1:13">
      <c r="A43" s="345">
        <v>38</v>
      </c>
      <c r="B43" s="345"/>
      <c r="C43" s="345"/>
      <c r="D43" s="349" t="str">
        <f>数据对照表!F8</f>
        <v>通讯工程支出</v>
      </c>
      <c r="E43" s="347">
        <f>SUMIFS('附表7-扣除项目明细采集底稿'!W:W,'附表7-扣除项目明细采集底稿'!E:E,数据对照表!F8,'附表7-扣除项目明细采集底稿'!V:V,"直接归集成本费用")</f>
        <v>231149.37</v>
      </c>
      <c r="F43" s="347">
        <f>SUMIFS('附表7-扣除项目明细采集底稿'!X:X,'附表7-扣除项目明细采集底稿'!E:E,数据对照表!F8,'附表7-扣除项目明细采集底稿'!V:V,"直接归集成本费用")</f>
        <v>152934.79</v>
      </c>
      <c r="G43" s="347">
        <f>SUMIFS('附表7-扣除项目明细采集底稿'!Y:Y,'附表7-扣除项目明细采集底稿'!E:E,数据对照表!F8,'附表7-扣除项目明细采集底稿'!V:V,"直接归集成本费用")</f>
        <v>43731.14</v>
      </c>
      <c r="H43" s="348">
        <f t="shared" si="6"/>
        <v>427815.3</v>
      </c>
      <c r="I43" s="347">
        <f>SUMIFS('附表7-扣除项目明细采集底稿'!W:W,'附表7-扣除项目明细采集底稿'!E:E,数据对照表!F8,'附表7-扣除项目明细采集底稿'!V:V,"共同成本费用")</f>
        <v>100729.95</v>
      </c>
      <c r="J43" s="347">
        <f>SUMIFS('附表7-扣除项目明细采集底稿'!X:X,'附表7-扣除项目明细采集底稿'!E:E,数据对照表!F8,'附表7-扣除项目明细采集底稿'!V:V,"共同成本费用")</f>
        <v>66645.7</v>
      </c>
      <c r="K43" s="347">
        <f>SUMIFS('附表7-扣除项目明细采集底稿'!Y:Y,'附表7-扣除项目明细采集底稿'!E:E,数据对照表!F8,'附表7-扣除项目明细采集底稿'!V:V,"共同成本费用")</f>
        <v>40545.14</v>
      </c>
      <c r="L43" s="348">
        <f t="shared" si="7"/>
        <v>207920.79</v>
      </c>
      <c r="M43" s="348">
        <f t="shared" si="8"/>
        <v>635736.09</v>
      </c>
    </row>
    <row r="44" s="329" customFormat="1" ht="24" customHeight="1" spans="1:13">
      <c r="A44" s="345">
        <v>39</v>
      </c>
      <c r="B44" s="345"/>
      <c r="C44" s="345"/>
      <c r="D44" s="349" t="str">
        <f>数据对照表!F9</f>
        <v>照明工程支出</v>
      </c>
      <c r="E44" s="347">
        <f>SUMIFS('附表7-扣除项目明细采集底稿'!W:W,'附表7-扣除项目明细采集底稿'!E:E,数据对照表!F9,'附表7-扣除项目明细采集底稿'!V:V,"直接归集成本费用")</f>
        <v>550701.62</v>
      </c>
      <c r="F44" s="347">
        <f>SUMIFS('附表7-扣除项目明细采集底稿'!X:X,'附表7-扣除项目明细采集底稿'!E:E,数据对照表!F9,'附表7-扣除项目明细采集底稿'!V:V,"直接归集成本费用")</f>
        <v>364359.36</v>
      </c>
      <c r="G44" s="347">
        <f>SUMIFS('附表7-扣除项目明细采集底稿'!Y:Y,'附表7-扣除项目明细采集底稿'!E:E,数据对照表!F9,'附表7-扣除项目明细采集底稿'!V:V,"直接归集成本费用")</f>
        <v>364303.76</v>
      </c>
      <c r="H44" s="348">
        <f t="shared" si="6"/>
        <v>1279364.74</v>
      </c>
      <c r="I44" s="347">
        <f>SUMIFS('附表7-扣除项目明细采集底稿'!W:W,'附表7-扣除项目明细采集底稿'!E:E,数据对照表!F9,'附表7-扣除项目明细采集底稿'!V:V,"共同成本费用")</f>
        <v>1154274.39</v>
      </c>
      <c r="J44" s="347">
        <f>SUMIFS('附表7-扣除项目明细采集底稿'!X:X,'附表7-扣除项目明细采集底稿'!E:E,数据对照表!F9,'附表7-扣除项目明细采集底稿'!V:V,"共同成本费用")</f>
        <v>763699.72</v>
      </c>
      <c r="K44" s="347">
        <f>SUMIFS('附表7-扣除项目明细采集底稿'!Y:Y,'附表7-扣除项目明细采集底稿'!E:E,数据对照表!F9,'附表7-扣除项目明细采集底稿'!V:V,"共同成本费用")</f>
        <v>464610.75</v>
      </c>
      <c r="L44" s="348">
        <f t="shared" si="7"/>
        <v>2382584.86</v>
      </c>
      <c r="M44" s="348">
        <f t="shared" si="8"/>
        <v>3661949.6</v>
      </c>
    </row>
    <row r="45" s="329" customFormat="1" ht="24" customHeight="1" spans="1:13">
      <c r="A45" s="345">
        <v>40</v>
      </c>
      <c r="B45" s="345"/>
      <c r="C45" s="345"/>
      <c r="D45" s="349" t="str">
        <f>数据对照表!F10</f>
        <v>环卫工程支出</v>
      </c>
      <c r="E45" s="347">
        <f>SUMIFS('附表7-扣除项目明细采集底稿'!W:W,'附表7-扣除项目明细采集底稿'!E:E,数据对照表!F10,'附表7-扣除项目明细采集底稿'!V:V,"直接归集成本费用")</f>
        <v>0</v>
      </c>
      <c r="F45" s="347">
        <f>SUMIFS('附表7-扣除项目明细采集底稿'!X:X,'附表7-扣除项目明细采集底稿'!E:E,数据对照表!F10,'附表7-扣除项目明细采集底稿'!V:V,"直接归集成本费用")</f>
        <v>0</v>
      </c>
      <c r="G45" s="347">
        <f>SUMIFS('附表7-扣除项目明细采集底稿'!Y:Y,'附表7-扣除项目明细采集底稿'!E:E,数据对照表!F10,'附表7-扣除项目明细采集底稿'!V:V,"直接归集成本费用")</f>
        <v>0</v>
      </c>
      <c r="H45" s="348">
        <f t="shared" si="6"/>
        <v>0</v>
      </c>
      <c r="I45" s="347">
        <f>SUMIFS('附表7-扣除项目明细采集底稿'!W:W,'附表7-扣除项目明细采集底稿'!E:E,数据对照表!F10,'附表7-扣除项目明细采集底稿'!V:V,"共同成本费用")</f>
        <v>226196.65</v>
      </c>
      <c r="J45" s="347">
        <f>SUMIFS('附表7-扣除项目明细采集底稿'!X:X,'附表7-扣除项目明细采集底稿'!E:E,数据对照表!F10,'附表7-扣除项目明细采集底稿'!V:V,"共同成本费用")</f>
        <v>149657.94</v>
      </c>
      <c r="K45" s="347">
        <f>SUMIFS('附表7-扣除项目明细采集底稿'!Y:Y,'附表7-扣除项目明细采集底稿'!E:E,数据对照表!F10,'附表7-扣除项目明细采集底稿'!V:V,"共同成本费用")</f>
        <v>91047.15</v>
      </c>
      <c r="L45" s="348">
        <f t="shared" si="7"/>
        <v>466901.74</v>
      </c>
      <c r="M45" s="348">
        <f t="shared" si="8"/>
        <v>466901.74</v>
      </c>
    </row>
    <row r="46" s="329" customFormat="1" ht="24" customHeight="1" spans="1:13">
      <c r="A46" s="345">
        <v>41</v>
      </c>
      <c r="B46" s="345"/>
      <c r="C46" s="345"/>
      <c r="D46" s="349" t="str">
        <f>数据对照表!F11</f>
        <v>绿化费用</v>
      </c>
      <c r="E46" s="347">
        <f>SUMIFS('附表7-扣除项目明细采集底稿'!W:W,'附表7-扣除项目明细采集底稿'!E:E,数据对照表!F11,'附表7-扣除项目明细采集底稿'!V:V,"直接归集成本费用")</f>
        <v>69821.29</v>
      </c>
      <c r="F46" s="347">
        <f>SUMIFS('附表7-扣除项目明细采集底稿'!X:X,'附表7-扣除项目明细采集底稿'!E:E,数据对照表!F11,'附表7-扣除项目明细采集底稿'!V:V,"直接归集成本费用")</f>
        <v>46195.68</v>
      </c>
      <c r="G46" s="347">
        <f>SUMIFS('附表7-扣除项目明细采集底稿'!Y:Y,'附表7-扣除项目明细采集底稿'!E:E,数据对照表!F11,'附表7-扣除项目明细采集底稿'!V:V,"直接归集成本费用")</f>
        <v>21780</v>
      </c>
      <c r="H46" s="348">
        <f t="shared" si="6"/>
        <v>137796.97</v>
      </c>
      <c r="I46" s="347">
        <f>SUMIFS('附表7-扣除项目明细采集底稿'!W:W,'附表7-扣除项目明细采集底稿'!E:E,数据对照表!F11,'附表7-扣除项目明细采集底稿'!V:V,"共同成本费用")</f>
        <v>5681784.12</v>
      </c>
      <c r="J46" s="347">
        <f>SUMIFS('附表7-扣除项目明细采集底稿'!X:X,'附表7-扣除项目明细采集底稿'!E:E,数据对照表!F11,'附表7-扣除项目明细采集底稿'!V:V,"共同成本费用")</f>
        <v>3759224.9</v>
      </c>
      <c r="K46" s="347">
        <f>SUMIFS('附表7-扣除项目明细采集底稿'!Y:Y,'附表7-扣除项目明细采集底稿'!E:E,数据对照表!F11,'附表7-扣除项目明细采集底稿'!V:V,"共同成本费用")</f>
        <v>2286993.52</v>
      </c>
      <c r="L46" s="348">
        <f t="shared" si="7"/>
        <v>11728002.54</v>
      </c>
      <c r="M46" s="348">
        <f t="shared" si="8"/>
        <v>11865799.51</v>
      </c>
    </row>
    <row r="47" s="329" customFormat="1" ht="27.95" customHeight="1" spans="1:13">
      <c r="A47" s="345">
        <v>42</v>
      </c>
      <c r="B47" s="345"/>
      <c r="C47" s="345"/>
      <c r="D47" s="349" t="str">
        <f>数据对照表!F12</f>
        <v>其他设施工程发生的支出</v>
      </c>
      <c r="E47" s="347">
        <f>SUMIFS('附表7-扣除项目明细采集底稿'!W:W,'附表7-扣除项目明细采集底稿'!E:E,数据对照表!F12,'附表7-扣除项目明细采集底稿'!V:V,"直接归集成本费用")</f>
        <v>143233.23</v>
      </c>
      <c r="F47" s="347">
        <f>SUMIFS('附表7-扣除项目明细采集底稿'!X:X,'附表7-扣除项目明细采集底稿'!E:E,数据对照表!F12,'附表7-扣除项目明细采集底稿'!V:V,"直接归集成本费用")</f>
        <v>94767.06</v>
      </c>
      <c r="G47" s="347">
        <f>SUMIFS('附表7-扣除项目明细采集底稿'!Y:Y,'附表7-扣除项目明细采集底稿'!E:E,数据对照表!F12,'附表7-扣除项目明细采集底稿'!V:V,"直接归集成本费用")</f>
        <v>410372.88</v>
      </c>
      <c r="H47" s="348">
        <f t="shared" si="6"/>
        <v>648373.17</v>
      </c>
      <c r="I47" s="347">
        <f>SUMIFS('附表7-扣除项目明细采集底稿'!W:W,'附表7-扣除项目明细采集底稿'!E:E,数据对照表!F12,'附表7-扣除项目明细采集底稿'!V:V,"共同成本费用")</f>
        <v>85953.42</v>
      </c>
      <c r="J47" s="347">
        <f>SUMIFS('附表7-扣除项目明细采集底稿'!X:X,'附表7-扣除项目明细采集底稿'!E:E,数据对照表!F12,'附表7-扣除项目明细采集底稿'!V:V,"共同成本费用")</f>
        <v>56869.16</v>
      </c>
      <c r="K47" s="347">
        <f>SUMIFS('附表7-扣除项目明细采集底稿'!Y:Y,'附表7-扣除项目明细采集底稿'!E:E,数据对照表!F12,'附表7-扣除项目明细采集底稿'!V:V,"共同成本费用")</f>
        <v>34597.39</v>
      </c>
      <c r="L47" s="348">
        <f t="shared" si="7"/>
        <v>177419.97</v>
      </c>
      <c r="M47" s="348">
        <f t="shared" si="8"/>
        <v>825793.14</v>
      </c>
    </row>
    <row r="48" s="329" customFormat="1" ht="24" customHeight="1" spans="1:13">
      <c r="A48" s="345">
        <v>43</v>
      </c>
      <c r="B48" s="345"/>
      <c r="C48" s="349" t="str">
        <f>数据对照表!G1</f>
        <v>公共配套设施费</v>
      </c>
      <c r="D48" s="349"/>
      <c r="E48" s="347">
        <f>SUMIFS('附表7-扣除项目明细采集底稿'!W:W,'附表7-扣除项目明细采集底稿'!D:D,数据对照表!G1,'附表7-扣除项目明细采集底稿'!V:V,"直接归集成本费用")</f>
        <v>2543840.05</v>
      </c>
      <c r="F48" s="347">
        <f>SUMIFS('附表7-扣除项目明细采集底稿'!X:X,'附表7-扣除项目明细采集底稿'!D:D,数据对照表!G1,'附表7-扣除项目明细采集底稿'!V:V,"直接归集成本费用")</f>
        <v>0</v>
      </c>
      <c r="G48" s="347">
        <f>SUMIFS('附表7-扣除项目明细采集底稿'!Y:Y,'附表7-扣除项目明细采集底稿'!D:D,数据对照表!G1,'附表7-扣除项目明细采集底稿'!V:V,"直接归集成本费用")</f>
        <v>574010.31</v>
      </c>
      <c r="H48" s="348">
        <f t="shared" si="6"/>
        <v>3117850.36</v>
      </c>
      <c r="I48" s="347">
        <f>SUMIFS('附表7-扣除项目明细采集底稿'!W:W,'附表7-扣除项目明细采集底稿'!D:D,数据对照表!G1,'附表7-扣除项目明细采集底稿'!V:V,"共同成本费用")</f>
        <v>1775695.77</v>
      </c>
      <c r="J48" s="347">
        <f>SUMIFS('附表7-扣除项目明细采集底稿'!X:X,'附表7-扣除项目明细采集底稿'!D:D,数据对照表!G1,'附表7-扣除项目明细采集底稿'!V:V,"共同成本费用")</f>
        <v>1174849.21</v>
      </c>
      <c r="K48" s="347">
        <f>SUMIFS('附表7-扣除项目明细采集底稿'!Y:Y,'附表7-扣除项目明细采集底稿'!D:D,数据对照表!G1,'附表7-扣除项目明细采集底稿'!V:V,"共同成本费用")</f>
        <v>714741.1</v>
      </c>
      <c r="L48" s="348">
        <f t="shared" si="7"/>
        <v>3665286.08</v>
      </c>
      <c r="M48" s="348">
        <f t="shared" si="8"/>
        <v>6783136.44</v>
      </c>
    </row>
    <row r="49" s="329" customFormat="1" ht="24" customHeight="1" spans="1:13">
      <c r="A49" s="345">
        <v>44</v>
      </c>
      <c r="B49" s="345"/>
      <c r="C49" s="345" t="s">
        <v>378</v>
      </c>
      <c r="D49" s="349" t="str">
        <f>数据对照表!G2</f>
        <v>居委会用房费用</v>
      </c>
      <c r="E49" s="347">
        <f>SUMIFS('附表7-扣除项目明细采集底稿'!W:W,'附表7-扣除项目明细采集底稿'!E:E,数据对照表!G2,'附表7-扣除项目明细采集底稿'!V:V,"直接归集成本费用")</f>
        <v>0</v>
      </c>
      <c r="F49" s="347">
        <f>SUMIFS('附表7-扣除项目明细采集底稿'!X:X,'附表7-扣除项目明细采集底稿'!E:E,数据对照表!G2,'附表7-扣除项目明细采集底稿'!V:V,"直接归集成本费用")</f>
        <v>0</v>
      </c>
      <c r="G49" s="347">
        <f>SUMIFS('附表7-扣除项目明细采集底稿'!Y:Y,'附表7-扣除项目明细采集底稿'!E:E,数据对照表!G2,'附表7-扣除项目明细采集底稿'!V:V,"直接归集成本费用")</f>
        <v>0</v>
      </c>
      <c r="H49" s="348">
        <f t="shared" si="6"/>
        <v>0</v>
      </c>
      <c r="I49" s="347">
        <f>SUMIFS('附表7-扣除项目明细采集底稿'!W:W,'附表7-扣除项目明细采集底稿'!E:E,数据对照表!G2,'附表7-扣除项目明细采集底稿'!V:V,"共同成本费用")</f>
        <v>577720.21</v>
      </c>
      <c r="J49" s="347">
        <f>SUMIFS('附表7-扣除项目明细采集底稿'!X:X,'附表7-扣除项目明细采集底稿'!E:E,数据对照表!G2,'附表7-扣除项目明细采集底稿'!V:V,"共同成本费用")</f>
        <v>382235.59</v>
      </c>
      <c r="K49" s="347">
        <f>SUMIFS('附表7-扣除项目明细采集底稿'!Y:Y,'附表7-扣除项目明细采集底稿'!E:E,数据对照表!G2,'附表7-扣除项目明细采集底稿'!V:V,"共同成本费用")</f>
        <v>232540.06</v>
      </c>
      <c r="L49" s="348">
        <f t="shared" si="7"/>
        <v>1192495.86</v>
      </c>
      <c r="M49" s="348">
        <f t="shared" si="8"/>
        <v>1192495.86</v>
      </c>
    </row>
    <row r="50" s="329" customFormat="1" ht="24" customHeight="1" spans="1:13">
      <c r="A50" s="345">
        <v>45</v>
      </c>
      <c r="B50" s="345"/>
      <c r="C50" s="345"/>
      <c r="D50" s="349" t="str">
        <f>数据对照表!G3</f>
        <v>派出所用房费用</v>
      </c>
      <c r="E50" s="347">
        <f>SUMIFS('附表7-扣除项目明细采集底稿'!W:W,'附表7-扣除项目明细采集底稿'!E:E,数据对照表!G3,'附表7-扣除项目明细采集底稿'!V:V,"直接归集成本费用")</f>
        <v>0</v>
      </c>
      <c r="F50" s="347">
        <f>SUMIFS('附表7-扣除项目明细采集底稿'!X:X,'附表7-扣除项目明细采集底稿'!E:E,数据对照表!G3,'附表7-扣除项目明细采集底稿'!V:V,"直接归集成本费用")</f>
        <v>0</v>
      </c>
      <c r="G50" s="347">
        <f>SUMIFS('附表7-扣除项目明细采集底稿'!Y:Y,'附表7-扣除项目明细采集底稿'!E:E,数据对照表!G3,'附表7-扣除项目明细采集底稿'!V:V,"直接归集成本费用")</f>
        <v>0</v>
      </c>
      <c r="H50" s="348">
        <f t="shared" ref="H50:H66" si="9">SUM(E50:G50)</f>
        <v>0</v>
      </c>
      <c r="I50" s="347">
        <f>SUMIFS('附表7-扣除项目明细采集底稿'!W:W,'附表7-扣除项目明细采集底稿'!E:E,数据对照表!G3,'附表7-扣除项目明细采集底稿'!V:V,"共同成本费用")</f>
        <v>3280.36</v>
      </c>
      <c r="J50" s="347">
        <f>SUMIFS('附表7-扣除项目明细采集底稿'!X:X,'附表7-扣除项目明细采集底稿'!E:E,数据对照表!G3,'附表7-扣除项目明细采集底稿'!V:V,"共同成本费用")</f>
        <v>2170.37</v>
      </c>
      <c r="K50" s="347">
        <f>SUMIFS('附表7-扣除项目明细采集底稿'!Y:Y,'附表7-扣除项目明细采集底稿'!E:E,数据对照表!G3,'附表7-扣除项目明细采集底稿'!V:V,"共同成本费用")</f>
        <v>1320.39</v>
      </c>
      <c r="L50" s="348">
        <f t="shared" ref="L50:L66" si="10">SUM(I50:K50)</f>
        <v>6771.12</v>
      </c>
      <c r="M50" s="348">
        <f t="shared" ref="M50:M66" si="11">H50+L50</f>
        <v>6771.12</v>
      </c>
    </row>
    <row r="51" s="329" customFormat="1" ht="24" customHeight="1" spans="1:13">
      <c r="A51" s="345">
        <v>46</v>
      </c>
      <c r="B51" s="345"/>
      <c r="C51" s="345"/>
      <c r="D51" s="349" t="str">
        <f>数据对照表!G4</f>
        <v>会所费用</v>
      </c>
      <c r="E51" s="347">
        <f>SUMIFS('附表7-扣除项目明细采集底稿'!W:W,'附表7-扣除项目明细采集底稿'!E:E,数据对照表!G4,'附表7-扣除项目明细采集底稿'!V:V,"直接归集成本费用")</f>
        <v>0</v>
      </c>
      <c r="F51" s="347">
        <f>SUMIFS('附表7-扣除项目明细采集底稿'!X:X,'附表7-扣除项目明细采集底稿'!E:E,数据对照表!G4,'附表7-扣除项目明细采集底稿'!V:V,"直接归集成本费用")</f>
        <v>0</v>
      </c>
      <c r="G51" s="347">
        <f>SUMIFS('附表7-扣除项目明细采集底稿'!Y:Y,'附表7-扣除项目明细采集底稿'!E:E,数据对照表!G4,'附表7-扣除项目明细采集底稿'!V:V,"直接归集成本费用")</f>
        <v>0</v>
      </c>
      <c r="H51" s="348">
        <f t="shared" si="9"/>
        <v>0</v>
      </c>
      <c r="I51" s="347">
        <f>SUMIFS('附表7-扣除项目明细采集底稿'!W:W,'附表7-扣除项目明细采集底稿'!E:E,数据对照表!G4,'附表7-扣除项目明细采集底稿'!V:V,"共同成本费用")</f>
        <v>0</v>
      </c>
      <c r="J51" s="347">
        <f>SUMIFS('附表7-扣除项目明细采集底稿'!X:X,'附表7-扣除项目明细采集底稿'!E:E,数据对照表!G4,'附表7-扣除项目明细采集底稿'!V:V,"共同成本费用")</f>
        <v>0</v>
      </c>
      <c r="K51" s="347">
        <f>SUMIFS('附表7-扣除项目明细采集底稿'!Y:Y,'附表7-扣除项目明细采集底稿'!E:E,数据对照表!G4,'附表7-扣除项目明细采集底稿'!V:V,"共同成本费用")</f>
        <v>0</v>
      </c>
      <c r="L51" s="348">
        <f t="shared" si="10"/>
        <v>0</v>
      </c>
      <c r="M51" s="348">
        <f t="shared" si="11"/>
        <v>0</v>
      </c>
    </row>
    <row r="52" s="329" customFormat="1" ht="24" customHeight="1" spans="1:13">
      <c r="A52" s="345">
        <v>47</v>
      </c>
      <c r="B52" s="345"/>
      <c r="C52" s="345"/>
      <c r="D52" s="349" t="str">
        <f>数据对照表!G5</f>
        <v>非机动车库（场）费用</v>
      </c>
      <c r="E52" s="347">
        <f>SUMIFS('附表7-扣除项目明细采集底稿'!W:W,'附表7-扣除项目明细采集底稿'!E:E,数据对照表!G5,'附表7-扣除项目明细采集底稿'!V:V,"直接归集成本费用")</f>
        <v>0</v>
      </c>
      <c r="F52" s="347">
        <f>SUMIFS('附表7-扣除项目明细采集底稿'!X:X,'附表7-扣除项目明细采集底稿'!E:E,数据对照表!G5,'附表7-扣除项目明细采集底稿'!V:V,"直接归集成本费用")</f>
        <v>0</v>
      </c>
      <c r="G52" s="347">
        <f>SUMIFS('附表7-扣除项目明细采集底稿'!Y:Y,'附表7-扣除项目明细采集底稿'!E:E,数据对照表!G5,'附表7-扣除项目明细采集底稿'!V:V,"直接归集成本费用")</f>
        <v>0</v>
      </c>
      <c r="H52" s="348">
        <f t="shared" si="9"/>
        <v>0</v>
      </c>
      <c r="I52" s="347">
        <f>SUMIFS('附表7-扣除项目明细采集底稿'!W:W,'附表7-扣除项目明细采集底稿'!E:E,数据对照表!G5,'附表7-扣除项目明细采集底稿'!V:V,"共同成本费用")</f>
        <v>0</v>
      </c>
      <c r="J52" s="347">
        <f>SUMIFS('附表7-扣除项目明细采集底稿'!X:X,'附表7-扣除项目明细采集底稿'!E:E,数据对照表!G5,'附表7-扣除项目明细采集底稿'!V:V,"共同成本费用")</f>
        <v>0</v>
      </c>
      <c r="K52" s="347">
        <f>SUMIFS('附表7-扣除项目明细采集底稿'!Y:Y,'附表7-扣除项目明细采集底稿'!E:E,数据对照表!G5,'附表7-扣除项目明细采集底稿'!V:V,"共同成本费用")</f>
        <v>0</v>
      </c>
      <c r="L52" s="348">
        <f t="shared" si="10"/>
        <v>0</v>
      </c>
      <c r="M52" s="348">
        <f t="shared" si="11"/>
        <v>0</v>
      </c>
    </row>
    <row r="53" s="329" customFormat="1" ht="24" customHeight="1" spans="1:13">
      <c r="A53" s="345">
        <v>48</v>
      </c>
      <c r="B53" s="345"/>
      <c r="C53" s="345"/>
      <c r="D53" s="349" t="str">
        <f>数据对照表!G6</f>
        <v>地下人防设施费用</v>
      </c>
      <c r="E53" s="347">
        <f>SUMIFS('附表7-扣除项目明细采集底稿'!W:W,'附表7-扣除项目明细采集底稿'!E:E,数据对照表!G6,'附表7-扣除项目明细采集底稿'!V:V,"直接归集成本费用")</f>
        <v>2543840.05</v>
      </c>
      <c r="F53" s="347">
        <f>SUMIFS('附表7-扣除项目明细采集底稿'!X:X,'附表7-扣除项目明细采集底稿'!E:E,数据对照表!G6,'附表7-扣除项目明细采集底稿'!V:V,"直接归集成本费用")</f>
        <v>0</v>
      </c>
      <c r="G53" s="347">
        <f>SUMIFS('附表7-扣除项目明细采集底稿'!Y:Y,'附表7-扣除项目明细采集底稿'!E:E,数据对照表!G6,'附表7-扣除项目明细采集底稿'!V:V,"直接归集成本费用")</f>
        <v>572847.1</v>
      </c>
      <c r="H53" s="348">
        <f t="shared" si="9"/>
        <v>3116687.15</v>
      </c>
      <c r="I53" s="347">
        <f>SUMIFS('附表7-扣除项目明细采集底稿'!W:W,'附表7-扣除项目明细采集底稿'!E:E,数据对照表!G6,'附表7-扣除项目明细采集底稿'!V:V,"共同成本费用")</f>
        <v>0</v>
      </c>
      <c r="J53" s="347">
        <f>SUMIFS('附表7-扣除项目明细采集底稿'!X:X,'附表7-扣除项目明细采集底稿'!E:E,数据对照表!G6,'附表7-扣除项目明细采集底稿'!V:V,"共同成本费用")</f>
        <v>0</v>
      </c>
      <c r="K53" s="347">
        <f>SUMIFS('附表7-扣除项目明细采集底稿'!Y:Y,'附表7-扣除项目明细采集底稿'!E:E,数据对照表!G6,'附表7-扣除项目明细采集底稿'!V:V,"共同成本费用")</f>
        <v>0</v>
      </c>
      <c r="L53" s="348">
        <f t="shared" si="10"/>
        <v>0</v>
      </c>
      <c r="M53" s="348">
        <f t="shared" si="11"/>
        <v>3116687.15</v>
      </c>
    </row>
    <row r="54" s="329" customFormat="1" ht="24" customHeight="1" spans="1:13">
      <c r="A54" s="345">
        <v>49</v>
      </c>
      <c r="B54" s="345"/>
      <c r="C54" s="345"/>
      <c r="D54" s="349" t="str">
        <f>数据对照表!G7</f>
        <v>物业管理场所费用</v>
      </c>
      <c r="E54" s="347">
        <f>SUMIFS('附表7-扣除项目明细采集底稿'!W:W,'附表7-扣除项目明细采集底稿'!E:E,数据对照表!G7,'附表7-扣除项目明细采集底稿'!V:V,"直接归集成本费用")</f>
        <v>0</v>
      </c>
      <c r="F54" s="347">
        <f>SUMIFS('附表7-扣除项目明细采集底稿'!X:X,'附表7-扣除项目明细采集底稿'!E:E,数据对照表!G7,'附表7-扣除项目明细采集底稿'!V:V,"直接归集成本费用")</f>
        <v>0</v>
      </c>
      <c r="G54" s="347">
        <f>SUMIFS('附表7-扣除项目明细采集底稿'!Y:Y,'附表7-扣除项目明细采集底稿'!E:E,数据对照表!G7,'附表7-扣除项目明细采集底稿'!V:V,"直接归集成本费用")</f>
        <v>0</v>
      </c>
      <c r="H54" s="348">
        <f t="shared" si="9"/>
        <v>0</v>
      </c>
      <c r="I54" s="347">
        <f>SUMIFS('附表7-扣除项目明细采集底稿'!W:W,'附表7-扣除项目明细采集底稿'!E:E,数据对照表!G7,'附表7-扣除项目明细采集底稿'!V:V,"共同成本费用")</f>
        <v>0</v>
      </c>
      <c r="J54" s="347">
        <f>SUMIFS('附表7-扣除项目明细采集底稿'!X:X,'附表7-扣除项目明细采集底稿'!E:E,数据对照表!G7,'附表7-扣除项目明细采集底稿'!V:V,"共同成本费用")</f>
        <v>0</v>
      </c>
      <c r="K54" s="347">
        <f>SUMIFS('附表7-扣除项目明细采集底稿'!Y:Y,'附表7-扣除项目明细采集底稿'!E:E,数据对照表!G7,'附表7-扣除项目明细采集底稿'!V:V,"共同成本费用")</f>
        <v>0</v>
      </c>
      <c r="L54" s="348">
        <f t="shared" si="10"/>
        <v>0</v>
      </c>
      <c r="M54" s="348">
        <f t="shared" si="11"/>
        <v>0</v>
      </c>
    </row>
    <row r="55" s="329" customFormat="1" ht="24" customHeight="1" spans="1:13">
      <c r="A55" s="345">
        <v>50</v>
      </c>
      <c r="B55" s="345"/>
      <c r="C55" s="345"/>
      <c r="D55" s="349" t="str">
        <f>数据对照表!G8</f>
        <v>变电站费用</v>
      </c>
      <c r="E55" s="347">
        <f>SUMIFS('附表7-扣除项目明细采集底稿'!W:W,'附表7-扣除项目明细采集底稿'!E:E,数据对照表!G8,'附表7-扣除项目明细采集底稿'!V:V,"直接归集成本费用")</f>
        <v>0</v>
      </c>
      <c r="F55" s="347">
        <f>SUMIFS('附表7-扣除项目明细采集底稿'!X:X,'附表7-扣除项目明细采集底稿'!E:E,数据对照表!G8,'附表7-扣除项目明细采集底稿'!V:V,"直接归集成本费用")</f>
        <v>0</v>
      </c>
      <c r="G55" s="347">
        <f>SUMIFS('附表7-扣除项目明细采集底稿'!Y:Y,'附表7-扣除项目明细采集底稿'!E:E,数据对照表!G8,'附表7-扣除项目明细采集底稿'!V:V,"直接归集成本费用")</f>
        <v>0</v>
      </c>
      <c r="H55" s="348">
        <f t="shared" si="9"/>
        <v>0</v>
      </c>
      <c r="I55" s="347">
        <f>SUMIFS('附表7-扣除项目明细采集底稿'!W:W,'附表7-扣除项目明细采集底稿'!E:E,数据对照表!G8,'附表7-扣除项目明细采集底稿'!V:V,"共同成本费用")</f>
        <v>0</v>
      </c>
      <c r="J55" s="347">
        <f>SUMIFS('附表7-扣除项目明细采集底稿'!X:X,'附表7-扣除项目明细采集底稿'!E:E,数据对照表!G8,'附表7-扣除项目明细采集底稿'!V:V,"共同成本费用")</f>
        <v>0</v>
      </c>
      <c r="K55" s="347">
        <f>SUMIFS('附表7-扣除项目明细采集底稿'!Y:Y,'附表7-扣除项目明细采集底稿'!E:E,数据对照表!G8,'附表7-扣除项目明细采集底稿'!V:V,"共同成本费用")</f>
        <v>0</v>
      </c>
      <c r="L55" s="348">
        <f t="shared" si="10"/>
        <v>0</v>
      </c>
      <c r="M55" s="348">
        <f t="shared" si="11"/>
        <v>0</v>
      </c>
    </row>
    <row r="56" s="329" customFormat="1" ht="24" customHeight="1" spans="1:13">
      <c r="A56" s="345">
        <v>51</v>
      </c>
      <c r="B56" s="345"/>
      <c r="C56" s="345"/>
      <c r="D56" s="349" t="str">
        <f>数据对照表!G9</f>
        <v>热力站费用</v>
      </c>
      <c r="E56" s="347">
        <f>SUMIFS('附表7-扣除项目明细采集底稿'!W:W,'附表7-扣除项目明细采集底稿'!E:E,数据对照表!G9,'附表7-扣除项目明细采集底稿'!V:V,"直接归集成本费用")</f>
        <v>0</v>
      </c>
      <c r="F56" s="347">
        <f>SUMIFS('附表7-扣除项目明细采集底稿'!X:X,'附表7-扣除项目明细采集底稿'!E:E,数据对照表!G9,'附表7-扣除项目明细采集底稿'!V:V,"直接归集成本费用")</f>
        <v>0</v>
      </c>
      <c r="G56" s="347">
        <f>SUMIFS('附表7-扣除项目明细采集底稿'!Y:Y,'附表7-扣除项目明细采集底稿'!E:E,数据对照表!G9,'附表7-扣除项目明细采集底稿'!V:V,"直接归集成本费用")</f>
        <v>0</v>
      </c>
      <c r="H56" s="348">
        <f t="shared" si="9"/>
        <v>0</v>
      </c>
      <c r="I56" s="347">
        <f>SUMIFS('附表7-扣除项目明细采集底稿'!W:W,'附表7-扣除项目明细采集底稿'!E:E,数据对照表!G9,'附表7-扣除项目明细采集底稿'!V:V,"共同成本费用")</f>
        <v>0</v>
      </c>
      <c r="J56" s="347">
        <f>SUMIFS('附表7-扣除项目明细采集底稿'!X:X,'附表7-扣除项目明细采集底稿'!E:E,数据对照表!G9,'附表7-扣除项目明细采集底稿'!V:V,"共同成本费用")</f>
        <v>0</v>
      </c>
      <c r="K56" s="347">
        <f>SUMIFS('附表7-扣除项目明细采集底稿'!Y:Y,'附表7-扣除项目明细采集底稿'!E:E,数据对照表!G9,'附表7-扣除项目明细采集底稿'!V:V,"共同成本费用")</f>
        <v>0</v>
      </c>
      <c r="L56" s="348">
        <f t="shared" si="10"/>
        <v>0</v>
      </c>
      <c r="M56" s="348">
        <f t="shared" si="11"/>
        <v>0</v>
      </c>
    </row>
    <row r="57" s="329" customFormat="1" ht="24" customHeight="1" spans="1:13">
      <c r="A57" s="345">
        <v>52</v>
      </c>
      <c r="B57" s="345"/>
      <c r="C57" s="345"/>
      <c r="D57" s="349" t="str">
        <f>数据对照表!G10</f>
        <v>水厂费用</v>
      </c>
      <c r="E57" s="347">
        <f>SUMIFS('附表7-扣除项目明细采集底稿'!W:W,'附表7-扣除项目明细采集底稿'!E:E,数据对照表!G10,'附表7-扣除项目明细采集底稿'!V:V,"直接归集成本费用")</f>
        <v>0</v>
      </c>
      <c r="F57" s="347">
        <f>SUMIFS('附表7-扣除项目明细采集底稿'!X:X,'附表7-扣除项目明细采集底稿'!E:E,数据对照表!G10,'附表7-扣除项目明细采集底稿'!V:V,"直接归集成本费用")</f>
        <v>0</v>
      </c>
      <c r="G57" s="347">
        <f>SUMIFS('附表7-扣除项目明细采集底稿'!Y:Y,'附表7-扣除项目明细采集底稿'!E:E,数据对照表!G10,'附表7-扣除项目明细采集底稿'!V:V,"直接归集成本费用")</f>
        <v>0</v>
      </c>
      <c r="H57" s="348">
        <f t="shared" si="9"/>
        <v>0</v>
      </c>
      <c r="I57" s="347">
        <f>SUMIFS('附表7-扣除项目明细采集底稿'!W:W,'附表7-扣除项目明细采集底稿'!E:E,数据对照表!G10,'附表7-扣除项目明细采集底稿'!V:V,"共同成本费用")</f>
        <v>0</v>
      </c>
      <c r="J57" s="347">
        <f>SUMIFS('附表7-扣除项目明细采集底稿'!X:X,'附表7-扣除项目明细采集底稿'!E:E,数据对照表!G10,'附表7-扣除项目明细采集底稿'!V:V,"共同成本费用")</f>
        <v>0</v>
      </c>
      <c r="K57" s="347">
        <f>SUMIFS('附表7-扣除项目明细采集底稿'!Y:Y,'附表7-扣除项目明细采集底稿'!E:E,数据对照表!G10,'附表7-扣除项目明细采集底稿'!V:V,"共同成本费用")</f>
        <v>0</v>
      </c>
      <c r="L57" s="348">
        <f t="shared" si="10"/>
        <v>0</v>
      </c>
      <c r="M57" s="348">
        <f t="shared" si="11"/>
        <v>0</v>
      </c>
    </row>
    <row r="58" s="329" customFormat="1" ht="24" customHeight="1" spans="1:13">
      <c r="A58" s="345">
        <v>53</v>
      </c>
      <c r="B58" s="345"/>
      <c r="C58" s="345"/>
      <c r="D58" s="349" t="str">
        <f>数据对照表!G11</f>
        <v>文体场馆费用</v>
      </c>
      <c r="E58" s="347">
        <f>SUMIFS('附表7-扣除项目明细采集底稿'!W:W,'附表7-扣除项目明细采集底稿'!E:E,数据对照表!G11,'附表7-扣除项目明细采集底稿'!V:V,"直接归集成本费用")</f>
        <v>0</v>
      </c>
      <c r="F58" s="347">
        <f>SUMIFS('附表7-扣除项目明细采集底稿'!X:X,'附表7-扣除项目明细采集底稿'!E:E,数据对照表!G11,'附表7-扣除项目明细采集底稿'!V:V,"直接归集成本费用")</f>
        <v>0</v>
      </c>
      <c r="G58" s="347">
        <f>SUMIFS('附表7-扣除项目明细采集底稿'!Y:Y,'附表7-扣除项目明细采集底稿'!E:E,数据对照表!G11,'附表7-扣除项目明细采集底稿'!V:V,"直接归集成本费用")</f>
        <v>0</v>
      </c>
      <c r="H58" s="348">
        <f t="shared" si="9"/>
        <v>0</v>
      </c>
      <c r="I58" s="347">
        <f>SUMIFS('附表7-扣除项目明细采集底稿'!W:W,'附表7-扣除项目明细采集底稿'!E:E,数据对照表!G11,'附表7-扣除项目明细采集底稿'!V:V,"共同成本费用")</f>
        <v>0</v>
      </c>
      <c r="J58" s="347">
        <f>SUMIFS('附表7-扣除项目明细采集底稿'!X:X,'附表7-扣除项目明细采集底稿'!E:E,数据对照表!G11,'附表7-扣除项目明细采集底稿'!V:V,"共同成本费用")</f>
        <v>0</v>
      </c>
      <c r="K58" s="347">
        <f>SUMIFS('附表7-扣除项目明细采集底稿'!Y:Y,'附表7-扣除项目明细采集底稿'!E:E,数据对照表!G11,'附表7-扣除项目明细采集底稿'!V:V,"共同成本费用")</f>
        <v>0</v>
      </c>
      <c r="L58" s="348">
        <f t="shared" si="10"/>
        <v>0</v>
      </c>
      <c r="M58" s="348">
        <f t="shared" si="11"/>
        <v>0</v>
      </c>
    </row>
    <row r="59" s="329" customFormat="1" ht="24" customHeight="1" spans="1:13">
      <c r="A59" s="345">
        <v>54</v>
      </c>
      <c r="B59" s="345"/>
      <c r="C59" s="345"/>
      <c r="D59" s="349" t="str">
        <f>数据对照表!G12</f>
        <v>学校费用</v>
      </c>
      <c r="E59" s="347">
        <f>SUMIFS('附表7-扣除项目明细采集底稿'!W:W,'附表7-扣除项目明细采集底稿'!E:E,数据对照表!G12,'附表7-扣除项目明细采集底稿'!V:V,"直接归集成本费用")</f>
        <v>0</v>
      </c>
      <c r="F59" s="347">
        <f>SUMIFS('附表7-扣除项目明细采集底稿'!X:X,'附表7-扣除项目明细采集底稿'!E:E,数据对照表!G12,'附表7-扣除项目明细采集底稿'!V:V,"直接归集成本费用")</f>
        <v>0</v>
      </c>
      <c r="G59" s="347">
        <f>SUMIFS('附表7-扣除项目明细采集底稿'!Y:Y,'附表7-扣除项目明细采集底稿'!E:E,数据对照表!G12,'附表7-扣除项目明细采集底稿'!V:V,"直接归集成本费用")</f>
        <v>0</v>
      </c>
      <c r="H59" s="348">
        <f t="shared" si="9"/>
        <v>0</v>
      </c>
      <c r="I59" s="347">
        <f>SUMIFS('附表7-扣除项目明细采集底稿'!W:W,'附表7-扣除项目明细采集底稿'!E:E,数据对照表!G12,'附表7-扣除项目明细采集底稿'!V:V,"共同成本费用")</f>
        <v>0</v>
      </c>
      <c r="J59" s="347">
        <f>SUMIFS('附表7-扣除项目明细采集底稿'!X:X,'附表7-扣除项目明细采集底稿'!E:E,数据对照表!G12,'附表7-扣除项目明细采集底稿'!V:V,"共同成本费用")</f>
        <v>0</v>
      </c>
      <c r="K59" s="347">
        <f>SUMIFS('附表7-扣除项目明细采集底稿'!Y:Y,'附表7-扣除项目明细采集底稿'!E:E,数据对照表!G12,'附表7-扣除项目明细采集底稿'!V:V,"共同成本费用")</f>
        <v>0</v>
      </c>
      <c r="L59" s="348">
        <f t="shared" si="10"/>
        <v>0</v>
      </c>
      <c r="M59" s="348">
        <f t="shared" si="11"/>
        <v>0</v>
      </c>
    </row>
    <row r="60" s="329" customFormat="1" ht="24" customHeight="1" spans="1:13">
      <c r="A60" s="345">
        <v>55</v>
      </c>
      <c r="B60" s="345"/>
      <c r="C60" s="345"/>
      <c r="D60" s="349" t="str">
        <f>数据对照表!G13</f>
        <v>幼儿园费用</v>
      </c>
      <c r="E60" s="347">
        <f>SUMIFS('附表7-扣除项目明细采集底稿'!W:W,'附表7-扣除项目明细采集底稿'!E:E,数据对照表!G13,'附表7-扣除项目明细采集底稿'!V:V,"直接归集成本费用")</f>
        <v>0</v>
      </c>
      <c r="F60" s="347">
        <f>SUMIFS('附表7-扣除项目明细采集底稿'!X:X,'附表7-扣除项目明细采集底稿'!E:E,数据对照表!G13,'附表7-扣除项目明细采集底稿'!V:V,"直接归集成本费用")</f>
        <v>0</v>
      </c>
      <c r="G60" s="347">
        <f>SUMIFS('附表7-扣除项目明细采集底稿'!Y:Y,'附表7-扣除项目明细采集底稿'!E:E,数据对照表!G13,'附表7-扣除项目明细采集底稿'!V:V,"直接归集成本费用")</f>
        <v>1163.21</v>
      </c>
      <c r="H60" s="348">
        <f t="shared" si="9"/>
        <v>1163.21</v>
      </c>
      <c r="I60" s="347">
        <f>SUMIFS('附表7-扣除项目明细采集底稿'!W:W,'附表7-扣除项目明细采集底稿'!E:E,数据对照表!G13,'附表7-扣除项目明细采集底稿'!V:V,"共同成本费用")</f>
        <v>1001516.85</v>
      </c>
      <c r="J60" s="347">
        <f>SUMIFS('附表7-扣除项目明细采集底稿'!X:X,'附表7-扣除项目明细采集底稿'!E:E,数据对照表!G13,'附表7-扣除项目明细采集底稿'!V:V,"共同成本费用")</f>
        <v>662631.14</v>
      </c>
      <c r="K60" s="347">
        <f>SUMIFS('附表7-扣除项目明细采集底稿'!Y:Y,'附表7-扣除项目明细采集底稿'!E:E,数据对照表!G13,'附表7-扣除项目明细采集底稿'!V:V,"共同成本费用")</f>
        <v>403123.8</v>
      </c>
      <c r="L60" s="348">
        <f t="shared" si="10"/>
        <v>2067271.79</v>
      </c>
      <c r="M60" s="348">
        <f t="shared" si="11"/>
        <v>2068435</v>
      </c>
    </row>
    <row r="61" s="329" customFormat="1" ht="24" customHeight="1" spans="1:13">
      <c r="A61" s="345">
        <v>56</v>
      </c>
      <c r="B61" s="345"/>
      <c r="C61" s="345"/>
      <c r="D61" s="349" t="str">
        <f>数据对照表!G14</f>
        <v>托儿所费用</v>
      </c>
      <c r="E61" s="347">
        <f>SUMIFS('附表7-扣除项目明细采集底稿'!W:W,'附表7-扣除项目明细采集底稿'!E:E,数据对照表!G14,'附表7-扣除项目明细采集底稿'!V:V,"直接归集成本费用")</f>
        <v>0</v>
      </c>
      <c r="F61" s="347">
        <f>SUMIFS('附表7-扣除项目明细采集底稿'!X:X,'附表7-扣除项目明细采集底稿'!E:E,数据对照表!G14,'附表7-扣除项目明细采集底稿'!V:V,"直接归集成本费用")</f>
        <v>0</v>
      </c>
      <c r="G61" s="347">
        <f>SUMIFS('附表7-扣除项目明细采集底稿'!Y:Y,'附表7-扣除项目明细采集底稿'!E:E,数据对照表!G14,'附表7-扣除项目明细采集底稿'!V:V,"直接归集成本费用")</f>
        <v>0</v>
      </c>
      <c r="H61" s="348">
        <f t="shared" si="9"/>
        <v>0</v>
      </c>
      <c r="I61" s="347">
        <f>SUMIFS('附表7-扣除项目明细采集底稿'!W:W,'附表7-扣除项目明细采集底稿'!E:E,数据对照表!G14,'附表7-扣除项目明细采集底稿'!V:V,"共同成本费用")</f>
        <v>0</v>
      </c>
      <c r="J61" s="347">
        <f>SUMIFS('附表7-扣除项目明细采集底稿'!X:X,'附表7-扣除项目明细采集底稿'!E:E,数据对照表!G14,'附表7-扣除项目明细采集底稿'!V:V,"共同成本费用")</f>
        <v>0</v>
      </c>
      <c r="K61" s="347">
        <f>SUMIFS('附表7-扣除项目明细采集底稿'!Y:Y,'附表7-扣除项目明细采集底稿'!E:E,数据对照表!G14,'附表7-扣除项目明细采集底稿'!V:V,"共同成本费用")</f>
        <v>0</v>
      </c>
      <c r="L61" s="348">
        <f t="shared" si="10"/>
        <v>0</v>
      </c>
      <c r="M61" s="348">
        <f t="shared" si="11"/>
        <v>0</v>
      </c>
    </row>
    <row r="62" s="329" customFormat="1" ht="24" customHeight="1" spans="1:13">
      <c r="A62" s="345">
        <v>57</v>
      </c>
      <c r="B62" s="345"/>
      <c r="C62" s="345"/>
      <c r="D62" s="349" t="str">
        <f>数据对照表!G15</f>
        <v>医院费用</v>
      </c>
      <c r="E62" s="347">
        <f>SUMIFS('附表7-扣除项目明细采集底稿'!W:W,'附表7-扣除项目明细采集底稿'!E:E,数据对照表!G15,'附表7-扣除项目明细采集底稿'!V:V,"直接归集成本费用")</f>
        <v>0</v>
      </c>
      <c r="F62" s="347">
        <f>SUMIFS('附表7-扣除项目明细采集底稿'!X:X,'附表7-扣除项目明细采集底稿'!E:E,数据对照表!G15,'附表7-扣除项目明细采集底稿'!V:V,"直接归集成本费用")</f>
        <v>0</v>
      </c>
      <c r="G62" s="347">
        <f>SUMIFS('附表7-扣除项目明细采集底稿'!Y:Y,'附表7-扣除项目明细采集底稿'!E:E,数据对照表!G15,'附表7-扣除项目明细采集底稿'!V:V,"直接归集成本费用")</f>
        <v>0</v>
      </c>
      <c r="H62" s="348">
        <f t="shared" si="9"/>
        <v>0</v>
      </c>
      <c r="I62" s="347">
        <f>SUMIFS('附表7-扣除项目明细采集底稿'!W:W,'附表7-扣除项目明细采集底稿'!E:E,数据对照表!G15,'附表7-扣除项目明细采集底稿'!V:V,"共同成本费用")</f>
        <v>0</v>
      </c>
      <c r="J62" s="347">
        <f>SUMIFS('附表7-扣除项目明细采集底稿'!X:X,'附表7-扣除项目明细采集底稿'!E:E,数据对照表!G15,'附表7-扣除项目明细采集底稿'!V:V,"共同成本费用")</f>
        <v>0</v>
      </c>
      <c r="K62" s="347">
        <f>SUMIFS('附表7-扣除项目明细采集底稿'!Y:Y,'附表7-扣除项目明细采集底稿'!E:E,数据对照表!G15,'附表7-扣除项目明细采集底稿'!V:V,"共同成本费用")</f>
        <v>0</v>
      </c>
      <c r="L62" s="348">
        <f t="shared" si="10"/>
        <v>0</v>
      </c>
      <c r="M62" s="348">
        <f t="shared" si="11"/>
        <v>0</v>
      </c>
    </row>
    <row r="63" s="329" customFormat="1" ht="24" customHeight="1" spans="1:13">
      <c r="A63" s="345">
        <v>58</v>
      </c>
      <c r="B63" s="345"/>
      <c r="C63" s="345"/>
      <c r="D63" s="349" t="str">
        <f>数据对照表!G16</f>
        <v>邮电通讯费用</v>
      </c>
      <c r="E63" s="347">
        <f>SUMIFS('附表7-扣除项目明细采集底稿'!W:W,'附表7-扣除项目明细采集底稿'!E:E,数据对照表!G16,'附表7-扣除项目明细采集底稿'!V:V,"直接归集成本费用")</f>
        <v>0</v>
      </c>
      <c r="F63" s="347">
        <f>SUMIFS('附表7-扣除项目明细采集底稿'!X:X,'附表7-扣除项目明细采集底稿'!E:E,数据对照表!G16,'附表7-扣除项目明细采集底稿'!V:V,"直接归集成本费用")</f>
        <v>0</v>
      </c>
      <c r="G63" s="347">
        <f>SUMIFS('附表7-扣除项目明细采集底稿'!Y:Y,'附表7-扣除项目明细采集底稿'!E:E,数据对照表!G16,'附表7-扣除项目明细采集底稿'!V:V,"直接归集成本费用")</f>
        <v>0</v>
      </c>
      <c r="H63" s="348">
        <f t="shared" si="9"/>
        <v>0</v>
      </c>
      <c r="I63" s="347">
        <f>SUMIFS('附表7-扣除项目明细采集底稿'!W:W,'附表7-扣除项目明细采集底稿'!E:E,数据对照表!G16,'附表7-扣除项目明细采集底稿'!V:V,"共同成本费用")</f>
        <v>0</v>
      </c>
      <c r="J63" s="347">
        <f>SUMIFS('附表7-扣除项目明细采集底稿'!X:X,'附表7-扣除项目明细采集底稿'!E:E,数据对照表!G16,'附表7-扣除项目明细采集底稿'!V:V,"共同成本费用")</f>
        <v>0</v>
      </c>
      <c r="K63" s="347">
        <f>SUMIFS('附表7-扣除项目明细采集底稿'!Y:Y,'附表7-扣除项目明细采集底稿'!E:E,数据对照表!G16,'附表7-扣除项目明细采集底稿'!V:V,"共同成本费用")</f>
        <v>0</v>
      </c>
      <c r="L63" s="348">
        <f t="shared" si="10"/>
        <v>0</v>
      </c>
      <c r="M63" s="348">
        <f t="shared" si="11"/>
        <v>0</v>
      </c>
    </row>
    <row r="64" s="329" customFormat="1" ht="27.95" customHeight="1" spans="1:13">
      <c r="A64" s="345">
        <v>59</v>
      </c>
      <c r="B64" s="345"/>
      <c r="C64" s="345"/>
      <c r="D64" s="349" t="str">
        <f>数据对照表!G17</f>
        <v>其他非营业性房产费用</v>
      </c>
      <c r="E64" s="347">
        <f>SUMIFS('附表7-扣除项目明细采集底稿'!W:W,'附表7-扣除项目明细采集底稿'!E:E,数据对照表!G17,'附表7-扣除项目明细采集底稿'!V:V,"直接归集成本费用")</f>
        <v>0</v>
      </c>
      <c r="F64" s="347">
        <f>SUMIFS('附表7-扣除项目明细采集底稿'!X:X,'附表7-扣除项目明细采集底稿'!E:E,数据对照表!G17,'附表7-扣除项目明细采集底稿'!V:V,"直接归集成本费用")</f>
        <v>0</v>
      </c>
      <c r="G64" s="347">
        <f>SUMIFS('附表7-扣除项目明细采集底稿'!Y:Y,'附表7-扣除项目明细采集底稿'!E:E,数据对照表!G17,'附表7-扣除项目明细采集底稿'!V:V,"直接归集成本费用")</f>
        <v>0</v>
      </c>
      <c r="H64" s="348">
        <f t="shared" si="9"/>
        <v>0</v>
      </c>
      <c r="I64" s="347">
        <f>SUMIFS('附表7-扣除项目明细采集底稿'!W:W,'附表7-扣除项目明细采集底稿'!E:E,数据对照表!G17,'附表7-扣除项目明细采集底稿'!V:V,"共同成本费用")</f>
        <v>193178.35</v>
      </c>
      <c r="J64" s="347">
        <f>SUMIFS('附表7-扣除项目明细采集底稿'!X:X,'附表7-扣除项目明细采集底稿'!E:E,数据对照表!G17,'附表7-扣除项目明细采集底稿'!V:V,"共同成本费用")</f>
        <v>127812.11</v>
      </c>
      <c r="K64" s="347">
        <f>SUMIFS('附表7-扣除项目明细采集底稿'!Y:Y,'附表7-扣除项目明细采集底稿'!E:E,数据对照表!G17,'附表7-扣除项目明细采集底稿'!V:V,"共同成本费用")</f>
        <v>77756.85</v>
      </c>
      <c r="L64" s="348">
        <f t="shared" si="10"/>
        <v>398747.31</v>
      </c>
      <c r="M64" s="348">
        <f t="shared" si="11"/>
        <v>398747.31</v>
      </c>
    </row>
    <row r="65" s="329" customFormat="1" ht="24" customHeight="1" spans="1:13">
      <c r="A65" s="345">
        <v>60</v>
      </c>
      <c r="B65" s="345"/>
      <c r="C65" s="346" t="str">
        <f>数据对照表!H1</f>
        <v>开发间接费用</v>
      </c>
      <c r="D65" s="346"/>
      <c r="E65" s="347">
        <f>SUMIFS('附表7-扣除项目明细采集底稿'!W:W,'附表7-扣除项目明细采集底稿'!D:D,数据对照表!H1,'附表7-扣除项目明细采集底稿'!V:V,"直接归集成本费用")</f>
        <v>311436.21</v>
      </c>
      <c r="F65" s="347">
        <f>SUMIFS('附表7-扣除项目明细采集底稿'!X:X,'附表7-扣除项目明细采集底稿'!D:D,数据对照表!H1,'附表7-扣除项目明细采集底稿'!V:V,"直接归集成本费用")</f>
        <v>206054.77</v>
      </c>
      <c r="G65" s="347">
        <f>SUMIFS('附表7-扣除项目明细采集底稿'!Y:Y,'附表7-扣除项目明细采集底稿'!D:D,数据对照表!H1,'附表7-扣除项目明细采集底稿'!V:V,"直接归集成本费用")</f>
        <v>58920.62</v>
      </c>
      <c r="H65" s="348">
        <f t="shared" si="9"/>
        <v>576411.6</v>
      </c>
      <c r="I65" s="347">
        <f>SUMIFS('附表7-扣除项目明细采集底稿'!W:W,'附表7-扣除项目明细采集底稿'!D:D,数据对照表!H1,'附表7-扣除项目明细采集底稿'!V:V,"共同成本费用")</f>
        <v>1219367.1</v>
      </c>
      <c r="J65" s="347">
        <f>SUMIFS('附表7-扣除项目明细采集底稿'!X:X,'附表7-扣除项目明细采集底稿'!D:D,数据对照表!H1,'附表7-扣除项目明细采集底稿'!V:V,"共同成本费用")</f>
        <v>806766.82</v>
      </c>
      <c r="K65" s="347">
        <f>SUMIFS('附表7-扣除项目明细采集底稿'!Y:Y,'附表7-扣除项目明细采集底稿'!D:D,数据对照表!H1,'附表7-扣除项目明细采集底稿'!V:V,"共同成本费用")</f>
        <v>490811.43</v>
      </c>
      <c r="L65" s="348">
        <f t="shared" si="10"/>
        <v>2516945.35</v>
      </c>
      <c r="M65" s="348">
        <f t="shared" si="11"/>
        <v>3093356.95</v>
      </c>
    </row>
    <row r="66" s="329" customFormat="1" ht="24" customHeight="1" spans="1:13">
      <c r="A66" s="345">
        <v>61</v>
      </c>
      <c r="B66" s="345"/>
      <c r="C66" s="345" t="s">
        <v>378</v>
      </c>
      <c r="D66" s="349" t="str">
        <f>数据对照表!H2</f>
        <v>管理人员工资</v>
      </c>
      <c r="E66" s="347">
        <f>SUMIFS('附表7-扣除项目明细采集底稿'!W:W,'附表7-扣除项目明细采集底稿'!E:E,数据对照表!H2,'附表7-扣除项目明细采集底稿'!V:V,"直接归集成本费用")</f>
        <v>0</v>
      </c>
      <c r="F66" s="347">
        <f>SUMIFS('附表7-扣除项目明细采集底稿'!X:X,'附表7-扣除项目明细采集底稿'!E:E,数据对照表!H2,'附表7-扣除项目明细采集底稿'!V:V,"直接归集成本费用")</f>
        <v>0</v>
      </c>
      <c r="G66" s="347">
        <f>SUMIFS('附表7-扣除项目明细采集底稿'!Y:Y,'附表7-扣除项目明细采集底稿'!E:E,数据对照表!H2,'附表7-扣除项目明细采集底稿'!V:V,"直接归集成本费用")</f>
        <v>0</v>
      </c>
      <c r="H66" s="348">
        <f t="shared" si="9"/>
        <v>0</v>
      </c>
      <c r="I66" s="347">
        <f>SUMIFS('附表7-扣除项目明细采集底稿'!W:W,'附表7-扣除项目明细采集底稿'!E:E,数据对照表!H2,'附表7-扣除项目明细采集底稿'!V:V,"共同成本费用")</f>
        <v>719012.7</v>
      </c>
      <c r="J66" s="347">
        <f>SUMIFS('附表7-扣除项目明细采集底稿'!X:X,'附表7-扣除项目明细采集底稿'!E:E,数据对照表!H2,'附表7-扣除项目明细采集底稿'!V:V,"共同成本费用")</f>
        <v>475718.57</v>
      </c>
      <c r="K66" s="347">
        <f>SUMIFS('附表7-扣除项目明细采集底稿'!Y:Y,'附表7-扣除项目明细采集底稿'!E:E,数据对照表!H2,'附表7-扣除项目明细采集底稿'!V:V,"共同成本费用")</f>
        <v>289412.14</v>
      </c>
      <c r="L66" s="348">
        <f t="shared" si="10"/>
        <v>1484143.41</v>
      </c>
      <c r="M66" s="348">
        <f t="shared" si="11"/>
        <v>1484143.41</v>
      </c>
    </row>
    <row r="67" s="329" customFormat="1" ht="24" customHeight="1" spans="1:13">
      <c r="A67" s="345">
        <v>62</v>
      </c>
      <c r="B67" s="345"/>
      <c r="C67" s="345"/>
      <c r="D67" s="349" t="str">
        <f>数据对照表!H3</f>
        <v>职工福利费</v>
      </c>
      <c r="E67" s="347">
        <f>SUMIFS('附表7-扣除项目明细采集底稿'!W:W,'附表7-扣除项目明细采集底稿'!E:E,数据对照表!H3,'附表7-扣除项目明细采集底稿'!V:V,"直接归集成本费用")</f>
        <v>0</v>
      </c>
      <c r="F67" s="347">
        <f>SUMIFS('附表7-扣除项目明细采集底稿'!X:X,'附表7-扣除项目明细采集底稿'!E:E,数据对照表!H3,'附表7-扣除项目明细采集底稿'!V:V,"直接归集成本费用")</f>
        <v>0</v>
      </c>
      <c r="G67" s="347">
        <f>SUMIFS('附表7-扣除项目明细采集底稿'!Y:Y,'附表7-扣除项目明细采集底稿'!E:E,数据对照表!H3,'附表7-扣除项目明细采集底稿'!V:V,"直接归集成本费用")</f>
        <v>0</v>
      </c>
      <c r="H67" s="348">
        <f t="shared" ref="H67:H74" si="12">SUM(E67:G67)</f>
        <v>0</v>
      </c>
      <c r="I67" s="347">
        <f>SUMIFS('附表7-扣除项目明细采集底稿'!W:W,'附表7-扣除项目明细采集底稿'!E:E,数据对照表!H3,'附表7-扣除项目明细采集底稿'!V:V,"共同成本费用")</f>
        <v>0</v>
      </c>
      <c r="J67" s="347">
        <f>SUMIFS('附表7-扣除项目明细采集底稿'!X:X,'附表7-扣除项目明细采集底稿'!E:E,数据对照表!H3,'附表7-扣除项目明细采集底稿'!V:V,"共同成本费用")</f>
        <v>0</v>
      </c>
      <c r="K67" s="347">
        <f>SUMIFS('附表7-扣除项目明细采集底稿'!Y:Y,'附表7-扣除项目明细采集底稿'!E:E,数据对照表!H3,'附表7-扣除项目明细采集底稿'!V:V,"共同成本费用")</f>
        <v>0</v>
      </c>
      <c r="L67" s="348">
        <f t="shared" ref="L67:L78" si="13">SUM(I67:K67)</f>
        <v>0</v>
      </c>
      <c r="M67" s="348">
        <f t="shared" ref="M67:M74" si="14">H67+L67</f>
        <v>0</v>
      </c>
    </row>
    <row r="68" s="329" customFormat="1" ht="24" customHeight="1" spans="1:13">
      <c r="A68" s="345">
        <v>63</v>
      </c>
      <c r="B68" s="345"/>
      <c r="C68" s="345"/>
      <c r="D68" s="349" t="str">
        <f>数据对照表!H4</f>
        <v>折旧费</v>
      </c>
      <c r="E68" s="347">
        <f>SUMIFS('附表7-扣除项目明细采集底稿'!W:W,'附表7-扣除项目明细采集底稿'!E:E,数据对照表!H4,'附表7-扣除项目明细采集底稿'!V:V,"直接归集成本费用")</f>
        <v>0</v>
      </c>
      <c r="F68" s="347">
        <f>SUMIFS('附表7-扣除项目明细采集底稿'!X:X,'附表7-扣除项目明细采集底稿'!E:E,数据对照表!H4,'附表7-扣除项目明细采集底稿'!V:V,"直接归集成本费用")</f>
        <v>0</v>
      </c>
      <c r="G68" s="347">
        <f>SUMIFS('附表7-扣除项目明细采集底稿'!Y:Y,'附表7-扣除项目明细采集底稿'!E:E,数据对照表!H4,'附表7-扣除项目明细采集底稿'!V:V,"直接归集成本费用")</f>
        <v>0</v>
      </c>
      <c r="H68" s="348">
        <f t="shared" si="12"/>
        <v>0</v>
      </c>
      <c r="I68" s="347">
        <f>SUMIFS('附表7-扣除项目明细采集底稿'!W:W,'附表7-扣除项目明细采集底稿'!E:E,数据对照表!H4,'附表7-扣除项目明细采集底稿'!V:V,"共同成本费用")</f>
        <v>0</v>
      </c>
      <c r="J68" s="347">
        <f>SUMIFS('附表7-扣除项目明细采集底稿'!X:X,'附表7-扣除项目明细采集底稿'!E:E,数据对照表!H4,'附表7-扣除项目明细采集底稿'!V:V,"共同成本费用")</f>
        <v>0</v>
      </c>
      <c r="K68" s="347">
        <f>SUMIFS('附表7-扣除项目明细采集底稿'!Y:Y,'附表7-扣除项目明细采集底稿'!E:E,数据对照表!H4,'附表7-扣除项目明细采集底稿'!V:V,"共同成本费用")</f>
        <v>0</v>
      </c>
      <c r="L68" s="348">
        <f t="shared" si="13"/>
        <v>0</v>
      </c>
      <c r="M68" s="348">
        <f t="shared" si="14"/>
        <v>0</v>
      </c>
    </row>
    <row r="69" s="329" customFormat="1" ht="24" customHeight="1" spans="1:13">
      <c r="A69" s="345">
        <v>64</v>
      </c>
      <c r="B69" s="345"/>
      <c r="C69" s="345"/>
      <c r="D69" s="349" t="str">
        <f>数据对照表!H5</f>
        <v>修理费</v>
      </c>
      <c r="E69" s="347">
        <f>SUMIFS('附表7-扣除项目明细采集底稿'!W:W,'附表7-扣除项目明细采集底稿'!E:E,数据对照表!H5,'附表7-扣除项目明细采集底稿'!V:V,"直接归集成本费用")</f>
        <v>0</v>
      </c>
      <c r="F69" s="347">
        <f>SUMIFS('附表7-扣除项目明细采集底稿'!X:X,'附表7-扣除项目明细采集底稿'!E:E,数据对照表!H5,'附表7-扣除项目明细采集底稿'!V:V,"直接归集成本费用")</f>
        <v>0</v>
      </c>
      <c r="G69" s="347">
        <f>SUMIFS('附表7-扣除项目明细采集底稿'!Y:Y,'附表7-扣除项目明细采集底稿'!E:E,数据对照表!H5,'附表7-扣除项目明细采集底稿'!V:V,"直接归集成本费用")</f>
        <v>0</v>
      </c>
      <c r="H69" s="348">
        <f t="shared" si="12"/>
        <v>0</v>
      </c>
      <c r="I69" s="347">
        <f>SUMIFS('附表7-扣除项目明细采集底稿'!W:W,'附表7-扣除项目明细采集底稿'!E:E,数据对照表!H5,'附表7-扣除项目明细采集底稿'!V:V,"共同成本费用")</f>
        <v>0</v>
      </c>
      <c r="J69" s="347">
        <f>SUMIFS('附表7-扣除项目明细采集底稿'!X:X,'附表7-扣除项目明细采集底稿'!E:E,数据对照表!H5,'附表7-扣除项目明细采集底稿'!V:V,"共同成本费用")</f>
        <v>0</v>
      </c>
      <c r="K69" s="347">
        <f>SUMIFS('附表7-扣除项目明细采集底稿'!Y:Y,'附表7-扣除项目明细采集底稿'!E:E,数据对照表!H5,'附表7-扣除项目明细采集底稿'!V:V,"共同成本费用")</f>
        <v>0</v>
      </c>
      <c r="L69" s="348">
        <f t="shared" si="13"/>
        <v>0</v>
      </c>
      <c r="M69" s="348">
        <f t="shared" si="14"/>
        <v>0</v>
      </c>
    </row>
    <row r="70" s="329" customFormat="1" ht="24" customHeight="1" spans="1:13">
      <c r="A70" s="345">
        <v>65</v>
      </c>
      <c r="B70" s="345"/>
      <c r="C70" s="345"/>
      <c r="D70" s="349" t="str">
        <f>数据对照表!H6</f>
        <v>办公费</v>
      </c>
      <c r="E70" s="347">
        <f>SUMIFS('附表7-扣除项目明细采集底稿'!W:W,'附表7-扣除项目明细采集底稿'!E:E,数据对照表!H6,'附表7-扣除项目明细采集底稿'!V:V,"直接归集成本费用")</f>
        <v>0</v>
      </c>
      <c r="F70" s="347">
        <f>SUMIFS('附表7-扣除项目明细采集底稿'!X:X,'附表7-扣除项目明细采集底稿'!E:E,数据对照表!H6,'附表7-扣除项目明细采集底稿'!V:V,"直接归集成本费用")</f>
        <v>0</v>
      </c>
      <c r="G70" s="347">
        <f>SUMIFS('附表7-扣除项目明细采集底稿'!Y:Y,'附表7-扣除项目明细采集底稿'!E:E,数据对照表!H6,'附表7-扣除项目明细采集底稿'!V:V,"直接归集成本费用")</f>
        <v>0</v>
      </c>
      <c r="H70" s="348">
        <f t="shared" si="12"/>
        <v>0</v>
      </c>
      <c r="I70" s="347">
        <f>SUMIFS('附表7-扣除项目明细采集底稿'!W:W,'附表7-扣除项目明细采集底稿'!E:E,数据对照表!H6,'附表7-扣除项目明细采集底稿'!V:V,"共同成本费用")</f>
        <v>0</v>
      </c>
      <c r="J70" s="347">
        <f>SUMIFS('附表7-扣除项目明细采集底稿'!X:X,'附表7-扣除项目明细采集底稿'!E:E,数据对照表!H6,'附表7-扣除项目明细采集底稿'!V:V,"共同成本费用")</f>
        <v>0</v>
      </c>
      <c r="K70" s="347">
        <f>SUMIFS('附表7-扣除项目明细采集底稿'!Y:Y,'附表7-扣除项目明细采集底稿'!E:E,数据对照表!H6,'附表7-扣除项目明细采集底稿'!V:V,"共同成本费用")</f>
        <v>0</v>
      </c>
      <c r="L70" s="348">
        <f t="shared" si="13"/>
        <v>0</v>
      </c>
      <c r="M70" s="348">
        <f t="shared" si="14"/>
        <v>0</v>
      </c>
    </row>
    <row r="71" s="329" customFormat="1" ht="24" customHeight="1" spans="1:13">
      <c r="A71" s="345">
        <v>66</v>
      </c>
      <c r="B71" s="345"/>
      <c r="C71" s="345"/>
      <c r="D71" s="349" t="str">
        <f>数据对照表!H7</f>
        <v>水电费</v>
      </c>
      <c r="E71" s="347">
        <f>SUMIFS('附表7-扣除项目明细采集底稿'!W:W,'附表7-扣除项目明细采集底稿'!E:E,数据对照表!H7,'附表7-扣除项目明细采集底稿'!V:V,"直接归集成本费用")</f>
        <v>0</v>
      </c>
      <c r="F71" s="347">
        <f>SUMIFS('附表7-扣除项目明细采集底稿'!X:X,'附表7-扣除项目明细采集底稿'!E:E,数据对照表!H7,'附表7-扣除项目明细采集底稿'!V:V,"直接归集成本费用")</f>
        <v>0</v>
      </c>
      <c r="G71" s="347">
        <f>SUMIFS('附表7-扣除项目明细采集底稿'!Y:Y,'附表7-扣除项目明细采集底稿'!E:E,数据对照表!H7,'附表7-扣除项目明细采集底稿'!V:V,"直接归集成本费用")</f>
        <v>0</v>
      </c>
      <c r="H71" s="348">
        <f t="shared" si="12"/>
        <v>0</v>
      </c>
      <c r="I71" s="347">
        <f>SUMIFS('附表7-扣除项目明细采集底稿'!W:W,'附表7-扣除项目明细采集底稿'!E:E,数据对照表!H7,'附表7-扣除项目明细采集底稿'!V:V,"共同成本费用")</f>
        <v>0</v>
      </c>
      <c r="J71" s="347">
        <f>SUMIFS('附表7-扣除项目明细采集底稿'!X:X,'附表7-扣除项目明细采集底稿'!E:E,数据对照表!H7,'附表7-扣除项目明细采集底稿'!V:V,"共同成本费用")</f>
        <v>0</v>
      </c>
      <c r="K71" s="347">
        <f>SUMIFS('附表7-扣除项目明细采集底稿'!Y:Y,'附表7-扣除项目明细采集底稿'!E:E,数据对照表!H7,'附表7-扣除项目明细采集底稿'!V:V,"共同成本费用")</f>
        <v>0</v>
      </c>
      <c r="L71" s="348">
        <f t="shared" si="13"/>
        <v>0</v>
      </c>
      <c r="M71" s="348">
        <f t="shared" si="14"/>
        <v>0</v>
      </c>
    </row>
    <row r="72" s="329" customFormat="1" ht="24" customHeight="1" spans="1:13">
      <c r="A72" s="345">
        <v>67</v>
      </c>
      <c r="B72" s="345"/>
      <c r="C72" s="345"/>
      <c r="D72" s="349" t="str">
        <f>数据对照表!H8</f>
        <v>劳动保护费</v>
      </c>
      <c r="E72" s="347">
        <f>SUMIFS('附表7-扣除项目明细采集底稿'!W:W,'附表7-扣除项目明细采集底稿'!E:E,数据对照表!H8,'附表7-扣除项目明细采集底稿'!V:V,"直接归集成本费用")</f>
        <v>0</v>
      </c>
      <c r="F72" s="347">
        <f>SUMIFS('附表7-扣除项目明细采集底稿'!X:X,'附表7-扣除项目明细采集底稿'!E:E,数据对照表!H8,'附表7-扣除项目明细采集底稿'!V:V,"直接归集成本费用")</f>
        <v>0</v>
      </c>
      <c r="G72" s="347">
        <f>SUMIFS('附表7-扣除项目明细采集底稿'!Y:Y,'附表7-扣除项目明细采集底稿'!E:E,数据对照表!H8,'附表7-扣除项目明细采集底稿'!V:V,"直接归集成本费用")</f>
        <v>0</v>
      </c>
      <c r="H72" s="348">
        <f t="shared" si="12"/>
        <v>0</v>
      </c>
      <c r="I72" s="347">
        <f>SUMIFS('附表7-扣除项目明细采集底稿'!W:W,'附表7-扣除项目明细采集底稿'!E:E,数据对照表!H8,'附表7-扣除项目明细采集底稿'!V:V,"共同成本费用")</f>
        <v>0</v>
      </c>
      <c r="J72" s="347">
        <f>SUMIFS('附表7-扣除项目明细采集底稿'!X:X,'附表7-扣除项目明细采集底稿'!E:E,数据对照表!H8,'附表7-扣除项目明细采集底稿'!V:V,"共同成本费用")</f>
        <v>0</v>
      </c>
      <c r="K72" s="347">
        <f>SUMIFS('附表7-扣除项目明细采集底稿'!Y:Y,'附表7-扣除项目明细采集底稿'!E:E,数据对照表!H8,'附表7-扣除项目明细采集底稿'!V:V,"共同成本费用")</f>
        <v>0</v>
      </c>
      <c r="L72" s="348">
        <f t="shared" si="13"/>
        <v>0</v>
      </c>
      <c r="M72" s="348">
        <f t="shared" si="14"/>
        <v>0</v>
      </c>
    </row>
    <row r="73" s="329" customFormat="1" ht="24" customHeight="1" spans="1:13">
      <c r="A73" s="345">
        <v>68</v>
      </c>
      <c r="B73" s="345"/>
      <c r="C73" s="345"/>
      <c r="D73" s="349" t="str">
        <f>数据对照表!H9</f>
        <v>周转房摊销费</v>
      </c>
      <c r="E73" s="347">
        <f>SUMIFS('附表7-扣除项目明细采集底稿'!W:W,'附表7-扣除项目明细采集底稿'!E:E,数据对照表!H9,'附表7-扣除项目明细采集底稿'!V:V,"直接归集成本费用")</f>
        <v>0</v>
      </c>
      <c r="F73" s="347">
        <f>SUMIFS('附表7-扣除项目明细采集底稿'!X:X,'附表7-扣除项目明细采集底稿'!E:E,数据对照表!H9,'附表7-扣除项目明细采集底稿'!V:V,"直接归集成本费用")</f>
        <v>0</v>
      </c>
      <c r="G73" s="347">
        <f>SUMIFS('附表7-扣除项目明细采集底稿'!Y:Y,'附表7-扣除项目明细采集底稿'!E:E,数据对照表!H9,'附表7-扣除项目明细采集底稿'!V:V,"直接归集成本费用")</f>
        <v>0</v>
      </c>
      <c r="H73" s="348">
        <f t="shared" si="12"/>
        <v>0</v>
      </c>
      <c r="I73" s="347">
        <f>SUMIFS('附表7-扣除项目明细采集底稿'!W:W,'附表7-扣除项目明细采集底稿'!E:E,数据对照表!H9,'附表7-扣除项目明细采集底稿'!V:V,"共同成本费用")</f>
        <v>0</v>
      </c>
      <c r="J73" s="347">
        <f>SUMIFS('附表7-扣除项目明细采集底稿'!X:X,'附表7-扣除项目明细采集底稿'!E:E,数据对照表!H9,'附表7-扣除项目明细采集底稿'!V:V,"共同成本费用")</f>
        <v>0</v>
      </c>
      <c r="K73" s="347">
        <f>SUMIFS('附表7-扣除项目明细采集底稿'!Y:Y,'附表7-扣除项目明细采集底稿'!E:E,数据对照表!H9,'附表7-扣除项目明细采集底稿'!V:V,"共同成本费用")</f>
        <v>0</v>
      </c>
      <c r="L73" s="348">
        <f t="shared" si="13"/>
        <v>0</v>
      </c>
      <c r="M73" s="348">
        <f t="shared" si="14"/>
        <v>0</v>
      </c>
    </row>
    <row r="74" s="329" customFormat="1" ht="24" customHeight="1" spans="1:13">
      <c r="A74" s="345">
        <v>69</v>
      </c>
      <c r="B74" s="345"/>
      <c r="C74" s="345"/>
      <c r="D74" s="349" t="str">
        <f>数据对照表!H10</f>
        <v>其他发生的间接费用</v>
      </c>
      <c r="E74" s="347">
        <f>SUMIFS('附表7-扣除项目明细采集底稿'!W:W,'附表7-扣除项目明细采集底稿'!E:E,数据对照表!H10,'附表7-扣除项目明细采集底稿'!V:V,"直接归集成本费用")</f>
        <v>311436.21</v>
      </c>
      <c r="F74" s="347">
        <f>SUMIFS('附表7-扣除项目明细采集底稿'!X:X,'附表7-扣除项目明细采集底稿'!E:E,数据对照表!H10,'附表7-扣除项目明细采集底稿'!V:V,"直接归集成本费用")</f>
        <v>206054.77</v>
      </c>
      <c r="G74" s="347">
        <f>SUMIFS('附表7-扣除项目明细采集底稿'!Y:Y,'附表7-扣除项目明细采集底稿'!E:E,数据对照表!H10,'附表7-扣除项目明细采集底稿'!V:V,"直接归集成本费用")</f>
        <v>58920.62</v>
      </c>
      <c r="H74" s="348">
        <f t="shared" si="12"/>
        <v>576411.6</v>
      </c>
      <c r="I74" s="347">
        <f>SUMIFS('附表7-扣除项目明细采集底稿'!W:W,'附表7-扣除项目明细采集底稿'!E:E,数据对照表!H10,'附表7-扣除项目明细采集底稿'!V:V,"共同成本费用")</f>
        <v>500354.4</v>
      </c>
      <c r="J74" s="347">
        <f>SUMIFS('附表7-扣除项目明细采集底稿'!X:X,'附表7-扣除项目明细采集底稿'!E:E,数据对照表!H10,'附表7-扣除项目明细采集底稿'!V:V,"共同成本费用")</f>
        <v>331048.25</v>
      </c>
      <c r="K74" s="347">
        <f>SUMIFS('附表7-扣除项目明细采集底稿'!Y:Y,'附表7-扣除项目明细采集底稿'!E:E,数据对照表!H10,'附表7-扣除项目明细采集底稿'!V:V,"共同成本费用")</f>
        <v>201399.29</v>
      </c>
      <c r="L74" s="348">
        <f t="shared" si="13"/>
        <v>1032801.94</v>
      </c>
      <c r="M74" s="348">
        <f t="shared" si="14"/>
        <v>1609213.54</v>
      </c>
    </row>
    <row r="75" s="329" customFormat="1" ht="24" customHeight="1" spans="1:13">
      <c r="A75" s="345">
        <v>70</v>
      </c>
      <c r="B75" s="355" t="s">
        <v>268</v>
      </c>
      <c r="C75" s="356"/>
      <c r="D75" s="357"/>
      <c r="E75" s="347">
        <f>SUM(SUMIFS('附表7-扣除项目明细采集底稿'!W:W,'附表7-扣除项目明细采集底稿'!D:D,"土地征用及拆迁补偿费",'附表7-扣除项目明细采集底稿'!V:V,"直接归集成本费用",'附表7-扣除项目明细采集底稿'!AB:AB,"不可加计"),SUMIFS('附表7-扣除项目明细采集底稿'!W:W,'附表7-扣除项目明细采集底稿'!D:D,"前期工程费",'附表7-扣除项目明细采集底稿'!V:V,"直接归集成本费用",'附表7-扣除项目明细采集底稿'!AB:AB,"不可加计"),SUMIFS('附表7-扣除项目明细采集底稿'!W:W,'附表7-扣除项目明细采集底稿'!D:D,"建筑安装工程费",'附表7-扣除项目明细采集底稿'!V:V,"直接归集成本费用",'附表7-扣除项目明细采集底稿'!AB:AB,"不可加计"),SUMIFS('附表7-扣除项目明细采集底稿'!W:W,'附表7-扣除项目明细采集底稿'!D:D,"基础设施费",'附表7-扣除项目明细采集底稿'!V:V,"直接归集成本费用",'附表7-扣除项目明细采集底稿'!AB:AB,"不可加计"),SUMIFS('附表7-扣除项目明细采集底稿'!W:W,'附表7-扣除项目明细采集底稿'!D:D,"公共配套设施费",'附表7-扣除项目明细采集底稿'!V:V,"直接归集成本费用",'附表7-扣除项目明细采集底稿'!AB:AB,"不可加计"),SUMIFS('附表7-扣除项目明细采集底稿'!W:W,'附表7-扣除项目明细采集底稿'!D:D,"开发间接费用",'附表7-扣除项目明细采集底稿'!V:V,"直接归集成本费用",'附表7-扣除项目明细采集底稿'!AB:AB,"不可加计"))</f>
        <v>0</v>
      </c>
      <c r="F75" s="347">
        <f>SUM(SUMIFS('附表7-扣除项目明细采集底稿'!X:X,'附表7-扣除项目明细采集底稿'!D:D,"土地征用及拆迁补偿费",'附表7-扣除项目明细采集底稿'!V:V,"直接归集成本费用",'附表7-扣除项目明细采集底稿'!AB:AB,"不可加计"),SUMIFS('附表7-扣除项目明细采集底稿'!X:X,'附表7-扣除项目明细采集底稿'!D:D,"前期工程费",'附表7-扣除项目明细采集底稿'!V:V,"直接归集成本费用",'附表7-扣除项目明细采集底稿'!AB:AB,"不可加计"),SUMIFS('附表7-扣除项目明细采集底稿'!X:X,'附表7-扣除项目明细采集底稿'!D:D,"建筑安装工程费",'附表7-扣除项目明细采集底稿'!V:V,"直接归集成本费用",'附表7-扣除项目明细采集底稿'!AB:AB,"不可加计"),SUMIFS('附表7-扣除项目明细采集底稿'!X:X,'附表7-扣除项目明细采集底稿'!D:D,"基础设施费",'附表7-扣除项目明细采集底稿'!V:V,"直接归集成本费用",'附表7-扣除项目明细采集底稿'!AB:AB,"不可加计"),SUMIFS('附表7-扣除项目明细采集底稿'!X:X,'附表7-扣除项目明细采集底稿'!D:D,"公共配套设施费",'附表7-扣除项目明细采集底稿'!V:V,"直接归集成本费用",'附表7-扣除项目明细采集底稿'!AB:AB,"不可加计"),SUMIFS('附表7-扣除项目明细采集底稿'!X:X,'附表7-扣除项目明细采集底稿'!D:D,"开发间接费用",'附表7-扣除项目明细采集底稿'!V:V,"直接归集成本费用",'附表7-扣除项目明细采集底稿'!AB:AB,"不可加计"))</f>
        <v>0</v>
      </c>
      <c r="G75" s="347">
        <f>SUM(SUMIFS('附表7-扣除项目明细采集底稿'!Y:Y,'附表7-扣除项目明细采集底稿'!D:D,"土地征用及拆迁补偿费",'附表7-扣除项目明细采集底稿'!V:V,"直接归集成本费用",'附表7-扣除项目明细采集底稿'!AB:AB,"不可加计"),SUMIFS('附表7-扣除项目明细采集底稿'!Y:Y,'附表7-扣除项目明细采集底稿'!D:D,"前期工程费",'附表7-扣除项目明细采集底稿'!V:V,"直接归集成本费用",'附表7-扣除项目明细采集底稿'!AB:AB,"不可加计"),SUMIFS('附表7-扣除项目明细采集底稿'!Y:Y,'附表7-扣除项目明细采集底稿'!D:D,"建筑安装工程费",'附表7-扣除项目明细采集底稿'!V:V,"直接归集成本费用",'附表7-扣除项目明细采集底稿'!AB:AB,"不可加计"),SUMIFS('附表7-扣除项目明细采集底稿'!Y:Y,'附表7-扣除项目明细采集底稿'!D:D,"基础设施费",'附表7-扣除项目明细采集底稿'!V:V,"直接归集成本费用",'附表7-扣除项目明细采集底稿'!AB:AB,"不可加计"),SUMIFS('附表7-扣除项目明细采集底稿'!Y:Y,'附表7-扣除项目明细采集底稿'!D:D,"公共配套设施费",'附表7-扣除项目明细采集底稿'!V:V,"直接归集成本费用",'附表7-扣除项目明细采集底稿'!AB:AB,"不可加计"),SUMIFS('附表7-扣除项目明细采集底稿'!Y:Y,'附表7-扣除项目明细采集底稿'!D:D,"开发间接费用",'附表7-扣除项目明细采集底稿'!V:V,"直接归集成本费用",'附表7-扣除项目明细采集底稿'!AB:AB,"不可加计"))</f>
        <v>0</v>
      </c>
      <c r="H75" s="348">
        <f t="shared" ref="H75:H87" si="15">SUM(E75:G75)</f>
        <v>0</v>
      </c>
      <c r="I75" s="347">
        <f>SUM(SUMIFS('附表7-扣除项目明细采集底稿'!W:W,'附表7-扣除项目明细采集底稿'!D:D,"土地征用及拆迁补偿费",'附表7-扣除项目明细采集底稿'!V:V,"共同成本费用",'附表7-扣除项目明细采集底稿'!AB:AB,"不可加计"),SUMIFS('附表7-扣除项目明细采集底稿'!W:W,'附表7-扣除项目明细采集底稿'!D:D,"前期工程费",'附表7-扣除项目明细采集底稿'!V:V,"共同成本费用",'附表7-扣除项目明细采集底稿'!AB:AB,"不可加计"),SUMIFS('附表7-扣除项目明细采集底稿'!W:W,'附表7-扣除项目明细采集底稿'!D:D,"建筑安装工程费",'附表7-扣除项目明细采集底稿'!V:V,"共同成本费用",'附表7-扣除项目明细采集底稿'!AB:AB,"不可加计"),SUMIFS('附表7-扣除项目明细采集底稿'!W:W,'附表7-扣除项目明细采集底稿'!D:D,"基础设施费",'附表7-扣除项目明细采集底稿'!V:V,"共同成本费用",'附表7-扣除项目明细采集底稿'!AB:AB,"不可加计"),SUMIFS('附表7-扣除项目明细采集底稿'!W:W,'附表7-扣除项目明细采集底稿'!D:D,"公共配套设施费",'附表7-扣除项目明细采集底稿'!V:V,"共同成本费用",'附表7-扣除项目明细采集底稿'!AB:AB,"不可加计"),SUMIFS('附表7-扣除项目明细采集底稿'!W:W,'附表7-扣除项目明细采集底稿'!D:D,"开发间接费用",'附表7-扣除项目明细采集底稿'!V:V,"共同成本费用",'附表7-扣除项目明细采集底稿'!AB:AB,"不可加计"))</f>
        <v>0</v>
      </c>
      <c r="J75" s="347">
        <f>SUM(SUMIFS('附表7-扣除项目明细采集底稿'!X:X,'附表7-扣除项目明细采集底稿'!D:D,"土地征用及拆迁补偿费",'附表7-扣除项目明细采集底稿'!V:V,"共同成本费用",'附表7-扣除项目明细采集底稿'!AB:AB,"不可加计"),SUMIFS('附表7-扣除项目明细采集底稿'!X:X,'附表7-扣除项目明细采集底稿'!D:D,"前期工程费",'附表7-扣除项目明细采集底稿'!V:V,"共同成本费用",'附表7-扣除项目明细采集底稿'!AB:AB,"不可加计"),SUMIFS('附表7-扣除项目明细采集底稿'!X:X,'附表7-扣除项目明细采集底稿'!D:D,"建筑安装工程费",'附表7-扣除项目明细采集底稿'!V:V,"共同成本费用",'附表7-扣除项目明细采集底稿'!AB:AB,"不可加计"),SUMIFS('附表7-扣除项目明细采集底稿'!X:X,'附表7-扣除项目明细采集底稿'!D:D,"基础设施费",'附表7-扣除项目明细采集底稿'!V:V,"共同成本费用",'附表7-扣除项目明细采集底稿'!AB:AB,"不可加计"),SUMIFS('附表7-扣除项目明细采集底稿'!X:X,'附表7-扣除项目明细采集底稿'!D:D,"公共配套设施费",'附表7-扣除项目明细采集底稿'!V:V,"共同成本费用",'附表7-扣除项目明细采集底稿'!AB:AB,"不可加计"),SUMIFS('附表7-扣除项目明细采集底稿'!X:X,'附表7-扣除项目明细采集底稿'!D:D,"开发间接费用",'附表7-扣除项目明细采集底稿'!V:V,"共同成本费用",'附表7-扣除项目明细采集底稿'!AB:AB,"不可加计"))</f>
        <v>0</v>
      </c>
      <c r="K75" s="347">
        <f>SUM(SUMIFS('附表7-扣除项目明细采集底稿'!Y:Y,'附表7-扣除项目明细采集底稿'!D:D,"土地征用及拆迁补偿费",'附表7-扣除项目明细采集底稿'!V:V,"共同成本费用",'附表7-扣除项目明细采集底稿'!AB:AB,"不可加计"),SUMIFS('附表7-扣除项目明细采集底稿'!Y:Y,'附表7-扣除项目明细采集底稿'!D:D,"前期工程费",'附表7-扣除项目明细采集底稿'!V:V,"共同成本费用",'附表7-扣除项目明细采集底稿'!AB:AB,"不可加计"),SUMIFS('附表7-扣除项目明细采集底稿'!Y:Y,'附表7-扣除项目明细采集底稿'!D:D,"建筑安装工程费",'附表7-扣除项目明细采集底稿'!V:V,"共同成本费用",'附表7-扣除项目明细采集底稿'!AB:AB,"不可加计"),SUMIFS('附表7-扣除项目明细采集底稿'!Y:Y,'附表7-扣除项目明细采集底稿'!D:D,"基础设施费",'附表7-扣除项目明细采集底稿'!V:V,"共同成本费用",'附表7-扣除项目明细采集底稿'!AB:AB,"不可加计"),SUMIFS('附表7-扣除项目明细采集底稿'!Y:Y,'附表7-扣除项目明细采集底稿'!D:D,"公共配套设施费",'附表7-扣除项目明细采集底稿'!V:V,"共同成本费用",'附表7-扣除项目明细采集底稿'!AB:AB,"不可加计"),SUMIFS('附表7-扣除项目明细采集底稿'!Y:Y,'附表7-扣除项目明细采集底稿'!D:D,"开发间接费用",'附表7-扣除项目明细采集底稿'!V:V,"共同成本费用",'附表7-扣除项目明细采集底稿'!AB:AB,"不可加计"))</f>
        <v>0</v>
      </c>
      <c r="L75" s="348">
        <f t="shared" si="13"/>
        <v>0</v>
      </c>
      <c r="M75" s="348">
        <f t="shared" ref="M75:M87" si="16">H75+L75</f>
        <v>0</v>
      </c>
    </row>
    <row r="76" s="329" customFormat="1" ht="24" customHeight="1" spans="1:13">
      <c r="A76" s="345">
        <v>71</v>
      </c>
      <c r="B76" s="349" t="str">
        <f>数据对照表!I1</f>
        <v>房地产开发费用</v>
      </c>
      <c r="C76" s="349"/>
      <c r="D76" s="349"/>
      <c r="E76" s="347">
        <f>SUM(E77:E78)</f>
        <v>5291166.37</v>
      </c>
      <c r="F76" s="347">
        <f>SUM(F77:F78)</f>
        <v>3332476.05</v>
      </c>
      <c r="G76" s="347">
        <f>SUM(G77:G78)</f>
        <v>2700083.725</v>
      </c>
      <c r="H76" s="348">
        <f t="shared" si="15"/>
        <v>11323726.145</v>
      </c>
      <c r="I76" s="347">
        <f>SUM(I77:I78)</f>
        <v>1500027.071</v>
      </c>
      <c r="J76" s="347">
        <f>SUM(J77:J78)</f>
        <v>992459.219</v>
      </c>
      <c r="K76" s="347">
        <f>SUM(K77:K78)</f>
        <v>603780.804</v>
      </c>
      <c r="L76" s="348">
        <f t="shared" si="13"/>
        <v>3096267.094</v>
      </c>
      <c r="M76" s="348">
        <f t="shared" si="16"/>
        <v>14419993.239</v>
      </c>
    </row>
    <row r="77" s="329" customFormat="1" ht="24" customHeight="1" spans="1:13">
      <c r="A77" s="345">
        <v>72</v>
      </c>
      <c r="B77" s="345" t="s">
        <v>378</v>
      </c>
      <c r="C77" s="349" t="str">
        <f>数据对照表!I2</f>
        <v>利息支出</v>
      </c>
      <c r="D77" s="349" t="s">
        <v>380</v>
      </c>
      <c r="E77" s="347">
        <f>IF(D77="计算扣除",0,SUMIFS('附表7-扣除项目明细采集底稿'!W:W,'附表7-扣除项目明细采集底稿'!E:E,数据对照表!I2,'附表7-扣除项目明细采集底稿'!V:V,"直接归集成本费用"))</f>
        <v>0</v>
      </c>
      <c r="F77" s="347">
        <f>IF(D77="计算扣除",0,SUMIFS('附表7-扣除项目明细采集底稿'!X:X,'附表7-扣除项目明细采集底稿'!E:E,数据对照表!I2,'附表7-扣除项目明细采集底稿'!V:V,"直接归集成本费用"))</f>
        <v>0</v>
      </c>
      <c r="G77" s="347">
        <f>IF(D77="计算扣除",0,SUMIFS('附表7-扣除项目明细采集底稿'!Y:Y,'附表7-扣除项目明细采集底稿'!E:E,数据对照表!I2,'附表7-扣除项目明细采集底稿'!V:V,"直接归集成本费用"))</f>
        <v>0</v>
      </c>
      <c r="H77" s="348">
        <f t="shared" si="15"/>
        <v>0</v>
      </c>
      <c r="I77" s="347">
        <f>IF(D77="计算扣除",0,SUMIFS('附表7-扣除项目明细采集底稿'!W:W,'附表7-扣除项目明细采集底稿'!E:E,数据对照表!I2,'附表7-扣除项目明细采集底稿'!V:V,"共同成本费用"))</f>
        <v>0</v>
      </c>
      <c r="J77" s="347">
        <f>IF(D77="计算扣除",0,SUMIFS('附表7-扣除项目明细采集底稿'!X:X,'附表7-扣除项目明细采集底稿'!E:E,数据对照表!I2,'附表7-扣除项目明细采集底稿'!V:V,"共同成本费用"))</f>
        <v>0</v>
      </c>
      <c r="K77" s="347">
        <f>IF(D77="计算扣除",0,SUMIFS('附表7-扣除项目明细采集底稿'!Y:Y,'附表7-扣除项目明细采集底稿'!E:E,数据对照表!I2,'附表7-扣除项目明细采集底稿'!V:V,"共同成本费用"))</f>
        <v>0</v>
      </c>
      <c r="L77" s="348">
        <f t="shared" si="13"/>
        <v>0</v>
      </c>
      <c r="M77" s="348">
        <f t="shared" si="16"/>
        <v>0</v>
      </c>
    </row>
    <row r="78" s="329" customFormat="1" ht="24" customHeight="1" spans="1:13">
      <c r="A78" s="345">
        <v>73</v>
      </c>
      <c r="B78" s="345"/>
      <c r="C78" s="349" t="s">
        <v>381</v>
      </c>
      <c r="D78" s="349"/>
      <c r="E78" s="347">
        <f>IF($D$77="计算扣除",((E6-E10)+(E11-E75))*10%,((E6-E10)+(E11-E75))*5%)</f>
        <v>5291166.37</v>
      </c>
      <c r="F78" s="347">
        <f>IF($D$77="计算扣除",((F6-F10)+(F11-F75))*10%,((F6-F10)+(F11-F75))*5%)</f>
        <v>3332476.05</v>
      </c>
      <c r="G78" s="347">
        <f>IF($D$77="计算扣除",((G6-G10)+(G11-G75))*10%,((G6-G10)+(G11-G75))*5%)</f>
        <v>2700083.725</v>
      </c>
      <c r="H78" s="348">
        <f t="shared" si="15"/>
        <v>11323726.145</v>
      </c>
      <c r="I78" s="347">
        <f>IF($D$77="计算扣除",((I6-I10)+(I11-I75))*10%,((I6-I10)+(I11-I75))*5%)</f>
        <v>1500027.071</v>
      </c>
      <c r="J78" s="347">
        <f>IF($D$77="计算扣除",((J6-J10)+(J11-J75))*10%,((J6-J10)+(J11-J75))*5%)</f>
        <v>992459.219</v>
      </c>
      <c r="K78" s="347">
        <f>IF($D$77="计算扣除",((K6-K10)+(K11-K75))*10%,((K6-K10)+(K11-K75))*5%)</f>
        <v>603780.804</v>
      </c>
      <c r="L78" s="348">
        <f t="shared" si="13"/>
        <v>3096267.094</v>
      </c>
      <c r="M78" s="348">
        <f t="shared" si="16"/>
        <v>14419993.239</v>
      </c>
    </row>
    <row r="79" s="329" customFormat="1" ht="24" customHeight="1" spans="1:13">
      <c r="A79" s="345">
        <v>74</v>
      </c>
      <c r="B79" s="349" t="s">
        <v>382</v>
      </c>
      <c r="C79" s="349"/>
      <c r="D79" s="349"/>
      <c r="E79" s="347">
        <f>SUM(E80:E84)</f>
        <v>361475.48</v>
      </c>
      <c r="F79" s="347">
        <f>SUM(F80:F84)</f>
        <v>220357.55</v>
      </c>
      <c r="G79" s="347">
        <f>SUM(G80:G84)</f>
        <v>32027.82</v>
      </c>
      <c r="H79" s="348">
        <f t="shared" si="15"/>
        <v>613860.85</v>
      </c>
      <c r="I79" s="358"/>
      <c r="J79" s="358"/>
      <c r="K79" s="358"/>
      <c r="L79" s="358"/>
      <c r="M79" s="348">
        <f t="shared" si="16"/>
        <v>613860.85</v>
      </c>
    </row>
    <row r="80" s="329" customFormat="1" ht="24" customHeight="1" spans="1:13">
      <c r="A80" s="345">
        <v>75</v>
      </c>
      <c r="B80" s="345" t="s">
        <v>378</v>
      </c>
      <c r="C80" s="349" t="s">
        <v>383</v>
      </c>
      <c r="D80" s="349"/>
      <c r="E80" s="348">
        <v>0</v>
      </c>
      <c r="F80" s="348">
        <v>0</v>
      </c>
      <c r="G80" s="348">
        <v>0</v>
      </c>
      <c r="H80" s="348">
        <f t="shared" si="15"/>
        <v>0</v>
      </c>
      <c r="I80" s="358"/>
      <c r="J80" s="358"/>
      <c r="K80" s="358"/>
      <c r="L80" s="358"/>
      <c r="M80" s="348">
        <f t="shared" si="16"/>
        <v>0</v>
      </c>
    </row>
    <row r="81" s="329" customFormat="1" ht="24" customHeight="1" spans="1:13">
      <c r="A81" s="345">
        <v>76</v>
      </c>
      <c r="B81" s="345"/>
      <c r="C81" s="349" t="s">
        <v>384</v>
      </c>
      <c r="D81" s="349"/>
      <c r="E81" s="348">
        <v>210860.71</v>
      </c>
      <c r="F81" s="348">
        <v>128541.91</v>
      </c>
      <c r="G81" s="348">
        <v>18682.9</v>
      </c>
      <c r="H81" s="348">
        <f t="shared" si="15"/>
        <v>358085.52</v>
      </c>
      <c r="I81" s="358"/>
      <c r="J81" s="358"/>
      <c r="K81" s="358"/>
      <c r="L81" s="358"/>
      <c r="M81" s="348">
        <f t="shared" si="16"/>
        <v>358085.52</v>
      </c>
    </row>
    <row r="82" s="329" customFormat="1" ht="24" customHeight="1" spans="1:13">
      <c r="A82" s="345">
        <v>77</v>
      </c>
      <c r="B82" s="345"/>
      <c r="C82" s="349" t="s">
        <v>385</v>
      </c>
      <c r="D82" s="349"/>
      <c r="E82" s="348">
        <v>90368.87</v>
      </c>
      <c r="F82" s="348">
        <v>55089.39</v>
      </c>
      <c r="G82" s="348">
        <v>8006.95</v>
      </c>
      <c r="H82" s="348">
        <f t="shared" si="15"/>
        <v>153465.21</v>
      </c>
      <c r="I82" s="358"/>
      <c r="J82" s="358"/>
      <c r="K82" s="358"/>
      <c r="L82" s="358"/>
      <c r="M82" s="348">
        <f t="shared" si="16"/>
        <v>153465.21</v>
      </c>
    </row>
    <row r="83" s="329" customFormat="1" ht="24" customHeight="1" spans="1:13">
      <c r="A83" s="345">
        <v>78</v>
      </c>
      <c r="B83" s="345"/>
      <c r="C83" s="349" t="s">
        <v>386</v>
      </c>
      <c r="D83" s="349"/>
      <c r="E83" s="348">
        <v>60245.9</v>
      </c>
      <c r="F83" s="348">
        <v>36726.25</v>
      </c>
      <c r="G83" s="348">
        <v>5337.97</v>
      </c>
      <c r="H83" s="348">
        <f t="shared" si="15"/>
        <v>102310.12</v>
      </c>
      <c r="I83" s="358"/>
      <c r="J83" s="358"/>
      <c r="K83" s="358"/>
      <c r="L83" s="358"/>
      <c r="M83" s="348">
        <f t="shared" si="16"/>
        <v>102310.12</v>
      </c>
    </row>
    <row r="84" s="329" customFormat="1" ht="24" customHeight="1" spans="1:13">
      <c r="A84" s="345">
        <v>79</v>
      </c>
      <c r="B84" s="345"/>
      <c r="C84" s="349" t="s">
        <v>387</v>
      </c>
      <c r="D84" s="349"/>
      <c r="E84" s="348">
        <v>0</v>
      </c>
      <c r="F84" s="348">
        <v>0</v>
      </c>
      <c r="G84" s="348">
        <v>0</v>
      </c>
      <c r="H84" s="348">
        <f t="shared" si="15"/>
        <v>0</v>
      </c>
      <c r="I84" s="358"/>
      <c r="J84" s="358"/>
      <c r="K84" s="358"/>
      <c r="L84" s="358"/>
      <c r="M84" s="348">
        <f t="shared" si="16"/>
        <v>0</v>
      </c>
    </row>
    <row r="85" s="329" customFormat="1" ht="24" customHeight="1" spans="1:13">
      <c r="A85" s="345">
        <v>80</v>
      </c>
      <c r="B85" s="349" t="s">
        <v>388</v>
      </c>
      <c r="C85" s="349"/>
      <c r="D85" s="349"/>
      <c r="E85" s="347">
        <f>((E6-E10)+(E11-E75))*20%</f>
        <v>10582332.74</v>
      </c>
      <c r="F85" s="347">
        <f>((F6-F10)+(F11-F75))*20%</f>
        <v>6664952.1</v>
      </c>
      <c r="G85" s="347">
        <f>((G6-G10)+(G11-G75))*20%</f>
        <v>5400167.45</v>
      </c>
      <c r="H85" s="348">
        <f t="shared" si="15"/>
        <v>22647452.29</v>
      </c>
      <c r="I85" s="347">
        <f>((I6-I10)+(I11-I75))*20%</f>
        <v>3000054.142</v>
      </c>
      <c r="J85" s="347">
        <f>((J6-J10)+(J11-J75))*20%</f>
        <v>1984918.438</v>
      </c>
      <c r="K85" s="347">
        <f>((K6-K10)+(K11-K75))*20%</f>
        <v>1207561.608</v>
      </c>
      <c r="L85" s="348">
        <f t="shared" ref="L85:L87" si="17">SUM(I85:K85)</f>
        <v>6192534.188</v>
      </c>
      <c r="M85" s="348">
        <f t="shared" si="16"/>
        <v>28839986.478</v>
      </c>
    </row>
    <row r="86" s="329" customFormat="1" ht="24" customHeight="1" spans="1:13">
      <c r="A86" s="345">
        <v>81</v>
      </c>
      <c r="B86" s="349" t="s">
        <v>389</v>
      </c>
      <c r="C86" s="349"/>
      <c r="D86" s="349"/>
      <c r="E86" s="348">
        <v>0</v>
      </c>
      <c r="F86" s="348">
        <v>0</v>
      </c>
      <c r="G86" s="348">
        <v>0</v>
      </c>
      <c r="H86" s="348">
        <f t="shared" si="15"/>
        <v>0</v>
      </c>
      <c r="I86" s="348">
        <v>0</v>
      </c>
      <c r="J86" s="348">
        <v>0</v>
      </c>
      <c r="K86" s="348">
        <v>0</v>
      </c>
      <c r="L86" s="348">
        <f t="shared" si="17"/>
        <v>0</v>
      </c>
      <c r="M86" s="348">
        <f t="shared" si="16"/>
        <v>0</v>
      </c>
    </row>
    <row r="87" s="329" customFormat="1" ht="24" customHeight="1" spans="1:13">
      <c r="A87" s="345">
        <v>82</v>
      </c>
      <c r="B87" s="349" t="s">
        <v>184</v>
      </c>
      <c r="C87" s="349"/>
      <c r="D87" s="349"/>
      <c r="E87" s="347">
        <f>E6+E11+E76+E79+E85+SUM(E86)</f>
        <v>69146638.29</v>
      </c>
      <c r="F87" s="347">
        <f>F6+F11+F76+F79+F85+SUM(F86)</f>
        <v>43542546.2</v>
      </c>
      <c r="G87" s="347">
        <f>G6+G11+G76+G79+G85+SUM(G86)</f>
        <v>35133116.245</v>
      </c>
      <c r="H87" s="348">
        <f t="shared" si="15"/>
        <v>147822300.735</v>
      </c>
      <c r="I87" s="347">
        <f>I6+I11+I76+I79+I85+SUM(I86)</f>
        <v>19500351.923</v>
      </c>
      <c r="J87" s="347">
        <f>J6+J11+J76+J79+J85+SUM(J86)</f>
        <v>12901969.847</v>
      </c>
      <c r="K87" s="347">
        <f>K6+K11+K76+K79+K85+SUM(K86)</f>
        <v>7849150.452</v>
      </c>
      <c r="L87" s="348">
        <f t="shared" si="17"/>
        <v>40251472.222</v>
      </c>
      <c r="M87" s="348">
        <f t="shared" si="16"/>
        <v>188073772.957</v>
      </c>
    </row>
  </sheetData>
  <mergeCells count="41">
    <mergeCell ref="A1:M1"/>
    <mergeCell ref="A2:M2"/>
    <mergeCell ref="E3:H3"/>
    <mergeCell ref="I3:L3"/>
    <mergeCell ref="B6:D6"/>
    <mergeCell ref="C7:D7"/>
    <mergeCell ref="C8:D8"/>
    <mergeCell ref="C9:D9"/>
    <mergeCell ref="B10:D10"/>
    <mergeCell ref="B11:D11"/>
    <mergeCell ref="C12:D12"/>
    <mergeCell ref="C19:D19"/>
    <mergeCell ref="C29:D29"/>
    <mergeCell ref="C36:D36"/>
    <mergeCell ref="C48:D48"/>
    <mergeCell ref="C65:D65"/>
    <mergeCell ref="B75:D75"/>
    <mergeCell ref="B76:D76"/>
    <mergeCell ref="C78:D78"/>
    <mergeCell ref="B79:D79"/>
    <mergeCell ref="C80:D80"/>
    <mergeCell ref="C81:D81"/>
    <mergeCell ref="C82:D82"/>
    <mergeCell ref="C83:D83"/>
    <mergeCell ref="C84:D84"/>
    <mergeCell ref="B85:D85"/>
    <mergeCell ref="B86:D86"/>
    <mergeCell ref="B87:D87"/>
    <mergeCell ref="A3:A5"/>
    <mergeCell ref="B7:B9"/>
    <mergeCell ref="B12:B74"/>
    <mergeCell ref="B77:B78"/>
    <mergeCell ref="B80:B84"/>
    <mergeCell ref="C13:C18"/>
    <mergeCell ref="C20:C28"/>
    <mergeCell ref="C30:C35"/>
    <mergeCell ref="C37:C47"/>
    <mergeCell ref="C49:C64"/>
    <mergeCell ref="C66:C74"/>
    <mergeCell ref="M3:M4"/>
    <mergeCell ref="B3:D5"/>
  </mergeCells>
  <dataValidations count="2">
    <dataValidation allowBlank="1" showInputMessage="1" showErrorMessage="1" sqref="C77"/>
    <dataValidation type="list" allowBlank="1" showInputMessage="1" showErrorMessage="1" sqref="D77">
      <formula1>"据实扣除, 计算扣除"</formula1>
    </dataValidation>
  </dataValidations>
  <printOptions horizontalCentered="1"/>
  <pageMargins left="0.707638888888889" right="0.707638888888889" top="0.747916666666667" bottom="0.747916666666667" header="0.313888888888889" footer="0.313888888888889"/>
  <pageSetup paperSize="9" scale="51" fitToHeight="0" orientation="landscape"/>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AA569"/>
  <sheetViews>
    <sheetView zoomScale="90" zoomScaleNormal="90" workbookViewId="0">
      <pane xSplit="9" ySplit="6" topLeftCell="J13" activePane="bottomRight" state="frozen"/>
      <selection/>
      <selection pane="topRight"/>
      <selection pane="bottomLeft"/>
      <selection pane="bottomRight" activeCell="L10" sqref="L10"/>
    </sheetView>
  </sheetViews>
  <sheetFormatPr defaultColWidth="5.6231884057971" defaultRowHeight="15"/>
  <cols>
    <col min="1" max="1" width="5.33333333333333" style="244" customWidth="1"/>
    <col min="2" max="2" width="9.2536231884058" style="244" customWidth="1"/>
    <col min="3" max="3" width="8.7536231884058" style="245" customWidth="1"/>
    <col min="4" max="5" width="8.1231884057971" style="244" customWidth="1"/>
    <col min="6" max="6" width="9.6231884057971" style="244" customWidth="1"/>
    <col min="7" max="7" width="12.2028985507246" style="244" customWidth="1"/>
    <col min="8" max="8" width="7.59420289855072" style="244" customWidth="1"/>
    <col min="9" max="9" width="8.1231884057971" style="244" customWidth="1"/>
    <col min="10" max="10" width="12.8333333333333" style="244" customWidth="1"/>
    <col min="11" max="11" width="11.5" style="244" customWidth="1"/>
    <col min="12" max="12" width="15.0797101449275" style="246" customWidth="1"/>
    <col min="13" max="13" width="10.0942028985507" style="244" customWidth="1"/>
    <col min="14" max="17" width="12" style="246" customWidth="1"/>
    <col min="18" max="18" width="5.6231884057971" style="244" customWidth="1"/>
    <col min="19" max="19" width="12.5942028985507" style="247" customWidth="1"/>
    <col min="20" max="20" width="17.7971014492754" style="248" customWidth="1"/>
    <col min="21" max="21" width="15.0797101449275" style="249" customWidth="1"/>
    <col min="22" max="22" width="14.1666666666667" style="249" customWidth="1"/>
    <col min="23" max="23" width="15.0797101449275" style="249" customWidth="1"/>
    <col min="24" max="24" width="15.0797101449275" style="246" customWidth="1"/>
    <col min="25" max="25" width="7.7536231884058" style="246" customWidth="1"/>
    <col min="26" max="26" width="6.5" style="244" customWidth="1"/>
    <col min="27" max="27" width="10.2536231884058" style="250"/>
    <col min="28" max="16384" width="5.6231884057971" style="250"/>
  </cols>
  <sheetData>
    <row r="1" ht="23.8" spans="1:26">
      <c r="A1" s="251" t="s">
        <v>390</v>
      </c>
      <c r="B1" s="251"/>
      <c r="C1" s="251"/>
      <c r="D1" s="251"/>
      <c r="E1" s="251"/>
      <c r="F1" s="251"/>
      <c r="G1" s="251"/>
      <c r="H1" s="251"/>
      <c r="I1" s="251"/>
      <c r="J1" s="251"/>
      <c r="K1" s="251"/>
      <c r="L1" s="264"/>
      <c r="M1" s="251"/>
      <c r="N1" s="264"/>
      <c r="O1" s="264"/>
      <c r="P1" s="264"/>
      <c r="Q1" s="264"/>
      <c r="R1" s="251"/>
      <c r="S1" s="292"/>
      <c r="T1" s="293"/>
      <c r="U1" s="294"/>
      <c r="V1" s="294"/>
      <c r="W1" s="294"/>
      <c r="X1" s="264"/>
      <c r="Y1" s="264"/>
      <c r="Z1" s="251"/>
    </row>
    <row r="2" s="238" customFormat="1" ht="14.4" spans="1:26">
      <c r="A2" s="252" t="str">
        <f>土地增值税税源明细表!F5&amp;"："&amp;土地增值税税源明细表!H5&amp;"          "&amp;土地增值税税源明细表!A5&amp;"："&amp;土地增值税税源明细表!B5&amp;"          "&amp;"金额单位:人民币元(列至角分)"</f>
        <v>项目编码：Z65280120190027          项目名称：沁春锦苑19#、20#、23#、24#楼          金额单位:人民币元(列至角分)</v>
      </c>
      <c r="B2" s="252"/>
      <c r="C2" s="252"/>
      <c r="D2" s="252"/>
      <c r="E2" s="252"/>
      <c r="F2" s="252"/>
      <c r="G2" s="252"/>
      <c r="H2" s="252"/>
      <c r="I2" s="252"/>
      <c r="J2" s="252"/>
      <c r="K2" s="252"/>
      <c r="L2" s="265"/>
      <c r="M2" s="252"/>
      <c r="N2" s="265"/>
      <c r="O2" s="265"/>
      <c r="P2" s="265"/>
      <c r="Q2" s="265"/>
      <c r="R2" s="252"/>
      <c r="S2" s="295"/>
      <c r="T2" s="296"/>
      <c r="U2" s="297"/>
      <c r="V2" s="297"/>
      <c r="W2" s="297"/>
      <c r="X2" s="265"/>
      <c r="Y2" s="265"/>
      <c r="Z2" s="252"/>
    </row>
    <row r="3" s="239" customFormat="1" ht="35.7" spans="1:26">
      <c r="A3" s="253" t="s">
        <v>33</v>
      </c>
      <c r="B3" s="254" t="s">
        <v>391</v>
      </c>
      <c r="C3" s="254" t="s">
        <v>392</v>
      </c>
      <c r="D3" s="254" t="s">
        <v>393</v>
      </c>
      <c r="E3" s="254" t="s">
        <v>394</v>
      </c>
      <c r="F3" s="254" t="s">
        <v>52</v>
      </c>
      <c r="G3" s="254" t="s">
        <v>395</v>
      </c>
      <c r="H3" s="254" t="s">
        <v>396</v>
      </c>
      <c r="I3" s="266" t="s">
        <v>397</v>
      </c>
      <c r="J3" s="254" t="s">
        <v>398</v>
      </c>
      <c r="K3" s="266" t="s">
        <v>399</v>
      </c>
      <c r="L3" s="267" t="s">
        <v>400</v>
      </c>
      <c r="M3" s="254" t="s">
        <v>401</v>
      </c>
      <c r="N3" s="267" t="s">
        <v>402</v>
      </c>
      <c r="O3" s="267" t="s">
        <v>403</v>
      </c>
      <c r="P3" s="267" t="s">
        <v>404</v>
      </c>
      <c r="Q3" s="267" t="s">
        <v>405</v>
      </c>
      <c r="R3" s="254" t="s">
        <v>406</v>
      </c>
      <c r="S3" s="258" t="s">
        <v>407</v>
      </c>
      <c r="T3" s="298" t="s">
        <v>408</v>
      </c>
      <c r="U3" s="299" t="s">
        <v>409</v>
      </c>
      <c r="V3" s="299" t="s">
        <v>410</v>
      </c>
      <c r="W3" s="299" t="s">
        <v>411</v>
      </c>
      <c r="X3" s="300" t="s">
        <v>412</v>
      </c>
      <c r="Y3" s="267" t="s">
        <v>413</v>
      </c>
      <c r="Z3" s="254" t="s">
        <v>414</v>
      </c>
    </row>
    <row r="4" s="240" customFormat="1" ht="18" customHeight="1" spans="1:26">
      <c r="A4" s="255" t="s">
        <v>415</v>
      </c>
      <c r="B4" s="256" t="s">
        <v>416</v>
      </c>
      <c r="C4" s="256" t="s">
        <v>416</v>
      </c>
      <c r="D4" s="256" t="s">
        <v>416</v>
      </c>
      <c r="E4" s="256" t="s">
        <v>416</v>
      </c>
      <c r="F4" s="256" t="s">
        <v>416</v>
      </c>
      <c r="G4" s="256" t="s">
        <v>416</v>
      </c>
      <c r="H4" s="256" t="s">
        <v>416</v>
      </c>
      <c r="I4" s="256" t="s">
        <v>416</v>
      </c>
      <c r="J4" s="256" t="s">
        <v>416</v>
      </c>
      <c r="K4" s="256" t="s">
        <v>416</v>
      </c>
      <c r="L4" s="268">
        <f>SUM(L$7:L$1048538)</f>
        <v>208438021</v>
      </c>
      <c r="M4" s="256" t="s">
        <v>416</v>
      </c>
      <c r="N4" s="268">
        <f>SUM(N$7:N$1048538)</f>
        <v>29020.7</v>
      </c>
      <c r="O4" s="268">
        <f>SUM(O$7:O$1048538)</f>
        <v>0</v>
      </c>
      <c r="P4" s="268">
        <f>SUM(P$7:P$1048538)</f>
        <v>54544.1599999998</v>
      </c>
      <c r="Q4" s="268">
        <f>SUM(Q$7:Q$1048538)</f>
        <v>1220.8</v>
      </c>
      <c r="R4" s="256" t="s">
        <v>416</v>
      </c>
      <c r="S4" s="256" t="s">
        <v>416</v>
      </c>
      <c r="T4" s="301" t="s">
        <v>416</v>
      </c>
      <c r="U4" s="302">
        <f>SUM(U$7:U$1048538)</f>
        <v>191227542.29</v>
      </c>
      <c r="V4" s="302">
        <f>SUM(V$7:V$1048538)</f>
        <v>17210478.71</v>
      </c>
      <c r="W4" s="302">
        <f>SUM(W$7:W$1048538)</f>
        <v>208438021</v>
      </c>
      <c r="X4" s="268">
        <f>SUM(X$7:X$1048538)</f>
        <v>191227542.29</v>
      </c>
      <c r="Y4" s="312">
        <f>IF(SUMIFS(X$7:X$1048538,H$7:H$1048538,"已售")=0,"*",ROUND(SUMIFS(X$7:X$1048538,H$7:H$1048538,"已售")/SUMIFS(P$7:P$1048538,H$7:H$1048538,"已售"),2))</f>
        <v>4328.21</v>
      </c>
      <c r="Z4" s="256" t="s">
        <v>416</v>
      </c>
    </row>
    <row r="5" s="241" customFormat="1" ht="18" customHeight="1" spans="1:26">
      <c r="A5" s="255" t="s">
        <v>417</v>
      </c>
      <c r="B5" s="256" t="s">
        <v>416</v>
      </c>
      <c r="C5" s="256" t="s">
        <v>416</v>
      </c>
      <c r="D5" s="256" t="s">
        <v>416</v>
      </c>
      <c r="E5" s="256" t="s">
        <v>416</v>
      </c>
      <c r="F5" s="256" t="s">
        <v>416</v>
      </c>
      <c r="G5" s="256" t="s">
        <v>416</v>
      </c>
      <c r="H5" s="256" t="s">
        <v>416</v>
      </c>
      <c r="I5" s="256" t="s">
        <v>416</v>
      </c>
      <c r="J5" s="256" t="s">
        <v>416</v>
      </c>
      <c r="K5" s="256" t="s">
        <v>416</v>
      </c>
      <c r="L5" s="268">
        <f>SUBTOTAL(9,L$7:L$1048538)</f>
        <v>208438021</v>
      </c>
      <c r="M5" s="256" t="s">
        <v>416</v>
      </c>
      <c r="N5" s="268">
        <f>SUBTOTAL(9,N$7:N$1048538)</f>
        <v>29020.7</v>
      </c>
      <c r="O5" s="268">
        <f>SUBTOTAL(9,O$7:O$1048538)</f>
        <v>0</v>
      </c>
      <c r="P5" s="268">
        <f>SUBTOTAL(9,P$7:P$1048538)</f>
        <v>54544.1599999998</v>
      </c>
      <c r="Q5" s="268">
        <f>SUBTOTAL(9,Q$7:Q$1048538)</f>
        <v>1220.8</v>
      </c>
      <c r="R5" s="256" t="s">
        <v>416</v>
      </c>
      <c r="S5" s="256" t="s">
        <v>416</v>
      </c>
      <c r="T5" s="301" t="s">
        <v>416</v>
      </c>
      <c r="U5" s="302">
        <f>SUBTOTAL(9,U$7:U$1048538)</f>
        <v>191227542.29</v>
      </c>
      <c r="V5" s="302">
        <f>SUBTOTAL(9,V$7:V$1048538)</f>
        <v>17210478.71</v>
      </c>
      <c r="W5" s="302">
        <f>SUBTOTAL(9,W$7:W$1048538)</f>
        <v>208438021</v>
      </c>
      <c r="X5" s="268">
        <f>SUBTOTAL(9,X$7:X$1048538)</f>
        <v>191227542.29</v>
      </c>
      <c r="Y5" s="312" t="str">
        <f>IF(AND(SUBTOTAL(3,K$7:K$1048538)=SUBTOTAL(3,P$7:P$1048538),SUBTOTAL(9,P$7:P$1048538)&lt;&gt;0),ROUND(SUBTOTAL(9,X$7:X$1048538)/SUBTOTAL(9,P$7:P$1048538),2),"*")</f>
        <v>*</v>
      </c>
      <c r="Z5" s="256" t="s">
        <v>416</v>
      </c>
    </row>
    <row r="6" s="241" customFormat="1" ht="23.8" spans="1:26">
      <c r="A6" s="257" t="s">
        <v>418</v>
      </c>
      <c r="B6" s="540" t="s">
        <v>38</v>
      </c>
      <c r="C6" s="540" t="s">
        <v>41</v>
      </c>
      <c r="D6" s="540" t="s">
        <v>44</v>
      </c>
      <c r="E6" s="540" t="s">
        <v>47</v>
      </c>
      <c r="F6" s="540" t="s">
        <v>92</v>
      </c>
      <c r="G6" s="540" t="s">
        <v>97</v>
      </c>
      <c r="H6" s="540" t="s">
        <v>100</v>
      </c>
      <c r="I6" s="540" t="s">
        <v>105</v>
      </c>
      <c r="J6" s="540" t="s">
        <v>109</v>
      </c>
      <c r="K6" s="540" t="s">
        <v>112</v>
      </c>
      <c r="L6" s="539" t="s">
        <v>115</v>
      </c>
      <c r="M6" s="540" t="s">
        <v>118</v>
      </c>
      <c r="N6" s="539" t="s">
        <v>419</v>
      </c>
      <c r="O6" s="539" t="s">
        <v>124</v>
      </c>
      <c r="P6" s="539" t="s">
        <v>420</v>
      </c>
      <c r="Q6" s="539" t="s">
        <v>131</v>
      </c>
      <c r="R6" s="540" t="s">
        <v>356</v>
      </c>
      <c r="S6" s="540" t="s">
        <v>357</v>
      </c>
      <c r="T6" s="545" t="s">
        <v>359</v>
      </c>
      <c r="U6" s="546" t="s">
        <v>361</v>
      </c>
      <c r="V6" s="546" t="s">
        <v>421</v>
      </c>
      <c r="W6" s="546" t="s">
        <v>422</v>
      </c>
      <c r="X6" s="539" t="s">
        <v>423</v>
      </c>
      <c r="Y6" s="539" t="s">
        <v>424</v>
      </c>
      <c r="Z6" s="540" t="s">
        <v>425</v>
      </c>
    </row>
    <row r="7" s="242" customFormat="1" ht="22" customHeight="1" outlineLevel="2" spans="1:26">
      <c r="A7" s="154" t="s">
        <v>38</v>
      </c>
      <c r="B7" s="259">
        <v>19</v>
      </c>
      <c r="C7" s="260">
        <v>1</v>
      </c>
      <c r="D7" s="154">
        <v>1</v>
      </c>
      <c r="E7" s="261" t="s">
        <v>426</v>
      </c>
      <c r="F7" s="259" t="s">
        <v>188</v>
      </c>
      <c r="G7" s="154" t="s">
        <v>256</v>
      </c>
      <c r="H7" s="154" t="s">
        <v>427</v>
      </c>
      <c r="I7" s="154" t="s">
        <v>334</v>
      </c>
      <c r="J7" s="269" t="s">
        <v>428</v>
      </c>
      <c r="K7" s="270">
        <v>43944</v>
      </c>
      <c r="L7" s="271">
        <v>960000</v>
      </c>
      <c r="M7" s="272" t="s">
        <v>429</v>
      </c>
      <c r="N7" s="271"/>
      <c r="O7" s="271"/>
      <c r="P7" s="273">
        <v>140.28</v>
      </c>
      <c r="Q7" s="271"/>
      <c r="R7" s="154"/>
      <c r="S7" s="189" t="s">
        <v>430</v>
      </c>
      <c r="T7" s="304" t="s">
        <v>431</v>
      </c>
      <c r="U7" s="305">
        <v>880733.94</v>
      </c>
      <c r="V7" s="305">
        <f>L7-U7</f>
        <v>79266.0600000001</v>
      </c>
      <c r="W7" s="306">
        <f>U7+V7</f>
        <v>960000</v>
      </c>
      <c r="X7" s="271">
        <f t="shared" ref="X7:X70" si="0">U7</f>
        <v>880733.94</v>
      </c>
      <c r="Y7" s="271">
        <f t="shared" ref="Y7:Y70" si="1">ROUND(X7/P7,2)</f>
        <v>6278.4</v>
      </c>
      <c r="Z7" s="154"/>
    </row>
    <row r="8" s="242" customFormat="1" ht="22" customHeight="1" outlineLevel="2" spans="1:26">
      <c r="A8" s="154" t="s">
        <v>41</v>
      </c>
      <c r="B8" s="259">
        <v>19</v>
      </c>
      <c r="C8" s="260">
        <v>1</v>
      </c>
      <c r="D8" s="154">
        <v>1</v>
      </c>
      <c r="E8" s="262" t="s">
        <v>432</v>
      </c>
      <c r="F8" s="259" t="s">
        <v>188</v>
      </c>
      <c r="G8" s="154" t="s">
        <v>256</v>
      </c>
      <c r="H8" s="154" t="s">
        <v>427</v>
      </c>
      <c r="I8" s="154" t="s">
        <v>334</v>
      </c>
      <c r="J8" s="269">
        <v>20200001063</v>
      </c>
      <c r="K8" s="270">
        <v>43900</v>
      </c>
      <c r="L8" s="271">
        <v>958041</v>
      </c>
      <c r="M8" s="274" t="s">
        <v>433</v>
      </c>
      <c r="N8" s="271"/>
      <c r="O8" s="271"/>
      <c r="P8" s="273">
        <v>139.86</v>
      </c>
      <c r="Q8" s="271"/>
      <c r="R8" s="154"/>
      <c r="S8" s="189" t="s">
        <v>430</v>
      </c>
      <c r="T8" s="307" t="s">
        <v>434</v>
      </c>
      <c r="U8" s="305">
        <v>878936.7</v>
      </c>
      <c r="V8" s="305">
        <f t="shared" ref="V8:V71" si="2">L8-U8</f>
        <v>79104.3</v>
      </c>
      <c r="W8" s="306">
        <f t="shared" ref="W8:W71" si="3">U8+V8</f>
        <v>958041</v>
      </c>
      <c r="X8" s="271">
        <f t="shared" si="0"/>
        <v>878936.7</v>
      </c>
      <c r="Y8" s="271">
        <f t="shared" si="1"/>
        <v>6284.4</v>
      </c>
      <c r="Z8" s="154"/>
    </row>
    <row r="9" s="243" customFormat="1" ht="22" customHeight="1" outlineLevel="2" spans="1:26">
      <c r="A9" s="154" t="s">
        <v>44</v>
      </c>
      <c r="B9" s="259">
        <v>19</v>
      </c>
      <c r="C9" s="260">
        <v>1</v>
      </c>
      <c r="D9" s="154">
        <v>2</v>
      </c>
      <c r="E9" s="262" t="s">
        <v>435</v>
      </c>
      <c r="F9" s="259" t="s">
        <v>188</v>
      </c>
      <c r="G9" s="154" t="s">
        <v>256</v>
      </c>
      <c r="H9" s="154" t="s">
        <v>427</v>
      </c>
      <c r="I9" s="154" t="s">
        <v>334</v>
      </c>
      <c r="J9" s="269">
        <v>20190003459</v>
      </c>
      <c r="K9" s="270">
        <v>43730</v>
      </c>
      <c r="L9" s="271">
        <v>561868</v>
      </c>
      <c r="M9" s="274" t="s">
        <v>436</v>
      </c>
      <c r="N9" s="271"/>
      <c r="O9" s="271"/>
      <c r="P9" s="273">
        <v>140.28</v>
      </c>
      <c r="Q9" s="271"/>
      <c r="R9" s="154"/>
      <c r="S9" s="189" t="s">
        <v>430</v>
      </c>
      <c r="T9" s="308" t="s">
        <v>437</v>
      </c>
      <c r="U9" s="305">
        <v>515475.23</v>
      </c>
      <c r="V9" s="305">
        <f t="shared" si="2"/>
        <v>46392.77</v>
      </c>
      <c r="W9" s="306">
        <f t="shared" si="3"/>
        <v>561868</v>
      </c>
      <c r="X9" s="271">
        <f t="shared" si="0"/>
        <v>515475.23</v>
      </c>
      <c r="Y9" s="271">
        <f t="shared" si="1"/>
        <v>3674.62</v>
      </c>
      <c r="Z9" s="154"/>
    </row>
    <row r="10" s="243" customFormat="1" ht="22" customHeight="1" outlineLevel="2" spans="1:26">
      <c r="A10" s="154" t="s">
        <v>47</v>
      </c>
      <c r="B10" s="259">
        <v>19</v>
      </c>
      <c r="C10" s="260">
        <v>1</v>
      </c>
      <c r="D10" s="154">
        <v>2</v>
      </c>
      <c r="E10" s="262" t="s">
        <v>438</v>
      </c>
      <c r="F10" s="259" t="s">
        <v>188</v>
      </c>
      <c r="G10" s="154" t="s">
        <v>256</v>
      </c>
      <c r="H10" s="154" t="s">
        <v>427</v>
      </c>
      <c r="I10" s="154" t="s">
        <v>334</v>
      </c>
      <c r="J10" s="269">
        <v>20190002582</v>
      </c>
      <c r="K10" s="270">
        <v>43713</v>
      </c>
      <c r="L10" s="271">
        <v>554654</v>
      </c>
      <c r="M10" s="275" t="s">
        <v>439</v>
      </c>
      <c r="N10" s="271"/>
      <c r="O10" s="271"/>
      <c r="P10" s="273">
        <v>139.86</v>
      </c>
      <c r="Q10" s="271"/>
      <c r="R10" s="154"/>
      <c r="S10" s="189" t="s">
        <v>430</v>
      </c>
      <c r="T10" s="304" t="s">
        <v>440</v>
      </c>
      <c r="U10" s="305">
        <v>508856.88</v>
      </c>
      <c r="V10" s="305">
        <f t="shared" si="2"/>
        <v>45797.12</v>
      </c>
      <c r="W10" s="306">
        <f t="shared" si="3"/>
        <v>554654</v>
      </c>
      <c r="X10" s="271">
        <f t="shared" si="0"/>
        <v>508856.88</v>
      </c>
      <c r="Y10" s="271">
        <f t="shared" si="1"/>
        <v>3638.33</v>
      </c>
      <c r="Z10" s="154"/>
    </row>
    <row r="11" s="243" customFormat="1" ht="22" customHeight="1" outlineLevel="2" spans="1:26">
      <c r="A11" s="154" t="s">
        <v>92</v>
      </c>
      <c r="B11" s="259">
        <v>19</v>
      </c>
      <c r="C11" s="260">
        <v>1</v>
      </c>
      <c r="D11" s="154">
        <v>3</v>
      </c>
      <c r="E11" s="262" t="s">
        <v>441</v>
      </c>
      <c r="F11" s="259" t="s">
        <v>188</v>
      </c>
      <c r="G11" s="154" t="s">
        <v>256</v>
      </c>
      <c r="H11" s="154" t="s">
        <v>427</v>
      </c>
      <c r="I11" s="154" t="s">
        <v>334</v>
      </c>
      <c r="J11" s="269">
        <v>20190007003</v>
      </c>
      <c r="K11" s="270">
        <v>43807</v>
      </c>
      <c r="L11" s="271">
        <v>568665</v>
      </c>
      <c r="M11" s="276" t="s">
        <v>442</v>
      </c>
      <c r="N11" s="271"/>
      <c r="O11" s="271"/>
      <c r="P11" s="273">
        <v>140.28</v>
      </c>
      <c r="Q11" s="271"/>
      <c r="R11" s="154"/>
      <c r="S11" s="189" t="s">
        <v>430</v>
      </c>
      <c r="T11" s="304" t="s">
        <v>443</v>
      </c>
      <c r="U11" s="305">
        <v>521711.01</v>
      </c>
      <c r="V11" s="305">
        <f t="shared" si="2"/>
        <v>46953.99</v>
      </c>
      <c r="W11" s="306">
        <f t="shared" si="3"/>
        <v>568665</v>
      </c>
      <c r="X11" s="271">
        <f t="shared" si="0"/>
        <v>521711.01</v>
      </c>
      <c r="Y11" s="271">
        <f t="shared" si="1"/>
        <v>3719.07</v>
      </c>
      <c r="Z11" s="154"/>
    </row>
    <row r="12" s="243" customFormat="1" ht="22" customHeight="1" outlineLevel="2" spans="1:26">
      <c r="A12" s="154" t="s">
        <v>97</v>
      </c>
      <c r="B12" s="259">
        <v>19</v>
      </c>
      <c r="C12" s="260">
        <v>1</v>
      </c>
      <c r="D12" s="154">
        <v>3</v>
      </c>
      <c r="E12" s="262" t="s">
        <v>444</v>
      </c>
      <c r="F12" s="259" t="s">
        <v>188</v>
      </c>
      <c r="G12" s="154" t="s">
        <v>256</v>
      </c>
      <c r="H12" s="154" t="s">
        <v>427</v>
      </c>
      <c r="I12" s="154" t="s">
        <v>334</v>
      </c>
      <c r="J12" s="269">
        <v>20190006288</v>
      </c>
      <c r="K12" s="270">
        <v>43793</v>
      </c>
      <c r="L12" s="271">
        <v>583588</v>
      </c>
      <c r="M12" s="274" t="s">
        <v>445</v>
      </c>
      <c r="N12" s="271"/>
      <c r="O12" s="271"/>
      <c r="P12" s="273">
        <v>139.86</v>
      </c>
      <c r="Q12" s="271"/>
      <c r="R12" s="154"/>
      <c r="S12" s="189" t="s">
        <v>430</v>
      </c>
      <c r="T12" s="309" t="s">
        <v>446</v>
      </c>
      <c r="U12" s="305">
        <v>535401.83</v>
      </c>
      <c r="V12" s="305">
        <f t="shared" si="2"/>
        <v>48186.17</v>
      </c>
      <c r="W12" s="306">
        <f t="shared" si="3"/>
        <v>583588</v>
      </c>
      <c r="X12" s="271">
        <f t="shared" si="0"/>
        <v>535401.83</v>
      </c>
      <c r="Y12" s="271">
        <f t="shared" si="1"/>
        <v>3828.13</v>
      </c>
      <c r="Z12" s="154"/>
    </row>
    <row r="13" s="243" customFormat="1" ht="22" customHeight="1" outlineLevel="2" spans="1:26">
      <c r="A13" s="154" t="s">
        <v>100</v>
      </c>
      <c r="B13" s="259">
        <v>19</v>
      </c>
      <c r="C13" s="260">
        <v>1</v>
      </c>
      <c r="D13" s="154">
        <v>4</v>
      </c>
      <c r="E13" s="262" t="s">
        <v>447</v>
      </c>
      <c r="F13" s="259" t="s">
        <v>188</v>
      </c>
      <c r="G13" s="154" t="s">
        <v>256</v>
      </c>
      <c r="H13" s="154" t="s">
        <v>427</v>
      </c>
      <c r="I13" s="154" t="s">
        <v>334</v>
      </c>
      <c r="J13" s="269">
        <v>20190005838</v>
      </c>
      <c r="K13" s="270">
        <v>43785</v>
      </c>
      <c r="L13" s="271">
        <v>575329</v>
      </c>
      <c r="M13" s="274" t="s">
        <v>448</v>
      </c>
      <c r="N13" s="271"/>
      <c r="O13" s="271"/>
      <c r="P13" s="273">
        <v>140.28</v>
      </c>
      <c r="Q13" s="271"/>
      <c r="R13" s="154"/>
      <c r="S13" s="189" t="s">
        <v>430</v>
      </c>
      <c r="T13" s="307" t="s">
        <v>449</v>
      </c>
      <c r="U13" s="305">
        <v>527824.77</v>
      </c>
      <c r="V13" s="305">
        <f t="shared" si="2"/>
        <v>47504.23</v>
      </c>
      <c r="W13" s="306">
        <f t="shared" si="3"/>
        <v>575329</v>
      </c>
      <c r="X13" s="271">
        <f t="shared" si="0"/>
        <v>527824.77</v>
      </c>
      <c r="Y13" s="271">
        <f t="shared" si="1"/>
        <v>3762.65</v>
      </c>
      <c r="Z13" s="154"/>
    </row>
    <row r="14" s="243" customFormat="1" ht="22" customHeight="1" outlineLevel="2" spans="1:26">
      <c r="A14" s="154" t="s">
        <v>105</v>
      </c>
      <c r="B14" s="259">
        <v>19</v>
      </c>
      <c r="C14" s="260">
        <v>1</v>
      </c>
      <c r="D14" s="154">
        <v>4</v>
      </c>
      <c r="E14" s="262" t="s">
        <v>450</v>
      </c>
      <c r="F14" s="259" t="s">
        <v>188</v>
      </c>
      <c r="G14" s="154" t="s">
        <v>256</v>
      </c>
      <c r="H14" s="154" t="s">
        <v>427</v>
      </c>
      <c r="I14" s="154" t="s">
        <v>334</v>
      </c>
      <c r="J14" s="269">
        <v>20190003542</v>
      </c>
      <c r="K14" s="270">
        <v>43731</v>
      </c>
      <c r="L14" s="271">
        <v>568072</v>
      </c>
      <c r="M14" s="274" t="s">
        <v>451</v>
      </c>
      <c r="N14" s="271"/>
      <c r="O14" s="271"/>
      <c r="P14" s="273">
        <v>139.86</v>
      </c>
      <c r="Q14" s="271"/>
      <c r="R14" s="154"/>
      <c r="S14" s="189" t="s">
        <v>430</v>
      </c>
      <c r="T14" s="304" t="s">
        <v>452</v>
      </c>
      <c r="U14" s="305">
        <v>521166.97</v>
      </c>
      <c r="V14" s="305">
        <f t="shared" si="2"/>
        <v>46905.03</v>
      </c>
      <c r="W14" s="306">
        <f t="shared" si="3"/>
        <v>568072</v>
      </c>
      <c r="X14" s="271">
        <f t="shared" si="0"/>
        <v>521166.97</v>
      </c>
      <c r="Y14" s="271">
        <f t="shared" si="1"/>
        <v>3726.35</v>
      </c>
      <c r="Z14" s="154"/>
    </row>
    <row r="15" s="243" customFormat="1" ht="22" customHeight="1" outlineLevel="2" spans="1:26">
      <c r="A15" s="154" t="s">
        <v>109</v>
      </c>
      <c r="B15" s="259">
        <v>19</v>
      </c>
      <c r="C15" s="260">
        <v>1</v>
      </c>
      <c r="D15" s="154">
        <v>5</v>
      </c>
      <c r="E15" s="262" t="s">
        <v>453</v>
      </c>
      <c r="F15" s="259" t="s">
        <v>188</v>
      </c>
      <c r="G15" s="154" t="s">
        <v>256</v>
      </c>
      <c r="H15" s="154" t="s">
        <v>427</v>
      </c>
      <c r="I15" s="154" t="s">
        <v>334</v>
      </c>
      <c r="J15" s="269">
        <v>20190008077</v>
      </c>
      <c r="K15" s="270">
        <v>43822</v>
      </c>
      <c r="L15" s="271">
        <v>582125</v>
      </c>
      <c r="M15" s="274" t="s">
        <v>454</v>
      </c>
      <c r="N15" s="271"/>
      <c r="O15" s="271"/>
      <c r="P15" s="273">
        <v>140.28</v>
      </c>
      <c r="Q15" s="271"/>
      <c r="R15" s="154"/>
      <c r="S15" s="189" t="s">
        <v>430</v>
      </c>
      <c r="T15" s="308" t="s">
        <v>455</v>
      </c>
      <c r="U15" s="305">
        <v>534059.63</v>
      </c>
      <c r="V15" s="305">
        <f t="shared" si="2"/>
        <v>48065.37</v>
      </c>
      <c r="W15" s="306">
        <f t="shared" si="3"/>
        <v>582125</v>
      </c>
      <c r="X15" s="271">
        <f t="shared" si="0"/>
        <v>534059.63</v>
      </c>
      <c r="Y15" s="271">
        <f t="shared" si="1"/>
        <v>3807.1</v>
      </c>
      <c r="Z15" s="154"/>
    </row>
    <row r="16" s="243" customFormat="1" ht="22" customHeight="1" outlineLevel="2" spans="1:26">
      <c r="A16" s="154" t="s">
        <v>112</v>
      </c>
      <c r="B16" s="259">
        <v>19</v>
      </c>
      <c r="C16" s="260">
        <v>1</v>
      </c>
      <c r="D16" s="154">
        <v>5</v>
      </c>
      <c r="E16" s="262" t="s">
        <v>456</v>
      </c>
      <c r="F16" s="259" t="s">
        <v>188</v>
      </c>
      <c r="G16" s="154" t="s">
        <v>256</v>
      </c>
      <c r="H16" s="154" t="s">
        <v>427</v>
      </c>
      <c r="I16" s="154" t="s">
        <v>334</v>
      </c>
      <c r="J16" s="269">
        <v>20190002661</v>
      </c>
      <c r="K16" s="270">
        <v>43715</v>
      </c>
      <c r="L16" s="271">
        <v>574716</v>
      </c>
      <c r="M16" s="277" t="s">
        <v>457</v>
      </c>
      <c r="N16" s="271"/>
      <c r="O16" s="271"/>
      <c r="P16" s="273">
        <v>139.86</v>
      </c>
      <c r="Q16" s="271"/>
      <c r="R16" s="154"/>
      <c r="S16" s="189" t="s">
        <v>430</v>
      </c>
      <c r="T16" s="304" t="s">
        <v>458</v>
      </c>
      <c r="U16" s="305">
        <v>527262.39</v>
      </c>
      <c r="V16" s="305">
        <f t="shared" si="2"/>
        <v>47453.61</v>
      </c>
      <c r="W16" s="306">
        <f t="shared" si="3"/>
        <v>574716</v>
      </c>
      <c r="X16" s="271">
        <f t="shared" si="0"/>
        <v>527262.39</v>
      </c>
      <c r="Y16" s="271">
        <f t="shared" si="1"/>
        <v>3769.93</v>
      </c>
      <c r="Z16" s="154"/>
    </row>
    <row r="17" s="243" customFormat="1" ht="22" customHeight="1" outlineLevel="2" spans="1:26">
      <c r="A17" s="154" t="s">
        <v>115</v>
      </c>
      <c r="B17" s="259">
        <v>19</v>
      </c>
      <c r="C17" s="260">
        <v>1</v>
      </c>
      <c r="D17" s="154">
        <v>6</v>
      </c>
      <c r="E17" s="262" t="s">
        <v>459</v>
      </c>
      <c r="F17" s="259" t="s">
        <v>188</v>
      </c>
      <c r="G17" s="154" t="s">
        <v>256</v>
      </c>
      <c r="H17" s="154" t="s">
        <v>427</v>
      </c>
      <c r="I17" s="154" t="s">
        <v>334</v>
      </c>
      <c r="J17" s="269">
        <v>20190002628</v>
      </c>
      <c r="K17" s="270">
        <v>43714</v>
      </c>
      <c r="L17" s="271">
        <v>599271</v>
      </c>
      <c r="M17" s="278" t="s">
        <v>460</v>
      </c>
      <c r="N17" s="271"/>
      <c r="O17" s="271"/>
      <c r="P17" s="273">
        <v>140.28</v>
      </c>
      <c r="Q17" s="271"/>
      <c r="R17" s="154"/>
      <c r="S17" s="189" t="s">
        <v>430</v>
      </c>
      <c r="T17" s="304" t="s">
        <v>461</v>
      </c>
      <c r="U17" s="305">
        <v>549789.91</v>
      </c>
      <c r="V17" s="305">
        <f t="shared" si="2"/>
        <v>49481.09</v>
      </c>
      <c r="W17" s="306">
        <f t="shared" si="3"/>
        <v>599271</v>
      </c>
      <c r="X17" s="271">
        <f t="shared" si="0"/>
        <v>549789.91</v>
      </c>
      <c r="Y17" s="271">
        <f t="shared" si="1"/>
        <v>3919.23</v>
      </c>
      <c r="Z17" s="154"/>
    </row>
    <row r="18" s="243" customFormat="1" ht="22" customHeight="1" outlineLevel="2" spans="1:26">
      <c r="A18" s="154" t="s">
        <v>118</v>
      </c>
      <c r="B18" s="259">
        <v>19</v>
      </c>
      <c r="C18" s="260">
        <v>1</v>
      </c>
      <c r="D18" s="154">
        <v>6</v>
      </c>
      <c r="E18" s="262" t="s">
        <v>462</v>
      </c>
      <c r="F18" s="259" t="s">
        <v>188</v>
      </c>
      <c r="G18" s="154" t="s">
        <v>256</v>
      </c>
      <c r="H18" s="154" t="s">
        <v>427</v>
      </c>
      <c r="I18" s="154" t="s">
        <v>334</v>
      </c>
      <c r="J18" s="269">
        <v>20190005073</v>
      </c>
      <c r="K18" s="270">
        <v>43767</v>
      </c>
      <c r="L18" s="271">
        <v>581492</v>
      </c>
      <c r="M18" s="279" t="s">
        <v>463</v>
      </c>
      <c r="N18" s="271"/>
      <c r="O18" s="271"/>
      <c r="P18" s="273">
        <v>139.86</v>
      </c>
      <c r="Q18" s="271"/>
      <c r="R18" s="154"/>
      <c r="S18" s="189" t="s">
        <v>430</v>
      </c>
      <c r="T18" s="309" t="s">
        <v>464</v>
      </c>
      <c r="U18" s="305">
        <v>533478.9</v>
      </c>
      <c r="V18" s="305">
        <f t="shared" si="2"/>
        <v>48013.1</v>
      </c>
      <c r="W18" s="306">
        <f t="shared" si="3"/>
        <v>581492</v>
      </c>
      <c r="X18" s="271">
        <f t="shared" si="0"/>
        <v>533478.9</v>
      </c>
      <c r="Y18" s="271">
        <f t="shared" si="1"/>
        <v>3814.38</v>
      </c>
      <c r="Z18" s="154"/>
    </row>
    <row r="19" s="243" customFormat="1" ht="22" customHeight="1" outlineLevel="2" spans="1:26">
      <c r="A19" s="154" t="s">
        <v>121</v>
      </c>
      <c r="B19" s="259">
        <v>19</v>
      </c>
      <c r="C19" s="260">
        <v>1</v>
      </c>
      <c r="D19" s="154">
        <v>7</v>
      </c>
      <c r="E19" s="261" t="s">
        <v>465</v>
      </c>
      <c r="F19" s="259" t="s">
        <v>188</v>
      </c>
      <c r="G19" s="154" t="s">
        <v>256</v>
      </c>
      <c r="H19" s="154" t="s">
        <v>427</v>
      </c>
      <c r="I19" s="154" t="s">
        <v>334</v>
      </c>
      <c r="J19" s="269">
        <v>20190002668</v>
      </c>
      <c r="K19" s="270">
        <v>43715</v>
      </c>
      <c r="L19" s="271">
        <v>592120</v>
      </c>
      <c r="M19" s="280" t="s">
        <v>466</v>
      </c>
      <c r="N19" s="271"/>
      <c r="O19" s="271"/>
      <c r="P19" s="273">
        <v>140.28</v>
      </c>
      <c r="Q19" s="271"/>
      <c r="R19" s="154"/>
      <c r="S19" s="189" t="s">
        <v>430</v>
      </c>
      <c r="T19" s="304" t="s">
        <v>467</v>
      </c>
      <c r="U19" s="305">
        <v>543229.36</v>
      </c>
      <c r="V19" s="305">
        <f t="shared" si="2"/>
        <v>48890.64</v>
      </c>
      <c r="W19" s="306">
        <f t="shared" si="3"/>
        <v>592120</v>
      </c>
      <c r="X19" s="271">
        <f t="shared" si="0"/>
        <v>543229.36</v>
      </c>
      <c r="Y19" s="271">
        <f t="shared" si="1"/>
        <v>3872.46</v>
      </c>
      <c r="Z19" s="154"/>
    </row>
    <row r="20" s="243" customFormat="1" ht="22" customHeight="1" outlineLevel="2" spans="1:26">
      <c r="A20" s="154" t="s">
        <v>124</v>
      </c>
      <c r="B20" s="259">
        <v>19</v>
      </c>
      <c r="C20" s="260">
        <v>1</v>
      </c>
      <c r="D20" s="154">
        <v>7</v>
      </c>
      <c r="E20" s="262" t="s">
        <v>468</v>
      </c>
      <c r="F20" s="259" t="s">
        <v>188</v>
      </c>
      <c r="G20" s="154" t="s">
        <v>256</v>
      </c>
      <c r="H20" s="154" t="s">
        <v>427</v>
      </c>
      <c r="I20" s="154" t="s">
        <v>334</v>
      </c>
      <c r="J20" s="269">
        <v>20190002914</v>
      </c>
      <c r="K20" s="270">
        <v>43720</v>
      </c>
      <c r="L20" s="271">
        <v>591723</v>
      </c>
      <c r="M20" s="274" t="s">
        <v>469</v>
      </c>
      <c r="N20" s="271"/>
      <c r="O20" s="271"/>
      <c r="P20" s="273">
        <v>139.86</v>
      </c>
      <c r="Q20" s="271"/>
      <c r="R20" s="154"/>
      <c r="S20" s="189" t="s">
        <v>430</v>
      </c>
      <c r="T20" s="547" t="s">
        <v>470</v>
      </c>
      <c r="U20" s="305">
        <v>542865.14</v>
      </c>
      <c r="V20" s="305">
        <f t="shared" si="2"/>
        <v>48857.86</v>
      </c>
      <c r="W20" s="306">
        <f t="shared" si="3"/>
        <v>591723</v>
      </c>
      <c r="X20" s="271">
        <f t="shared" si="0"/>
        <v>542865.14</v>
      </c>
      <c r="Y20" s="271">
        <f t="shared" si="1"/>
        <v>3881.49</v>
      </c>
      <c r="Z20" s="154"/>
    </row>
    <row r="21" s="243" customFormat="1" ht="22" customHeight="1" outlineLevel="2" spans="1:26">
      <c r="A21" s="154" t="s">
        <v>127</v>
      </c>
      <c r="B21" s="259">
        <v>19</v>
      </c>
      <c r="C21" s="260">
        <v>1</v>
      </c>
      <c r="D21" s="154">
        <v>8</v>
      </c>
      <c r="E21" s="262" t="s">
        <v>471</v>
      </c>
      <c r="F21" s="259" t="s">
        <v>188</v>
      </c>
      <c r="G21" s="154" t="s">
        <v>256</v>
      </c>
      <c r="H21" s="154" t="s">
        <v>427</v>
      </c>
      <c r="I21" s="154" t="s">
        <v>334</v>
      </c>
      <c r="J21" s="269">
        <v>20190007676</v>
      </c>
      <c r="K21" s="270">
        <v>43816</v>
      </c>
      <c r="L21" s="271">
        <v>586370</v>
      </c>
      <c r="M21" s="280" t="s">
        <v>472</v>
      </c>
      <c r="N21" s="271"/>
      <c r="O21" s="271"/>
      <c r="P21" s="273">
        <v>140.28</v>
      </c>
      <c r="Q21" s="271"/>
      <c r="R21" s="154"/>
      <c r="S21" s="189" t="s">
        <v>430</v>
      </c>
      <c r="T21" s="308" t="s">
        <v>473</v>
      </c>
      <c r="U21" s="305">
        <v>537954.13</v>
      </c>
      <c r="V21" s="305">
        <f t="shared" si="2"/>
        <v>48415.87</v>
      </c>
      <c r="W21" s="306">
        <f t="shared" si="3"/>
        <v>586370</v>
      </c>
      <c r="X21" s="271">
        <f t="shared" si="0"/>
        <v>537954.13</v>
      </c>
      <c r="Y21" s="271">
        <f t="shared" si="1"/>
        <v>3834.86</v>
      </c>
      <c r="Z21" s="154"/>
    </row>
    <row r="22" s="243" customFormat="1" ht="22" customHeight="1" outlineLevel="2" spans="1:26">
      <c r="A22" s="154" t="s">
        <v>131</v>
      </c>
      <c r="B22" s="259">
        <v>19</v>
      </c>
      <c r="C22" s="260">
        <v>1</v>
      </c>
      <c r="D22" s="154">
        <v>8</v>
      </c>
      <c r="E22" s="262" t="s">
        <v>474</v>
      </c>
      <c r="F22" s="259" t="s">
        <v>188</v>
      </c>
      <c r="G22" s="154" t="s">
        <v>256</v>
      </c>
      <c r="H22" s="154" t="s">
        <v>427</v>
      </c>
      <c r="I22" s="154" t="s">
        <v>334</v>
      </c>
      <c r="J22" s="269">
        <v>20190005297</v>
      </c>
      <c r="K22" s="270">
        <v>43773</v>
      </c>
      <c r="L22" s="271">
        <v>587412</v>
      </c>
      <c r="M22" s="281" t="s">
        <v>475</v>
      </c>
      <c r="N22" s="271"/>
      <c r="O22" s="271"/>
      <c r="P22" s="273">
        <v>139.86</v>
      </c>
      <c r="Q22" s="271"/>
      <c r="R22" s="154"/>
      <c r="S22" s="189" t="s">
        <v>430</v>
      </c>
      <c r="T22" s="304" t="s">
        <v>476</v>
      </c>
      <c r="U22" s="305">
        <v>538910.09</v>
      </c>
      <c r="V22" s="305">
        <f t="shared" si="2"/>
        <v>48501.91</v>
      </c>
      <c r="W22" s="306">
        <f t="shared" si="3"/>
        <v>587412</v>
      </c>
      <c r="X22" s="271">
        <f t="shared" si="0"/>
        <v>538910.09</v>
      </c>
      <c r="Y22" s="271">
        <f t="shared" si="1"/>
        <v>3853.21</v>
      </c>
      <c r="Z22" s="154"/>
    </row>
    <row r="23" s="243" customFormat="1" ht="22" customHeight="1" outlineLevel="2" spans="1:26">
      <c r="A23" s="154" t="s">
        <v>356</v>
      </c>
      <c r="B23" s="259">
        <v>19</v>
      </c>
      <c r="C23" s="259">
        <v>2</v>
      </c>
      <c r="D23" s="154">
        <v>1</v>
      </c>
      <c r="E23" s="262" t="s">
        <v>477</v>
      </c>
      <c r="F23" s="259" t="s">
        <v>188</v>
      </c>
      <c r="G23" s="154" t="s">
        <v>256</v>
      </c>
      <c r="H23" s="154" t="s">
        <v>427</v>
      </c>
      <c r="I23" s="154" t="s">
        <v>334</v>
      </c>
      <c r="J23" s="269" t="s">
        <v>478</v>
      </c>
      <c r="K23" s="270">
        <v>44095</v>
      </c>
      <c r="L23" s="271">
        <v>993006</v>
      </c>
      <c r="M23" s="274" t="s">
        <v>479</v>
      </c>
      <c r="N23" s="271"/>
      <c r="O23" s="271"/>
      <c r="P23" s="273">
        <v>139.86</v>
      </c>
      <c r="Q23" s="271"/>
      <c r="R23" s="154"/>
      <c r="S23" s="189" t="s">
        <v>430</v>
      </c>
      <c r="T23" s="304" t="s">
        <v>480</v>
      </c>
      <c r="U23" s="305">
        <v>911014.68</v>
      </c>
      <c r="V23" s="305">
        <f t="shared" si="2"/>
        <v>81991.3199999999</v>
      </c>
      <c r="W23" s="306">
        <f t="shared" si="3"/>
        <v>993006</v>
      </c>
      <c r="X23" s="271">
        <f t="shared" si="0"/>
        <v>911014.68</v>
      </c>
      <c r="Y23" s="271">
        <f t="shared" si="1"/>
        <v>6513.76</v>
      </c>
      <c r="Z23" s="154"/>
    </row>
    <row r="24" s="243" customFormat="1" ht="22" customHeight="1" outlineLevel="2" spans="1:26">
      <c r="A24" s="154" t="s">
        <v>357</v>
      </c>
      <c r="B24" s="259">
        <v>19</v>
      </c>
      <c r="C24" s="259">
        <v>2</v>
      </c>
      <c r="D24" s="154">
        <v>1</v>
      </c>
      <c r="E24" s="262" t="s">
        <v>481</v>
      </c>
      <c r="F24" s="259" t="s">
        <v>188</v>
      </c>
      <c r="G24" s="154" t="s">
        <v>256</v>
      </c>
      <c r="H24" s="154" t="s">
        <v>427</v>
      </c>
      <c r="I24" s="154" t="s">
        <v>334</v>
      </c>
      <c r="J24" s="269">
        <v>20200007348</v>
      </c>
      <c r="K24" s="270">
        <v>44037</v>
      </c>
      <c r="L24" s="271">
        <v>995988</v>
      </c>
      <c r="M24" s="282" t="s">
        <v>482</v>
      </c>
      <c r="N24" s="271"/>
      <c r="O24" s="271"/>
      <c r="P24" s="273">
        <v>140.28</v>
      </c>
      <c r="Q24" s="271"/>
      <c r="R24" s="154"/>
      <c r="S24" s="189" t="s">
        <v>430</v>
      </c>
      <c r="T24" s="309" t="s">
        <v>483</v>
      </c>
      <c r="U24" s="305">
        <v>913750.46</v>
      </c>
      <c r="V24" s="305">
        <f t="shared" si="2"/>
        <v>82237.54</v>
      </c>
      <c r="W24" s="306">
        <f t="shared" si="3"/>
        <v>995988</v>
      </c>
      <c r="X24" s="271">
        <f t="shared" si="0"/>
        <v>913750.46</v>
      </c>
      <c r="Y24" s="271">
        <f t="shared" si="1"/>
        <v>6513.76</v>
      </c>
      <c r="Z24" s="154"/>
    </row>
    <row r="25" s="243" customFormat="1" ht="22" customHeight="1" outlineLevel="2" spans="1:26">
      <c r="A25" s="154" t="s">
        <v>359</v>
      </c>
      <c r="B25" s="259">
        <v>19</v>
      </c>
      <c r="C25" s="259">
        <v>2</v>
      </c>
      <c r="D25" s="154">
        <v>2</v>
      </c>
      <c r="E25" s="262" t="s">
        <v>484</v>
      </c>
      <c r="F25" s="259" t="s">
        <v>188</v>
      </c>
      <c r="G25" s="154" t="s">
        <v>256</v>
      </c>
      <c r="H25" s="154" t="s">
        <v>427</v>
      </c>
      <c r="I25" s="154" t="s">
        <v>334</v>
      </c>
      <c r="J25" s="269">
        <v>20190002821</v>
      </c>
      <c r="K25" s="270">
        <v>43719</v>
      </c>
      <c r="L25" s="271">
        <v>554654</v>
      </c>
      <c r="M25" s="280" t="s">
        <v>485</v>
      </c>
      <c r="N25" s="271"/>
      <c r="O25" s="271"/>
      <c r="P25" s="273">
        <v>139.86</v>
      </c>
      <c r="Q25" s="271"/>
      <c r="R25" s="154"/>
      <c r="S25" s="189" t="s">
        <v>430</v>
      </c>
      <c r="T25" s="308" t="s">
        <v>486</v>
      </c>
      <c r="U25" s="305">
        <v>508856.88</v>
      </c>
      <c r="V25" s="305">
        <f t="shared" si="2"/>
        <v>45797.12</v>
      </c>
      <c r="W25" s="306">
        <f t="shared" si="3"/>
        <v>554654</v>
      </c>
      <c r="X25" s="271">
        <f t="shared" si="0"/>
        <v>508856.88</v>
      </c>
      <c r="Y25" s="271">
        <f t="shared" si="1"/>
        <v>3638.33</v>
      </c>
      <c r="Z25" s="154"/>
    </row>
    <row r="26" s="243" customFormat="1" ht="22" customHeight="1" outlineLevel="2" spans="1:26">
      <c r="A26" s="154" t="s">
        <v>361</v>
      </c>
      <c r="B26" s="259">
        <v>19</v>
      </c>
      <c r="C26" s="259">
        <v>2</v>
      </c>
      <c r="D26" s="154">
        <v>2</v>
      </c>
      <c r="E26" s="262" t="s">
        <v>487</v>
      </c>
      <c r="F26" s="259" t="s">
        <v>188</v>
      </c>
      <c r="G26" s="154" t="s">
        <v>256</v>
      </c>
      <c r="H26" s="154" t="s">
        <v>427</v>
      </c>
      <c r="I26" s="154" t="s">
        <v>334</v>
      </c>
      <c r="J26" s="269">
        <v>20210012114</v>
      </c>
      <c r="K26" s="270">
        <v>44531</v>
      </c>
      <c r="L26" s="271">
        <v>750000</v>
      </c>
      <c r="M26" s="283" t="s">
        <v>488</v>
      </c>
      <c r="N26" s="271"/>
      <c r="O26" s="271"/>
      <c r="P26" s="273">
        <v>140.28</v>
      </c>
      <c r="Q26" s="271"/>
      <c r="R26" s="154"/>
      <c r="S26" s="189" t="s">
        <v>430</v>
      </c>
      <c r="T26" s="304" t="s">
        <v>489</v>
      </c>
      <c r="U26" s="305">
        <v>688073.39</v>
      </c>
      <c r="V26" s="305">
        <f t="shared" si="2"/>
        <v>61926.61</v>
      </c>
      <c r="W26" s="306">
        <f t="shared" si="3"/>
        <v>750000</v>
      </c>
      <c r="X26" s="271">
        <f t="shared" si="0"/>
        <v>688073.39</v>
      </c>
      <c r="Y26" s="271">
        <f t="shared" si="1"/>
        <v>4905</v>
      </c>
      <c r="Z26" s="154"/>
    </row>
    <row r="27" s="243" customFormat="1" ht="22" customHeight="1" outlineLevel="2" spans="1:26">
      <c r="A27" s="154" t="s">
        <v>421</v>
      </c>
      <c r="B27" s="259">
        <v>19</v>
      </c>
      <c r="C27" s="259">
        <v>2</v>
      </c>
      <c r="D27" s="154">
        <v>3</v>
      </c>
      <c r="E27" s="262" t="s">
        <v>490</v>
      </c>
      <c r="F27" s="259" t="s">
        <v>188</v>
      </c>
      <c r="G27" s="154" t="s">
        <v>256</v>
      </c>
      <c r="H27" s="154" t="s">
        <v>427</v>
      </c>
      <c r="I27" s="154" t="s">
        <v>334</v>
      </c>
      <c r="J27" s="269">
        <v>20190004135</v>
      </c>
      <c r="K27" s="270">
        <v>43748</v>
      </c>
      <c r="L27" s="271">
        <v>561429</v>
      </c>
      <c r="M27" s="284" t="s">
        <v>491</v>
      </c>
      <c r="N27" s="271"/>
      <c r="O27" s="271"/>
      <c r="P27" s="273">
        <v>139.86</v>
      </c>
      <c r="Q27" s="271"/>
      <c r="R27" s="154"/>
      <c r="S27" s="189" t="s">
        <v>430</v>
      </c>
      <c r="T27" s="304" t="s">
        <v>492</v>
      </c>
      <c r="U27" s="305">
        <v>515072.48</v>
      </c>
      <c r="V27" s="305">
        <f t="shared" si="2"/>
        <v>46356.52</v>
      </c>
      <c r="W27" s="306">
        <f t="shared" si="3"/>
        <v>561429</v>
      </c>
      <c r="X27" s="271">
        <f t="shared" si="0"/>
        <v>515072.48</v>
      </c>
      <c r="Y27" s="271">
        <f t="shared" si="1"/>
        <v>3682.77</v>
      </c>
      <c r="Z27" s="154"/>
    </row>
    <row r="28" s="243" customFormat="1" ht="22" customHeight="1" outlineLevel="2" spans="1:26">
      <c r="A28" s="154" t="s">
        <v>363</v>
      </c>
      <c r="B28" s="259">
        <v>19</v>
      </c>
      <c r="C28" s="259">
        <v>2</v>
      </c>
      <c r="D28" s="154">
        <v>3</v>
      </c>
      <c r="E28" s="262" t="s">
        <v>493</v>
      </c>
      <c r="F28" s="259" t="s">
        <v>188</v>
      </c>
      <c r="G28" s="154" t="s">
        <v>256</v>
      </c>
      <c r="H28" s="154" t="s">
        <v>427</v>
      </c>
      <c r="I28" s="154" t="s">
        <v>334</v>
      </c>
      <c r="J28" s="269">
        <v>20190002665</v>
      </c>
      <c r="K28" s="270">
        <v>43715</v>
      </c>
      <c r="L28" s="271">
        <v>574129</v>
      </c>
      <c r="M28" s="280" t="s">
        <v>494</v>
      </c>
      <c r="N28" s="271"/>
      <c r="O28" s="271"/>
      <c r="P28" s="273">
        <v>140.28</v>
      </c>
      <c r="Q28" s="271"/>
      <c r="R28" s="154"/>
      <c r="S28" s="189" t="s">
        <v>430</v>
      </c>
      <c r="T28" s="308" t="s">
        <v>495</v>
      </c>
      <c r="U28" s="305">
        <v>526723.85</v>
      </c>
      <c r="V28" s="305">
        <f t="shared" si="2"/>
        <v>47405.15</v>
      </c>
      <c r="W28" s="306">
        <f t="shared" si="3"/>
        <v>574129</v>
      </c>
      <c r="X28" s="271">
        <f t="shared" si="0"/>
        <v>526723.85</v>
      </c>
      <c r="Y28" s="271">
        <f t="shared" si="1"/>
        <v>3754.8</v>
      </c>
      <c r="Z28" s="154"/>
    </row>
    <row r="29" s="243" customFormat="1" ht="22" customHeight="1" outlineLevel="2" spans="1:26">
      <c r="A29" s="154" t="s">
        <v>423</v>
      </c>
      <c r="B29" s="259">
        <v>19</v>
      </c>
      <c r="C29" s="259">
        <v>2</v>
      </c>
      <c r="D29" s="154">
        <v>4</v>
      </c>
      <c r="E29" s="262" t="s">
        <v>496</v>
      </c>
      <c r="F29" s="259" t="s">
        <v>188</v>
      </c>
      <c r="G29" s="154" t="s">
        <v>256</v>
      </c>
      <c r="H29" s="154" t="s">
        <v>427</v>
      </c>
      <c r="I29" s="154" t="s">
        <v>334</v>
      </c>
      <c r="J29" s="269">
        <v>20190002937</v>
      </c>
      <c r="K29" s="270">
        <v>43722</v>
      </c>
      <c r="L29" s="271">
        <v>568072</v>
      </c>
      <c r="M29" s="274" t="s">
        <v>497</v>
      </c>
      <c r="N29" s="271"/>
      <c r="O29" s="271"/>
      <c r="P29" s="273">
        <v>139.86</v>
      </c>
      <c r="Q29" s="271"/>
      <c r="R29" s="154"/>
      <c r="S29" s="189" t="s">
        <v>430</v>
      </c>
      <c r="T29" s="309" t="s">
        <v>498</v>
      </c>
      <c r="U29" s="305">
        <v>521166.97</v>
      </c>
      <c r="V29" s="305">
        <f t="shared" si="2"/>
        <v>46905.03</v>
      </c>
      <c r="W29" s="306">
        <f t="shared" si="3"/>
        <v>568072</v>
      </c>
      <c r="X29" s="271">
        <f t="shared" si="0"/>
        <v>521166.97</v>
      </c>
      <c r="Y29" s="271">
        <f t="shared" si="1"/>
        <v>3726.35</v>
      </c>
      <c r="Z29" s="154"/>
    </row>
    <row r="30" s="243" customFormat="1" ht="22" customHeight="1" outlineLevel="2" spans="1:26">
      <c r="A30" s="154" t="s">
        <v>499</v>
      </c>
      <c r="B30" s="259">
        <v>19</v>
      </c>
      <c r="C30" s="259">
        <v>2</v>
      </c>
      <c r="D30" s="154">
        <v>4</v>
      </c>
      <c r="E30" s="262" t="s">
        <v>500</v>
      </c>
      <c r="F30" s="259" t="s">
        <v>188</v>
      </c>
      <c r="G30" s="154" t="s">
        <v>256</v>
      </c>
      <c r="H30" s="154" t="s">
        <v>427</v>
      </c>
      <c r="I30" s="154" t="s">
        <v>334</v>
      </c>
      <c r="J30" s="269">
        <v>20190002680</v>
      </c>
      <c r="K30" s="270">
        <v>43777</v>
      </c>
      <c r="L30" s="271">
        <v>580925</v>
      </c>
      <c r="M30" s="274" t="s">
        <v>501</v>
      </c>
      <c r="N30" s="271"/>
      <c r="O30" s="271"/>
      <c r="P30" s="273">
        <v>140.28</v>
      </c>
      <c r="Q30" s="271"/>
      <c r="R30" s="154"/>
      <c r="S30" s="189" t="s">
        <v>430</v>
      </c>
      <c r="T30" s="308" t="s">
        <v>502</v>
      </c>
      <c r="U30" s="305">
        <v>532958.72</v>
      </c>
      <c r="V30" s="305">
        <f t="shared" si="2"/>
        <v>47966.28</v>
      </c>
      <c r="W30" s="306">
        <f t="shared" si="3"/>
        <v>580925</v>
      </c>
      <c r="X30" s="271">
        <f t="shared" si="0"/>
        <v>532958.72</v>
      </c>
      <c r="Y30" s="271">
        <f t="shared" si="1"/>
        <v>3799.25</v>
      </c>
      <c r="Z30" s="154"/>
    </row>
    <row r="31" s="243" customFormat="1" ht="22" customHeight="1" outlineLevel="2" spans="1:26">
      <c r="A31" s="154" t="s">
        <v>425</v>
      </c>
      <c r="B31" s="259">
        <v>19</v>
      </c>
      <c r="C31" s="259">
        <v>2</v>
      </c>
      <c r="D31" s="154">
        <v>5</v>
      </c>
      <c r="E31" s="261" t="s">
        <v>503</v>
      </c>
      <c r="F31" s="259" t="s">
        <v>188</v>
      </c>
      <c r="G31" s="154" t="s">
        <v>256</v>
      </c>
      <c r="H31" s="154" t="s">
        <v>427</v>
      </c>
      <c r="I31" s="154" t="s">
        <v>334</v>
      </c>
      <c r="J31" s="269">
        <v>20190003568</v>
      </c>
      <c r="K31" s="270">
        <v>43732</v>
      </c>
      <c r="L31" s="271">
        <v>574849</v>
      </c>
      <c r="M31" s="274" t="s">
        <v>504</v>
      </c>
      <c r="N31" s="271"/>
      <c r="O31" s="271"/>
      <c r="P31" s="273">
        <v>139.86</v>
      </c>
      <c r="Q31" s="271"/>
      <c r="R31" s="154"/>
      <c r="S31" s="189" t="s">
        <v>430</v>
      </c>
      <c r="T31" s="308" t="s">
        <v>505</v>
      </c>
      <c r="U31" s="305">
        <v>527384.4</v>
      </c>
      <c r="V31" s="305">
        <f t="shared" si="2"/>
        <v>47464.6</v>
      </c>
      <c r="W31" s="306">
        <f t="shared" si="3"/>
        <v>574849</v>
      </c>
      <c r="X31" s="271">
        <f t="shared" si="0"/>
        <v>527384.4</v>
      </c>
      <c r="Y31" s="271">
        <f t="shared" si="1"/>
        <v>3770.8</v>
      </c>
      <c r="Z31" s="154"/>
    </row>
    <row r="32" s="243" customFormat="1" ht="22" customHeight="1" outlineLevel="2" spans="1:26">
      <c r="A32" s="154" t="s">
        <v>506</v>
      </c>
      <c r="B32" s="259">
        <v>19</v>
      </c>
      <c r="C32" s="259">
        <v>2</v>
      </c>
      <c r="D32" s="154">
        <v>5</v>
      </c>
      <c r="E32" s="262" t="s">
        <v>507</v>
      </c>
      <c r="F32" s="259" t="s">
        <v>188</v>
      </c>
      <c r="G32" s="154" t="s">
        <v>256</v>
      </c>
      <c r="H32" s="154" t="s">
        <v>427</v>
      </c>
      <c r="I32" s="154" t="s">
        <v>334</v>
      </c>
      <c r="J32" s="269">
        <v>20190002681</v>
      </c>
      <c r="K32" s="270">
        <v>43716</v>
      </c>
      <c r="L32" s="271">
        <v>587588</v>
      </c>
      <c r="M32" s="285" t="s">
        <v>508</v>
      </c>
      <c r="N32" s="271"/>
      <c r="O32" s="271"/>
      <c r="P32" s="273">
        <v>140.28</v>
      </c>
      <c r="Q32" s="271"/>
      <c r="R32" s="154"/>
      <c r="S32" s="189" t="s">
        <v>430</v>
      </c>
      <c r="T32" s="304" t="s">
        <v>509</v>
      </c>
      <c r="U32" s="305">
        <v>539071.56</v>
      </c>
      <c r="V32" s="305">
        <f t="shared" si="2"/>
        <v>48516.4399999999</v>
      </c>
      <c r="W32" s="306">
        <f t="shared" si="3"/>
        <v>587588</v>
      </c>
      <c r="X32" s="271">
        <f t="shared" si="0"/>
        <v>539071.56</v>
      </c>
      <c r="Y32" s="271">
        <f t="shared" si="1"/>
        <v>3842.83</v>
      </c>
      <c r="Z32" s="154"/>
    </row>
    <row r="33" s="243" customFormat="1" ht="22" customHeight="1" outlineLevel="2" spans="1:26">
      <c r="A33" s="154" t="s">
        <v>510</v>
      </c>
      <c r="B33" s="259">
        <v>19</v>
      </c>
      <c r="C33" s="259">
        <v>2</v>
      </c>
      <c r="D33" s="154">
        <v>6</v>
      </c>
      <c r="E33" s="262" t="s">
        <v>511</v>
      </c>
      <c r="F33" s="259" t="s">
        <v>188</v>
      </c>
      <c r="G33" s="154" t="s">
        <v>256</v>
      </c>
      <c r="H33" s="154" t="s">
        <v>427</v>
      </c>
      <c r="I33" s="154" t="s">
        <v>334</v>
      </c>
      <c r="J33" s="269">
        <v>20190002838</v>
      </c>
      <c r="K33" s="270">
        <v>43719</v>
      </c>
      <c r="L33" s="271">
        <v>581492</v>
      </c>
      <c r="M33" s="286" t="s">
        <v>512</v>
      </c>
      <c r="N33" s="271"/>
      <c r="O33" s="271"/>
      <c r="P33" s="273">
        <v>139.86</v>
      </c>
      <c r="Q33" s="271"/>
      <c r="R33" s="154"/>
      <c r="S33" s="189" t="s">
        <v>430</v>
      </c>
      <c r="T33" s="304" t="s">
        <v>513</v>
      </c>
      <c r="U33" s="305">
        <v>533478.9</v>
      </c>
      <c r="V33" s="305">
        <f t="shared" si="2"/>
        <v>48013.1</v>
      </c>
      <c r="W33" s="306">
        <f t="shared" si="3"/>
        <v>581492</v>
      </c>
      <c r="X33" s="271">
        <f t="shared" si="0"/>
        <v>533478.9</v>
      </c>
      <c r="Y33" s="271">
        <f t="shared" si="1"/>
        <v>3814.38</v>
      </c>
      <c r="Z33" s="154"/>
    </row>
    <row r="34" s="243" customFormat="1" ht="22" customHeight="1" outlineLevel="2" spans="1:26">
      <c r="A34" s="154" t="s">
        <v>514</v>
      </c>
      <c r="B34" s="259">
        <v>19</v>
      </c>
      <c r="C34" s="259">
        <v>2</v>
      </c>
      <c r="D34" s="154">
        <v>6</v>
      </c>
      <c r="E34" s="262" t="s">
        <v>515</v>
      </c>
      <c r="F34" s="259" t="s">
        <v>188</v>
      </c>
      <c r="G34" s="154" t="s">
        <v>256</v>
      </c>
      <c r="H34" s="154" t="s">
        <v>427</v>
      </c>
      <c r="I34" s="154" t="s">
        <v>334</v>
      </c>
      <c r="J34" s="269">
        <v>20190002925</v>
      </c>
      <c r="K34" s="270">
        <v>43721</v>
      </c>
      <c r="L34" s="271">
        <v>594386</v>
      </c>
      <c r="M34" s="274" t="s">
        <v>516</v>
      </c>
      <c r="N34" s="271"/>
      <c r="O34" s="271"/>
      <c r="P34" s="273">
        <v>140.28</v>
      </c>
      <c r="Q34" s="271"/>
      <c r="R34" s="154"/>
      <c r="S34" s="189" t="s">
        <v>430</v>
      </c>
      <c r="T34" s="304" t="s">
        <v>517</v>
      </c>
      <c r="U34" s="305">
        <v>545308.26</v>
      </c>
      <c r="V34" s="305">
        <f t="shared" si="2"/>
        <v>49077.74</v>
      </c>
      <c r="W34" s="306">
        <f t="shared" si="3"/>
        <v>594386</v>
      </c>
      <c r="X34" s="271">
        <f t="shared" si="0"/>
        <v>545308.26</v>
      </c>
      <c r="Y34" s="271">
        <f t="shared" si="1"/>
        <v>3887.28</v>
      </c>
      <c r="Z34" s="154"/>
    </row>
    <row r="35" s="243" customFormat="1" ht="22" customHeight="1" outlineLevel="2" spans="1:26">
      <c r="A35" s="154" t="s">
        <v>518</v>
      </c>
      <c r="B35" s="259">
        <v>19</v>
      </c>
      <c r="C35" s="259">
        <v>2</v>
      </c>
      <c r="D35" s="154">
        <v>7</v>
      </c>
      <c r="E35" s="262" t="s">
        <v>519</v>
      </c>
      <c r="F35" s="259" t="s">
        <v>188</v>
      </c>
      <c r="G35" s="154" t="s">
        <v>256</v>
      </c>
      <c r="H35" s="154" t="s">
        <v>427</v>
      </c>
      <c r="I35" s="154" t="s">
        <v>334</v>
      </c>
      <c r="J35" s="269">
        <v>20200002858</v>
      </c>
      <c r="K35" s="270">
        <v>43947</v>
      </c>
      <c r="L35" s="271">
        <v>591723</v>
      </c>
      <c r="M35" s="274" t="s">
        <v>520</v>
      </c>
      <c r="N35" s="271"/>
      <c r="O35" s="271"/>
      <c r="P35" s="273">
        <v>139.86</v>
      </c>
      <c r="Q35" s="271"/>
      <c r="R35" s="154"/>
      <c r="S35" s="189" t="s">
        <v>430</v>
      </c>
      <c r="T35" s="304" t="s">
        <v>521</v>
      </c>
      <c r="U35" s="305">
        <v>542865.14</v>
      </c>
      <c r="V35" s="305">
        <f t="shared" si="2"/>
        <v>48857.86</v>
      </c>
      <c r="W35" s="306">
        <f t="shared" si="3"/>
        <v>591723</v>
      </c>
      <c r="X35" s="271">
        <f t="shared" si="0"/>
        <v>542865.14</v>
      </c>
      <c r="Y35" s="271">
        <f t="shared" si="1"/>
        <v>3881.49</v>
      </c>
      <c r="Z35" s="154"/>
    </row>
    <row r="36" s="243" customFormat="1" ht="22" customHeight="1" outlineLevel="2" spans="1:26">
      <c r="A36" s="154" t="s">
        <v>522</v>
      </c>
      <c r="B36" s="259">
        <v>19</v>
      </c>
      <c r="C36" s="259">
        <v>2</v>
      </c>
      <c r="D36" s="154">
        <v>7</v>
      </c>
      <c r="E36" s="262" t="s">
        <v>523</v>
      </c>
      <c r="F36" s="259" t="s">
        <v>188</v>
      </c>
      <c r="G36" s="154" t="s">
        <v>256</v>
      </c>
      <c r="H36" s="154" t="s">
        <v>427</v>
      </c>
      <c r="I36" s="154" t="s">
        <v>334</v>
      </c>
      <c r="J36" s="269">
        <v>20190003001</v>
      </c>
      <c r="K36" s="270">
        <v>43724</v>
      </c>
      <c r="L36" s="271">
        <v>597583</v>
      </c>
      <c r="M36" s="274" t="s">
        <v>524</v>
      </c>
      <c r="N36" s="271"/>
      <c r="O36" s="271"/>
      <c r="P36" s="273">
        <v>140.28</v>
      </c>
      <c r="Q36" s="271"/>
      <c r="R36" s="154"/>
      <c r="S36" s="189" t="s">
        <v>430</v>
      </c>
      <c r="T36" s="304" t="s">
        <v>525</v>
      </c>
      <c r="U36" s="305">
        <v>548241.28</v>
      </c>
      <c r="V36" s="305">
        <f t="shared" si="2"/>
        <v>49341.72</v>
      </c>
      <c r="W36" s="306">
        <f t="shared" si="3"/>
        <v>597583</v>
      </c>
      <c r="X36" s="271">
        <f t="shared" si="0"/>
        <v>548241.28</v>
      </c>
      <c r="Y36" s="271">
        <f t="shared" si="1"/>
        <v>3908.19</v>
      </c>
      <c r="Z36" s="154"/>
    </row>
    <row r="37" s="243" customFormat="1" ht="22" customHeight="1" outlineLevel="2" spans="1:26">
      <c r="A37" s="154" t="s">
        <v>526</v>
      </c>
      <c r="B37" s="259">
        <v>19</v>
      </c>
      <c r="C37" s="259">
        <v>2</v>
      </c>
      <c r="D37" s="154">
        <v>8</v>
      </c>
      <c r="E37" s="262" t="s">
        <v>527</v>
      </c>
      <c r="F37" s="259" t="s">
        <v>188</v>
      </c>
      <c r="G37" s="154" t="s">
        <v>256</v>
      </c>
      <c r="H37" s="154" t="s">
        <v>427</v>
      </c>
      <c r="I37" s="154" t="s">
        <v>334</v>
      </c>
      <c r="J37" s="269">
        <v>20190005154</v>
      </c>
      <c r="K37" s="270">
        <v>43769</v>
      </c>
      <c r="L37" s="271">
        <v>568072</v>
      </c>
      <c r="M37" s="280" t="s">
        <v>528</v>
      </c>
      <c r="N37" s="271"/>
      <c r="O37" s="271"/>
      <c r="P37" s="273">
        <v>139.86</v>
      </c>
      <c r="Q37" s="271"/>
      <c r="R37" s="154"/>
      <c r="S37" s="189" t="s">
        <v>430</v>
      </c>
      <c r="T37" s="308" t="s">
        <v>529</v>
      </c>
      <c r="U37" s="305">
        <v>521166.97</v>
      </c>
      <c r="V37" s="305">
        <f t="shared" si="2"/>
        <v>46905.03</v>
      </c>
      <c r="W37" s="306">
        <f t="shared" si="3"/>
        <v>568072</v>
      </c>
      <c r="X37" s="271">
        <f t="shared" si="0"/>
        <v>521166.97</v>
      </c>
      <c r="Y37" s="271">
        <f t="shared" si="1"/>
        <v>3726.35</v>
      </c>
      <c r="Z37" s="154"/>
    </row>
    <row r="38" s="243" customFormat="1" ht="22" customHeight="1" outlineLevel="2" spans="1:26">
      <c r="A38" s="154" t="s">
        <v>530</v>
      </c>
      <c r="B38" s="259">
        <v>19</v>
      </c>
      <c r="C38" s="259">
        <v>2</v>
      </c>
      <c r="D38" s="154">
        <v>8</v>
      </c>
      <c r="E38" s="262" t="s">
        <v>531</v>
      </c>
      <c r="F38" s="259" t="s">
        <v>188</v>
      </c>
      <c r="G38" s="154" t="s">
        <v>256</v>
      </c>
      <c r="H38" s="154" t="s">
        <v>427</v>
      </c>
      <c r="I38" s="154" t="s">
        <v>334</v>
      </c>
      <c r="J38" s="269">
        <v>20190004666</v>
      </c>
      <c r="K38" s="270">
        <v>43759</v>
      </c>
      <c r="L38" s="271">
        <v>580925</v>
      </c>
      <c r="M38" s="287" t="s">
        <v>532</v>
      </c>
      <c r="N38" s="271"/>
      <c r="O38" s="271"/>
      <c r="P38" s="273">
        <v>140.28</v>
      </c>
      <c r="Q38" s="271"/>
      <c r="R38" s="154"/>
      <c r="S38" s="189" t="s">
        <v>430</v>
      </c>
      <c r="T38" s="304" t="s">
        <v>533</v>
      </c>
      <c r="U38" s="305">
        <v>532958.72</v>
      </c>
      <c r="V38" s="305">
        <f t="shared" si="2"/>
        <v>47966.28</v>
      </c>
      <c r="W38" s="306">
        <f t="shared" si="3"/>
        <v>580925</v>
      </c>
      <c r="X38" s="271">
        <f t="shared" si="0"/>
        <v>532958.72</v>
      </c>
      <c r="Y38" s="271">
        <f t="shared" si="1"/>
        <v>3799.25</v>
      </c>
      <c r="Z38" s="154"/>
    </row>
    <row r="39" s="243" customFormat="1" ht="22" customHeight="1" outlineLevel="2" spans="1:26">
      <c r="A39" s="154" t="s">
        <v>534</v>
      </c>
      <c r="B39" s="259">
        <v>19</v>
      </c>
      <c r="C39" s="259">
        <v>1</v>
      </c>
      <c r="D39" s="154">
        <v>-1</v>
      </c>
      <c r="E39" s="262" t="s">
        <v>535</v>
      </c>
      <c r="F39" s="259" t="s">
        <v>188</v>
      </c>
      <c r="G39" s="154" t="s">
        <v>536</v>
      </c>
      <c r="H39" s="154" t="s">
        <v>537</v>
      </c>
      <c r="I39" s="154"/>
      <c r="J39" s="269"/>
      <c r="K39" s="125"/>
      <c r="L39" s="271"/>
      <c r="M39" s="287"/>
      <c r="N39" s="271"/>
      <c r="O39" s="271"/>
      <c r="P39" s="273">
        <v>105.25</v>
      </c>
      <c r="Q39" s="271"/>
      <c r="R39" s="154"/>
      <c r="S39" s="189"/>
      <c r="T39" s="304"/>
      <c r="U39" s="305"/>
      <c r="V39" s="305">
        <f t="shared" si="2"/>
        <v>0</v>
      </c>
      <c r="W39" s="306">
        <f t="shared" si="3"/>
        <v>0</v>
      </c>
      <c r="X39" s="271">
        <f t="shared" si="0"/>
        <v>0</v>
      </c>
      <c r="Y39" s="271">
        <f t="shared" si="1"/>
        <v>0</v>
      </c>
      <c r="Z39" s="154"/>
    </row>
    <row r="40" s="243" customFormat="1" ht="22" customHeight="1" outlineLevel="2" spans="1:26">
      <c r="A40" s="154" t="s">
        <v>538</v>
      </c>
      <c r="B40" s="259">
        <v>19</v>
      </c>
      <c r="C40" s="259">
        <v>1</v>
      </c>
      <c r="D40" s="154">
        <v>-1</v>
      </c>
      <c r="E40" s="262" t="s">
        <v>539</v>
      </c>
      <c r="F40" s="259" t="s">
        <v>188</v>
      </c>
      <c r="G40" s="154" t="s">
        <v>536</v>
      </c>
      <c r="H40" s="154" t="s">
        <v>537</v>
      </c>
      <c r="I40" s="154"/>
      <c r="J40" s="269"/>
      <c r="K40" s="125"/>
      <c r="L40" s="271"/>
      <c r="M40" s="287"/>
      <c r="N40" s="271"/>
      <c r="O40" s="271"/>
      <c r="P40" s="273">
        <v>105.25</v>
      </c>
      <c r="Q40" s="271"/>
      <c r="R40" s="154"/>
      <c r="S40" s="189"/>
      <c r="T40" s="304"/>
      <c r="U40" s="305"/>
      <c r="V40" s="305">
        <f t="shared" si="2"/>
        <v>0</v>
      </c>
      <c r="W40" s="306">
        <f t="shared" si="3"/>
        <v>0</v>
      </c>
      <c r="X40" s="271">
        <f t="shared" si="0"/>
        <v>0</v>
      </c>
      <c r="Y40" s="271">
        <f t="shared" si="1"/>
        <v>0</v>
      </c>
      <c r="Z40" s="154"/>
    </row>
    <row r="41" s="243" customFormat="1" ht="22" customHeight="1" outlineLevel="2" spans="1:26">
      <c r="A41" s="154" t="s">
        <v>540</v>
      </c>
      <c r="B41" s="259">
        <v>19</v>
      </c>
      <c r="C41" s="259">
        <v>2</v>
      </c>
      <c r="D41" s="154">
        <v>-1</v>
      </c>
      <c r="E41" s="262" t="s">
        <v>541</v>
      </c>
      <c r="F41" s="259" t="s">
        <v>188</v>
      </c>
      <c r="G41" s="154" t="s">
        <v>536</v>
      </c>
      <c r="H41" s="154" t="s">
        <v>537</v>
      </c>
      <c r="I41" s="154"/>
      <c r="J41" s="269"/>
      <c r="K41" s="125"/>
      <c r="L41" s="271"/>
      <c r="M41" s="287"/>
      <c r="N41" s="271"/>
      <c r="O41" s="271"/>
      <c r="P41" s="273">
        <v>105.25</v>
      </c>
      <c r="Q41" s="271"/>
      <c r="R41" s="154"/>
      <c r="S41" s="189"/>
      <c r="T41" s="304"/>
      <c r="U41" s="305"/>
      <c r="V41" s="305">
        <f t="shared" si="2"/>
        <v>0</v>
      </c>
      <c r="W41" s="306">
        <f t="shared" si="3"/>
        <v>0</v>
      </c>
      <c r="X41" s="271">
        <f t="shared" si="0"/>
        <v>0</v>
      </c>
      <c r="Y41" s="271">
        <f t="shared" si="1"/>
        <v>0</v>
      </c>
      <c r="Z41" s="154"/>
    </row>
    <row r="42" s="243" customFormat="1" ht="22" customHeight="1" outlineLevel="2" spans="1:26">
      <c r="A42" s="154" t="s">
        <v>542</v>
      </c>
      <c r="B42" s="259">
        <v>19</v>
      </c>
      <c r="C42" s="259">
        <v>1</v>
      </c>
      <c r="D42" s="154">
        <v>-1</v>
      </c>
      <c r="E42" s="262" t="s">
        <v>543</v>
      </c>
      <c r="F42" s="259" t="s">
        <v>188</v>
      </c>
      <c r="G42" s="154" t="s">
        <v>536</v>
      </c>
      <c r="H42" s="154" t="s">
        <v>537</v>
      </c>
      <c r="I42" s="154"/>
      <c r="J42" s="269"/>
      <c r="K42" s="125"/>
      <c r="L42" s="271"/>
      <c r="M42" s="287"/>
      <c r="N42" s="271"/>
      <c r="O42" s="271"/>
      <c r="P42" s="273">
        <v>105.25</v>
      </c>
      <c r="Q42" s="271"/>
      <c r="R42" s="154"/>
      <c r="S42" s="189"/>
      <c r="T42" s="304"/>
      <c r="U42" s="305"/>
      <c r="V42" s="305">
        <f t="shared" si="2"/>
        <v>0</v>
      </c>
      <c r="W42" s="306">
        <f t="shared" si="3"/>
        <v>0</v>
      </c>
      <c r="X42" s="271">
        <f t="shared" si="0"/>
        <v>0</v>
      </c>
      <c r="Y42" s="271">
        <f t="shared" si="1"/>
        <v>0</v>
      </c>
      <c r="Z42" s="154"/>
    </row>
    <row r="43" s="243" customFormat="1" ht="22" customHeight="1" outlineLevel="2" spans="1:26">
      <c r="A43" s="154" t="s">
        <v>544</v>
      </c>
      <c r="B43" s="259">
        <v>20</v>
      </c>
      <c r="C43" s="259">
        <v>1</v>
      </c>
      <c r="D43" s="154">
        <v>1</v>
      </c>
      <c r="E43" s="262" t="s">
        <v>545</v>
      </c>
      <c r="F43" s="259" t="s">
        <v>188</v>
      </c>
      <c r="G43" s="154" t="s">
        <v>257</v>
      </c>
      <c r="H43" s="154" t="s">
        <v>427</v>
      </c>
      <c r="I43" s="154" t="s">
        <v>334</v>
      </c>
      <c r="J43" s="269" t="s">
        <v>546</v>
      </c>
      <c r="K43" s="270">
        <v>44216</v>
      </c>
      <c r="L43" s="271">
        <v>1080000</v>
      </c>
      <c r="M43" s="287" t="s">
        <v>547</v>
      </c>
      <c r="N43" s="271"/>
      <c r="O43" s="271"/>
      <c r="P43" s="273">
        <v>177.16</v>
      </c>
      <c r="Q43" s="271"/>
      <c r="R43" s="154"/>
      <c r="S43" s="189" t="s">
        <v>430</v>
      </c>
      <c r="T43" s="304" t="s">
        <v>548</v>
      </c>
      <c r="U43" s="305">
        <v>990825.69</v>
      </c>
      <c r="V43" s="305">
        <f t="shared" si="2"/>
        <v>89174.3100000001</v>
      </c>
      <c r="W43" s="306">
        <f t="shared" si="3"/>
        <v>1080000</v>
      </c>
      <c r="X43" s="271">
        <f t="shared" si="0"/>
        <v>990825.69</v>
      </c>
      <c r="Y43" s="271">
        <f t="shared" si="1"/>
        <v>5592.83</v>
      </c>
      <c r="Z43" s="154"/>
    </row>
    <row r="44" s="243" customFormat="1" ht="22" customHeight="1" outlineLevel="2" spans="1:26">
      <c r="A44" s="154" t="s">
        <v>549</v>
      </c>
      <c r="B44" s="259">
        <v>20</v>
      </c>
      <c r="C44" s="260">
        <v>1</v>
      </c>
      <c r="D44" s="154">
        <v>1</v>
      </c>
      <c r="E44" s="263" t="s">
        <v>550</v>
      </c>
      <c r="F44" s="259" t="s">
        <v>188</v>
      </c>
      <c r="G44" s="154" t="s">
        <v>257</v>
      </c>
      <c r="H44" s="154" t="s">
        <v>427</v>
      </c>
      <c r="I44" s="154" t="s">
        <v>334</v>
      </c>
      <c r="J44" s="269" t="s">
        <v>551</v>
      </c>
      <c r="K44" s="288">
        <v>44708</v>
      </c>
      <c r="L44" s="271">
        <v>1072944</v>
      </c>
      <c r="M44" s="289" t="s">
        <v>552</v>
      </c>
      <c r="N44" s="271"/>
      <c r="O44" s="271"/>
      <c r="P44" s="290">
        <v>149.02</v>
      </c>
      <c r="Q44" s="271"/>
      <c r="R44" s="154"/>
      <c r="S44" s="189" t="s">
        <v>430</v>
      </c>
      <c r="T44" s="304" t="s">
        <v>553</v>
      </c>
      <c r="U44" s="305">
        <v>984352.29</v>
      </c>
      <c r="V44" s="305">
        <f t="shared" si="2"/>
        <v>88591.71</v>
      </c>
      <c r="W44" s="306">
        <f t="shared" si="3"/>
        <v>1072944</v>
      </c>
      <c r="X44" s="271">
        <f t="shared" si="0"/>
        <v>984352.29</v>
      </c>
      <c r="Y44" s="271">
        <f t="shared" si="1"/>
        <v>6605.5</v>
      </c>
      <c r="Z44" s="154"/>
    </row>
    <row r="45" s="243" customFormat="1" ht="22" customHeight="1" outlineLevel="2" spans="1:26">
      <c r="A45" s="154" t="s">
        <v>554</v>
      </c>
      <c r="B45" s="259">
        <v>20</v>
      </c>
      <c r="C45" s="260">
        <v>1</v>
      </c>
      <c r="D45" s="154">
        <v>2</v>
      </c>
      <c r="E45" s="263" t="s">
        <v>555</v>
      </c>
      <c r="F45" s="259" t="s">
        <v>188</v>
      </c>
      <c r="G45" s="154" t="s">
        <v>257</v>
      </c>
      <c r="H45" s="154" t="s">
        <v>427</v>
      </c>
      <c r="I45" s="154" t="s">
        <v>334</v>
      </c>
      <c r="J45" s="269" t="s">
        <v>556</v>
      </c>
      <c r="K45" s="288">
        <v>43964</v>
      </c>
      <c r="L45" s="271">
        <v>710040</v>
      </c>
      <c r="M45" s="289" t="s">
        <v>557</v>
      </c>
      <c r="N45" s="271"/>
      <c r="O45" s="271"/>
      <c r="P45" s="290">
        <v>177.16</v>
      </c>
      <c r="Q45" s="271"/>
      <c r="R45" s="154"/>
      <c r="S45" s="189" t="s">
        <v>430</v>
      </c>
      <c r="T45" s="304" t="s">
        <v>558</v>
      </c>
      <c r="U45" s="305">
        <v>651412.84</v>
      </c>
      <c r="V45" s="305">
        <f t="shared" si="2"/>
        <v>58627.16</v>
      </c>
      <c r="W45" s="306">
        <f t="shared" si="3"/>
        <v>710040</v>
      </c>
      <c r="X45" s="271">
        <f t="shared" si="0"/>
        <v>651412.84</v>
      </c>
      <c r="Y45" s="271">
        <f t="shared" si="1"/>
        <v>3676.97</v>
      </c>
      <c r="Z45" s="154"/>
    </row>
    <row r="46" s="243" customFormat="1" ht="22" customHeight="1" outlineLevel="2" spans="1:26">
      <c r="A46" s="154" t="s">
        <v>559</v>
      </c>
      <c r="B46" s="259">
        <v>20</v>
      </c>
      <c r="C46" s="260">
        <v>1</v>
      </c>
      <c r="D46" s="154">
        <v>2</v>
      </c>
      <c r="E46" s="263" t="s">
        <v>560</v>
      </c>
      <c r="F46" s="259" t="s">
        <v>188</v>
      </c>
      <c r="G46" s="154" t="s">
        <v>257</v>
      </c>
      <c r="H46" s="154" t="s">
        <v>427</v>
      </c>
      <c r="I46" s="154" t="s">
        <v>334</v>
      </c>
      <c r="J46" s="269">
        <v>20190004910</v>
      </c>
      <c r="K46" s="288">
        <v>43763</v>
      </c>
      <c r="L46" s="271">
        <v>613334</v>
      </c>
      <c r="M46" s="289" t="s">
        <v>561</v>
      </c>
      <c r="N46" s="271"/>
      <c r="O46" s="271"/>
      <c r="P46" s="290">
        <v>149.11</v>
      </c>
      <c r="Q46" s="271"/>
      <c r="R46" s="154"/>
      <c r="S46" s="189" t="s">
        <v>430</v>
      </c>
      <c r="T46" s="304" t="s">
        <v>562</v>
      </c>
      <c r="U46" s="305">
        <v>562691.74</v>
      </c>
      <c r="V46" s="305">
        <f t="shared" si="2"/>
        <v>50642.26</v>
      </c>
      <c r="W46" s="306">
        <f t="shared" si="3"/>
        <v>613334</v>
      </c>
      <c r="X46" s="271">
        <f t="shared" si="0"/>
        <v>562691.74</v>
      </c>
      <c r="Y46" s="271">
        <f t="shared" si="1"/>
        <v>3773.67</v>
      </c>
      <c r="Z46" s="154"/>
    </row>
    <row r="47" s="243" customFormat="1" ht="22" customHeight="1" outlineLevel="2" spans="1:26">
      <c r="A47" s="154" t="s">
        <v>563</v>
      </c>
      <c r="B47" s="259">
        <v>20</v>
      </c>
      <c r="C47" s="260">
        <v>1</v>
      </c>
      <c r="D47" s="154">
        <v>3</v>
      </c>
      <c r="E47" s="263" t="s">
        <v>564</v>
      </c>
      <c r="F47" s="259" t="s">
        <v>188</v>
      </c>
      <c r="G47" s="154" t="s">
        <v>257</v>
      </c>
      <c r="H47" s="154" t="s">
        <v>427</v>
      </c>
      <c r="I47" s="154" t="s">
        <v>334</v>
      </c>
      <c r="J47" s="269">
        <v>20190002588</v>
      </c>
      <c r="K47" s="288">
        <v>43713</v>
      </c>
      <c r="L47" s="271">
        <v>735254</v>
      </c>
      <c r="M47" s="289" t="s">
        <v>565</v>
      </c>
      <c r="N47" s="271"/>
      <c r="O47" s="271"/>
      <c r="P47" s="290">
        <v>177.16</v>
      </c>
      <c r="Q47" s="271"/>
      <c r="R47" s="154"/>
      <c r="S47" s="189" t="s">
        <v>430</v>
      </c>
      <c r="T47" s="304" t="s">
        <v>566</v>
      </c>
      <c r="U47" s="305">
        <v>674544.95</v>
      </c>
      <c r="V47" s="305">
        <f t="shared" si="2"/>
        <v>60709.05</v>
      </c>
      <c r="W47" s="306">
        <f t="shared" si="3"/>
        <v>735254</v>
      </c>
      <c r="X47" s="271">
        <f t="shared" si="0"/>
        <v>674544.95</v>
      </c>
      <c r="Y47" s="271">
        <f t="shared" si="1"/>
        <v>3807.55</v>
      </c>
      <c r="Z47" s="154"/>
    </row>
    <row r="48" s="243" customFormat="1" ht="22" customHeight="1" outlineLevel="2" spans="1:26">
      <c r="A48" s="154" t="s">
        <v>567</v>
      </c>
      <c r="B48" s="259">
        <v>20</v>
      </c>
      <c r="C48" s="260">
        <v>1</v>
      </c>
      <c r="D48" s="154">
        <v>3</v>
      </c>
      <c r="E48" s="263" t="s">
        <v>568</v>
      </c>
      <c r="F48" s="259" t="s">
        <v>188</v>
      </c>
      <c r="G48" s="154" t="s">
        <v>257</v>
      </c>
      <c r="H48" s="154" t="s">
        <v>427</v>
      </c>
      <c r="I48" s="154" t="s">
        <v>334</v>
      </c>
      <c r="J48" s="269">
        <v>20200002578</v>
      </c>
      <c r="K48" s="288">
        <v>43941</v>
      </c>
      <c r="L48" s="271">
        <v>620447</v>
      </c>
      <c r="M48" s="289" t="s">
        <v>569</v>
      </c>
      <c r="N48" s="271"/>
      <c r="O48" s="271"/>
      <c r="P48" s="290">
        <v>149.11</v>
      </c>
      <c r="Q48" s="271"/>
      <c r="R48" s="154"/>
      <c r="S48" s="189" t="s">
        <v>430</v>
      </c>
      <c r="T48" s="309" t="s">
        <v>570</v>
      </c>
      <c r="U48" s="305">
        <v>569217.43</v>
      </c>
      <c r="V48" s="305">
        <f t="shared" si="2"/>
        <v>51229.5699999999</v>
      </c>
      <c r="W48" s="306">
        <f t="shared" si="3"/>
        <v>620447</v>
      </c>
      <c r="X48" s="271">
        <f t="shared" si="0"/>
        <v>569217.43</v>
      </c>
      <c r="Y48" s="271">
        <f t="shared" si="1"/>
        <v>3817.43</v>
      </c>
      <c r="Z48" s="154"/>
    </row>
    <row r="49" s="243" customFormat="1" ht="22" customHeight="1" outlineLevel="2" spans="1:26">
      <c r="A49" s="154" t="s">
        <v>571</v>
      </c>
      <c r="B49" s="259">
        <v>20</v>
      </c>
      <c r="C49" s="260">
        <v>1</v>
      </c>
      <c r="D49" s="154">
        <v>4</v>
      </c>
      <c r="E49" s="263" t="s">
        <v>572</v>
      </c>
      <c r="F49" s="259" t="s">
        <v>188</v>
      </c>
      <c r="G49" s="154" t="s">
        <v>257</v>
      </c>
      <c r="H49" s="154" t="s">
        <v>427</v>
      </c>
      <c r="I49" s="154" t="s">
        <v>334</v>
      </c>
      <c r="J49" s="269" t="s">
        <v>573</v>
      </c>
      <c r="K49" s="288">
        <v>43936</v>
      </c>
      <c r="L49" s="271">
        <v>756709</v>
      </c>
      <c r="M49" s="289" t="s">
        <v>574</v>
      </c>
      <c r="N49" s="271"/>
      <c r="O49" s="271"/>
      <c r="P49" s="290">
        <v>177.16</v>
      </c>
      <c r="Q49" s="271"/>
      <c r="R49" s="154"/>
      <c r="S49" s="189" t="s">
        <v>430</v>
      </c>
      <c r="T49" s="304" t="s">
        <v>575</v>
      </c>
      <c r="U49" s="305">
        <v>694228.44</v>
      </c>
      <c r="V49" s="305">
        <f t="shared" si="2"/>
        <v>62480.5600000001</v>
      </c>
      <c r="W49" s="306">
        <f t="shared" si="3"/>
        <v>756709</v>
      </c>
      <c r="X49" s="271">
        <f t="shared" si="0"/>
        <v>694228.44</v>
      </c>
      <c r="Y49" s="271">
        <f t="shared" si="1"/>
        <v>3918.65</v>
      </c>
      <c r="Z49" s="154"/>
    </row>
    <row r="50" s="243" customFormat="1" ht="22" customHeight="1" outlineLevel="2" spans="1:26">
      <c r="A50" s="154" t="s">
        <v>576</v>
      </c>
      <c r="B50" s="259">
        <v>20</v>
      </c>
      <c r="C50" s="260">
        <v>1</v>
      </c>
      <c r="D50" s="154">
        <v>4</v>
      </c>
      <c r="E50" s="263" t="s">
        <v>577</v>
      </c>
      <c r="F50" s="259" t="s">
        <v>188</v>
      </c>
      <c r="G50" s="154" t="s">
        <v>257</v>
      </c>
      <c r="H50" s="154" t="s">
        <v>427</v>
      </c>
      <c r="I50" s="154" t="s">
        <v>334</v>
      </c>
      <c r="J50" s="269">
        <v>20190002856</v>
      </c>
      <c r="K50" s="288">
        <v>43719</v>
      </c>
      <c r="L50" s="271">
        <v>627641</v>
      </c>
      <c r="M50" s="289" t="s">
        <v>578</v>
      </c>
      <c r="N50" s="271"/>
      <c r="O50" s="271"/>
      <c r="P50" s="290">
        <v>149.11</v>
      </c>
      <c r="Q50" s="271"/>
      <c r="R50" s="154"/>
      <c r="S50" s="189" t="s">
        <v>430</v>
      </c>
      <c r="T50" s="308" t="s">
        <v>579</v>
      </c>
      <c r="U50" s="305">
        <v>575817.43</v>
      </c>
      <c r="V50" s="305">
        <f t="shared" si="2"/>
        <v>51823.5699999999</v>
      </c>
      <c r="W50" s="306">
        <f t="shared" si="3"/>
        <v>627641</v>
      </c>
      <c r="X50" s="271">
        <f t="shared" si="0"/>
        <v>575817.43</v>
      </c>
      <c r="Y50" s="271">
        <f t="shared" si="1"/>
        <v>3861.7</v>
      </c>
      <c r="Z50" s="154"/>
    </row>
    <row r="51" s="243" customFormat="1" ht="22" customHeight="1" outlineLevel="2" spans="1:26">
      <c r="A51" s="154" t="s">
        <v>580</v>
      </c>
      <c r="B51" s="259">
        <v>20</v>
      </c>
      <c r="C51" s="260">
        <v>1</v>
      </c>
      <c r="D51" s="154">
        <v>5</v>
      </c>
      <c r="E51" s="263" t="s">
        <v>581</v>
      </c>
      <c r="F51" s="259" t="s">
        <v>188</v>
      </c>
      <c r="G51" s="154" t="s">
        <v>257</v>
      </c>
      <c r="H51" s="154" t="s">
        <v>427</v>
      </c>
      <c r="I51" s="154" t="s">
        <v>334</v>
      </c>
      <c r="J51" s="269">
        <v>20190002941</v>
      </c>
      <c r="K51" s="288">
        <v>43722</v>
      </c>
      <c r="L51" s="271">
        <v>752251</v>
      </c>
      <c r="M51" s="289" t="s">
        <v>582</v>
      </c>
      <c r="N51" s="271"/>
      <c r="O51" s="271"/>
      <c r="P51" s="290">
        <v>177.16</v>
      </c>
      <c r="Q51" s="271"/>
      <c r="R51" s="154"/>
      <c r="S51" s="189" t="s">
        <v>430</v>
      </c>
      <c r="T51" s="547" t="s">
        <v>583</v>
      </c>
      <c r="U51" s="305">
        <v>690138.53</v>
      </c>
      <c r="V51" s="305">
        <f t="shared" si="2"/>
        <v>62112.47</v>
      </c>
      <c r="W51" s="306">
        <f t="shared" si="3"/>
        <v>752251</v>
      </c>
      <c r="X51" s="271">
        <f t="shared" si="0"/>
        <v>690138.53</v>
      </c>
      <c r="Y51" s="271">
        <f t="shared" si="1"/>
        <v>3895.57</v>
      </c>
      <c r="Z51" s="154"/>
    </row>
    <row r="52" s="243" customFormat="1" ht="22" customHeight="1" outlineLevel="2" spans="1:26">
      <c r="A52" s="154" t="s">
        <v>584</v>
      </c>
      <c r="B52" s="259">
        <v>20</v>
      </c>
      <c r="C52" s="260">
        <v>1</v>
      </c>
      <c r="D52" s="154">
        <v>5</v>
      </c>
      <c r="E52" s="263" t="s">
        <v>585</v>
      </c>
      <c r="F52" s="259" t="s">
        <v>188</v>
      </c>
      <c r="G52" s="154" t="s">
        <v>257</v>
      </c>
      <c r="H52" s="154" t="s">
        <v>427</v>
      </c>
      <c r="I52" s="154" t="s">
        <v>334</v>
      </c>
      <c r="J52" s="269" t="s">
        <v>586</v>
      </c>
      <c r="K52" s="288">
        <v>43836</v>
      </c>
      <c r="L52" s="271">
        <v>634725</v>
      </c>
      <c r="M52" s="289" t="s">
        <v>587</v>
      </c>
      <c r="N52" s="271"/>
      <c r="O52" s="271"/>
      <c r="P52" s="290">
        <v>149.11</v>
      </c>
      <c r="Q52" s="271"/>
      <c r="R52" s="154"/>
      <c r="S52" s="189" t="s">
        <v>430</v>
      </c>
      <c r="T52" s="304" t="s">
        <v>588</v>
      </c>
      <c r="U52" s="305">
        <v>582316.51</v>
      </c>
      <c r="V52" s="305">
        <f t="shared" si="2"/>
        <v>52408.49</v>
      </c>
      <c r="W52" s="306">
        <f t="shared" si="3"/>
        <v>634725</v>
      </c>
      <c r="X52" s="271">
        <f t="shared" si="0"/>
        <v>582316.51</v>
      </c>
      <c r="Y52" s="271">
        <f t="shared" si="1"/>
        <v>3905.28</v>
      </c>
      <c r="Z52" s="154"/>
    </row>
    <row r="53" s="243" customFormat="1" ht="22" customHeight="1" outlineLevel="2" spans="1:26">
      <c r="A53" s="154" t="s">
        <v>589</v>
      </c>
      <c r="B53" s="259">
        <v>20</v>
      </c>
      <c r="C53" s="260">
        <v>1</v>
      </c>
      <c r="D53" s="154">
        <v>6</v>
      </c>
      <c r="E53" s="263" t="s">
        <v>590</v>
      </c>
      <c r="F53" s="259" t="s">
        <v>188</v>
      </c>
      <c r="G53" s="154" t="s">
        <v>257</v>
      </c>
      <c r="H53" s="154" t="s">
        <v>427</v>
      </c>
      <c r="I53" s="154" t="s">
        <v>334</v>
      </c>
      <c r="J53" s="269" t="s">
        <v>591</v>
      </c>
      <c r="K53" s="288">
        <v>43997</v>
      </c>
      <c r="L53" s="271">
        <v>760043</v>
      </c>
      <c r="M53" s="289" t="s">
        <v>592</v>
      </c>
      <c r="N53" s="271"/>
      <c r="O53" s="271"/>
      <c r="P53" s="290">
        <v>177.16</v>
      </c>
      <c r="Q53" s="271"/>
      <c r="R53" s="154"/>
      <c r="S53" s="189" t="s">
        <v>430</v>
      </c>
      <c r="T53" s="304" t="s">
        <v>593</v>
      </c>
      <c r="U53" s="305">
        <v>697287.16</v>
      </c>
      <c r="V53" s="305">
        <f t="shared" si="2"/>
        <v>62755.84</v>
      </c>
      <c r="W53" s="306">
        <f t="shared" si="3"/>
        <v>760043</v>
      </c>
      <c r="X53" s="271">
        <f t="shared" si="0"/>
        <v>697287.16</v>
      </c>
      <c r="Y53" s="271">
        <f t="shared" si="1"/>
        <v>3935.92</v>
      </c>
      <c r="Z53" s="154"/>
    </row>
    <row r="54" s="243" customFormat="1" ht="22" customHeight="1" outlineLevel="2" spans="1:26">
      <c r="A54" s="154" t="s">
        <v>594</v>
      </c>
      <c r="B54" s="259">
        <v>20</v>
      </c>
      <c r="C54" s="260">
        <v>1</v>
      </c>
      <c r="D54" s="154">
        <v>6</v>
      </c>
      <c r="E54" s="263" t="s">
        <v>595</v>
      </c>
      <c r="F54" s="259" t="s">
        <v>188</v>
      </c>
      <c r="G54" s="154" t="s">
        <v>257</v>
      </c>
      <c r="H54" s="154" t="s">
        <v>427</v>
      </c>
      <c r="I54" s="154" t="s">
        <v>334</v>
      </c>
      <c r="J54" s="269" t="s">
        <v>596</v>
      </c>
      <c r="K54" s="288">
        <v>43938</v>
      </c>
      <c r="L54" s="271">
        <v>641173</v>
      </c>
      <c r="M54" s="289" t="s">
        <v>597</v>
      </c>
      <c r="N54" s="271"/>
      <c r="O54" s="271"/>
      <c r="P54" s="290">
        <v>149.11</v>
      </c>
      <c r="Q54" s="271"/>
      <c r="R54" s="154"/>
      <c r="S54" s="189" t="s">
        <v>430</v>
      </c>
      <c r="T54" s="311" t="s">
        <v>598</v>
      </c>
      <c r="U54" s="305">
        <v>588232.11</v>
      </c>
      <c r="V54" s="305">
        <f t="shared" si="2"/>
        <v>52940.89</v>
      </c>
      <c r="W54" s="306">
        <f t="shared" si="3"/>
        <v>641173</v>
      </c>
      <c r="X54" s="271">
        <f t="shared" si="0"/>
        <v>588232.11</v>
      </c>
      <c r="Y54" s="271">
        <f t="shared" si="1"/>
        <v>3944.95</v>
      </c>
      <c r="Z54" s="154"/>
    </row>
    <row r="55" s="243" customFormat="1" ht="22" customHeight="1" outlineLevel="2" spans="1:26">
      <c r="A55" s="154" t="s">
        <v>599</v>
      </c>
      <c r="B55" s="259">
        <v>20</v>
      </c>
      <c r="C55" s="260">
        <v>1</v>
      </c>
      <c r="D55" s="154">
        <v>7</v>
      </c>
      <c r="E55" s="263" t="s">
        <v>600</v>
      </c>
      <c r="F55" s="259" t="s">
        <v>188</v>
      </c>
      <c r="G55" s="154" t="s">
        <v>257</v>
      </c>
      <c r="H55" s="154" t="s">
        <v>427</v>
      </c>
      <c r="I55" s="154" t="s">
        <v>334</v>
      </c>
      <c r="J55" s="269" t="s">
        <v>601</v>
      </c>
      <c r="K55" s="288">
        <v>44129</v>
      </c>
      <c r="L55" s="271">
        <v>1160043</v>
      </c>
      <c r="M55" s="289" t="s">
        <v>602</v>
      </c>
      <c r="N55" s="271"/>
      <c r="O55" s="271"/>
      <c r="P55" s="290">
        <v>274.17</v>
      </c>
      <c r="Q55" s="271"/>
      <c r="R55" s="154"/>
      <c r="S55" s="189" t="s">
        <v>430</v>
      </c>
      <c r="T55" s="309" t="s">
        <v>603</v>
      </c>
      <c r="U55" s="305">
        <v>1064259.64</v>
      </c>
      <c r="V55" s="305">
        <f t="shared" si="2"/>
        <v>95783.3600000001</v>
      </c>
      <c r="W55" s="306">
        <f t="shared" si="3"/>
        <v>1160043</v>
      </c>
      <c r="X55" s="271">
        <f t="shared" si="0"/>
        <v>1064259.64</v>
      </c>
      <c r="Y55" s="271">
        <f t="shared" si="1"/>
        <v>3881.75</v>
      </c>
      <c r="Z55" s="154"/>
    </row>
    <row r="56" s="243" customFormat="1" ht="22" customHeight="1" outlineLevel="2" spans="1:26">
      <c r="A56" s="154" t="s">
        <v>604</v>
      </c>
      <c r="B56" s="259">
        <v>20</v>
      </c>
      <c r="C56" s="260">
        <v>1</v>
      </c>
      <c r="D56" s="154">
        <v>7</v>
      </c>
      <c r="E56" s="263" t="s">
        <v>605</v>
      </c>
      <c r="F56" s="259" t="s">
        <v>188</v>
      </c>
      <c r="G56" s="154" t="s">
        <v>257</v>
      </c>
      <c r="H56" s="154" t="s">
        <v>427</v>
      </c>
      <c r="I56" s="154" t="s">
        <v>334</v>
      </c>
      <c r="J56" s="269"/>
      <c r="K56" s="90"/>
      <c r="L56" s="271">
        <v>1334448</v>
      </c>
      <c r="M56" s="291" t="s">
        <v>606</v>
      </c>
      <c r="N56" s="271">
        <v>239.34</v>
      </c>
      <c r="O56" s="271"/>
      <c r="P56" s="290">
        <v>239.34</v>
      </c>
      <c r="Q56" s="271"/>
      <c r="R56" s="154"/>
      <c r="S56" s="189"/>
      <c r="T56" s="304"/>
      <c r="U56" s="291">
        <v>1224264.22</v>
      </c>
      <c r="V56" s="291">
        <v>110183.78</v>
      </c>
      <c r="W56" s="306">
        <f t="shared" si="3"/>
        <v>1334448</v>
      </c>
      <c r="X56" s="271">
        <f t="shared" si="0"/>
        <v>1224264.22</v>
      </c>
      <c r="Y56" s="271">
        <f t="shared" si="1"/>
        <v>5115.17</v>
      </c>
      <c r="Z56" s="154"/>
    </row>
    <row r="57" s="243" customFormat="1" ht="22" customHeight="1" outlineLevel="2" spans="1:26">
      <c r="A57" s="154" t="s">
        <v>607</v>
      </c>
      <c r="B57" s="259">
        <v>20</v>
      </c>
      <c r="C57" s="259">
        <v>2</v>
      </c>
      <c r="D57" s="154">
        <v>1</v>
      </c>
      <c r="E57" s="263" t="s">
        <v>608</v>
      </c>
      <c r="F57" s="259" t="s">
        <v>188</v>
      </c>
      <c r="G57" s="154" t="s">
        <v>257</v>
      </c>
      <c r="H57" s="154" t="s">
        <v>427</v>
      </c>
      <c r="I57" s="154" t="s">
        <v>334</v>
      </c>
      <c r="J57" s="269">
        <v>20210013098</v>
      </c>
      <c r="K57" s="288">
        <v>44546</v>
      </c>
      <c r="L57" s="271">
        <v>1097650</v>
      </c>
      <c r="M57" s="289" t="s">
        <v>609</v>
      </c>
      <c r="N57" s="271"/>
      <c r="O57" s="271"/>
      <c r="P57" s="290">
        <v>149.02</v>
      </c>
      <c r="Q57" s="271"/>
      <c r="R57" s="154"/>
      <c r="S57" s="189" t="s">
        <v>430</v>
      </c>
      <c r="T57" s="304" t="s">
        <v>610</v>
      </c>
      <c r="U57" s="305">
        <v>1007018.34</v>
      </c>
      <c r="V57" s="305">
        <f t="shared" si="2"/>
        <v>90631.66</v>
      </c>
      <c r="W57" s="306">
        <f t="shared" si="3"/>
        <v>1097650</v>
      </c>
      <c r="X57" s="271">
        <f t="shared" si="0"/>
        <v>1007018.34</v>
      </c>
      <c r="Y57" s="271">
        <f t="shared" si="1"/>
        <v>6757.61</v>
      </c>
      <c r="Z57" s="154"/>
    </row>
    <row r="58" s="243" customFormat="1" ht="22" customHeight="1" outlineLevel="2" spans="1:26">
      <c r="A58" s="154" t="s">
        <v>611</v>
      </c>
      <c r="B58" s="259">
        <v>20</v>
      </c>
      <c r="C58" s="259">
        <v>2</v>
      </c>
      <c r="D58" s="154">
        <v>1</v>
      </c>
      <c r="E58" s="263" t="s">
        <v>612</v>
      </c>
      <c r="F58" s="259" t="s">
        <v>188</v>
      </c>
      <c r="G58" s="154" t="s">
        <v>257</v>
      </c>
      <c r="H58" s="154" t="s">
        <v>427</v>
      </c>
      <c r="I58" s="154" t="s">
        <v>334</v>
      </c>
      <c r="J58" s="269">
        <v>20190002917</v>
      </c>
      <c r="K58" s="288">
        <v>43720</v>
      </c>
      <c r="L58" s="271">
        <v>1258229</v>
      </c>
      <c r="M58" s="289" t="s">
        <v>613</v>
      </c>
      <c r="N58" s="271"/>
      <c r="O58" s="271"/>
      <c r="P58" s="290">
        <v>177.16</v>
      </c>
      <c r="Q58" s="271"/>
      <c r="R58" s="154"/>
      <c r="S58" s="189" t="s">
        <v>430</v>
      </c>
      <c r="T58" s="304" t="s">
        <v>614</v>
      </c>
      <c r="U58" s="305">
        <v>1154338.54</v>
      </c>
      <c r="V58" s="305">
        <f t="shared" si="2"/>
        <v>103890.46</v>
      </c>
      <c r="W58" s="306">
        <f t="shared" si="3"/>
        <v>1258229</v>
      </c>
      <c r="X58" s="271">
        <f t="shared" si="0"/>
        <v>1154338.54</v>
      </c>
      <c r="Y58" s="271">
        <f t="shared" si="1"/>
        <v>6515.8</v>
      </c>
      <c r="Z58" s="154"/>
    </row>
    <row r="59" s="243" customFormat="1" ht="22" customHeight="1" outlineLevel="2" spans="1:26">
      <c r="A59" s="154" t="s">
        <v>615</v>
      </c>
      <c r="B59" s="259">
        <v>20</v>
      </c>
      <c r="C59" s="259">
        <v>2</v>
      </c>
      <c r="D59" s="154">
        <v>2</v>
      </c>
      <c r="E59" s="263" t="s">
        <v>616</v>
      </c>
      <c r="F59" s="259" t="s">
        <v>188</v>
      </c>
      <c r="G59" s="154" t="s">
        <v>257</v>
      </c>
      <c r="H59" s="154" t="s">
        <v>427</v>
      </c>
      <c r="I59" s="154" t="s">
        <v>334</v>
      </c>
      <c r="J59" s="269">
        <v>20190005324</v>
      </c>
      <c r="K59" s="288">
        <v>43773</v>
      </c>
      <c r="L59" s="271">
        <v>621568</v>
      </c>
      <c r="M59" s="289" t="s">
        <v>617</v>
      </c>
      <c r="N59" s="271"/>
      <c r="O59" s="271"/>
      <c r="P59" s="290">
        <v>149.11</v>
      </c>
      <c r="Q59" s="271"/>
      <c r="R59" s="154"/>
      <c r="S59" s="189" t="s">
        <v>430</v>
      </c>
      <c r="T59" s="304" t="s">
        <v>618</v>
      </c>
      <c r="U59" s="305">
        <v>570245.87</v>
      </c>
      <c r="V59" s="305">
        <f t="shared" si="2"/>
        <v>51322.13</v>
      </c>
      <c r="W59" s="306">
        <f t="shared" si="3"/>
        <v>621568</v>
      </c>
      <c r="X59" s="271">
        <f t="shared" si="0"/>
        <v>570245.87</v>
      </c>
      <c r="Y59" s="271">
        <f t="shared" si="1"/>
        <v>3824.33</v>
      </c>
      <c r="Z59" s="154"/>
    </row>
    <row r="60" s="243" customFormat="1" ht="22" customHeight="1" outlineLevel="2" spans="1:26">
      <c r="A60" s="154" t="s">
        <v>619</v>
      </c>
      <c r="B60" s="259">
        <v>20</v>
      </c>
      <c r="C60" s="259">
        <v>2</v>
      </c>
      <c r="D60" s="154">
        <v>2</v>
      </c>
      <c r="E60" s="263" t="s">
        <v>620</v>
      </c>
      <c r="F60" s="259" t="s">
        <v>188</v>
      </c>
      <c r="G60" s="154" t="s">
        <v>257</v>
      </c>
      <c r="H60" s="154" t="s">
        <v>427</v>
      </c>
      <c r="I60" s="154" t="s">
        <v>334</v>
      </c>
      <c r="J60" s="269" t="s">
        <v>621</v>
      </c>
      <c r="K60" s="288">
        <v>43967</v>
      </c>
      <c r="L60" s="271">
        <v>725155</v>
      </c>
      <c r="M60" s="289" t="s">
        <v>622</v>
      </c>
      <c r="N60" s="271"/>
      <c r="O60" s="271"/>
      <c r="P60" s="290">
        <v>177.16</v>
      </c>
      <c r="Q60" s="271"/>
      <c r="R60" s="154"/>
      <c r="S60" s="189" t="s">
        <v>430</v>
      </c>
      <c r="T60" s="304" t="s">
        <v>623</v>
      </c>
      <c r="U60" s="305">
        <v>665279.82</v>
      </c>
      <c r="V60" s="305">
        <f t="shared" si="2"/>
        <v>59875.1800000001</v>
      </c>
      <c r="W60" s="306">
        <f t="shared" si="3"/>
        <v>725155</v>
      </c>
      <c r="X60" s="271">
        <f t="shared" si="0"/>
        <v>665279.82</v>
      </c>
      <c r="Y60" s="271">
        <f t="shared" si="1"/>
        <v>3755.25</v>
      </c>
      <c r="Z60" s="154"/>
    </row>
    <row r="61" s="243" customFormat="1" ht="22" customHeight="1" outlineLevel="2" spans="1:26">
      <c r="A61" s="154" t="s">
        <v>624</v>
      </c>
      <c r="B61" s="259">
        <v>20</v>
      </c>
      <c r="C61" s="259">
        <v>2</v>
      </c>
      <c r="D61" s="154">
        <v>3</v>
      </c>
      <c r="E61" s="263" t="s">
        <v>625</v>
      </c>
      <c r="F61" s="259" t="s">
        <v>188</v>
      </c>
      <c r="G61" s="154" t="s">
        <v>257</v>
      </c>
      <c r="H61" s="154" t="s">
        <v>427</v>
      </c>
      <c r="I61" s="154" t="s">
        <v>334</v>
      </c>
      <c r="J61" s="269">
        <v>20190004962</v>
      </c>
      <c r="K61" s="288">
        <v>43765</v>
      </c>
      <c r="L61" s="271">
        <v>620418</v>
      </c>
      <c r="M61" s="289" t="s">
        <v>626</v>
      </c>
      <c r="N61" s="271"/>
      <c r="O61" s="271"/>
      <c r="P61" s="290">
        <v>149.11</v>
      </c>
      <c r="Q61" s="271"/>
      <c r="R61" s="154"/>
      <c r="S61" s="189" t="s">
        <v>430</v>
      </c>
      <c r="T61" s="304" t="s">
        <v>627</v>
      </c>
      <c r="U61" s="305">
        <v>569190.83</v>
      </c>
      <c r="V61" s="305">
        <f t="shared" si="2"/>
        <v>51227.17</v>
      </c>
      <c r="W61" s="306">
        <f t="shared" si="3"/>
        <v>620418</v>
      </c>
      <c r="X61" s="271">
        <f t="shared" si="0"/>
        <v>569190.83</v>
      </c>
      <c r="Y61" s="271">
        <f t="shared" si="1"/>
        <v>3817.25</v>
      </c>
      <c r="Z61" s="154"/>
    </row>
    <row r="62" s="243" customFormat="1" ht="22" customHeight="1" outlineLevel="2" spans="1:26">
      <c r="A62" s="154" t="s">
        <v>628</v>
      </c>
      <c r="B62" s="259">
        <v>20</v>
      </c>
      <c r="C62" s="259">
        <v>2</v>
      </c>
      <c r="D62" s="154">
        <v>3</v>
      </c>
      <c r="E62" s="263" t="s">
        <v>629</v>
      </c>
      <c r="F62" s="259" t="s">
        <v>188</v>
      </c>
      <c r="G62" s="154" t="s">
        <v>257</v>
      </c>
      <c r="H62" s="154" t="s">
        <v>427</v>
      </c>
      <c r="I62" s="154" t="s">
        <v>334</v>
      </c>
      <c r="J62" s="269" t="s">
        <v>630</v>
      </c>
      <c r="K62" s="288">
        <v>43924</v>
      </c>
      <c r="L62" s="271">
        <v>741946</v>
      </c>
      <c r="M62" s="289" t="s">
        <v>631</v>
      </c>
      <c r="N62" s="271"/>
      <c r="O62" s="271"/>
      <c r="P62" s="290">
        <v>177.16</v>
      </c>
      <c r="Q62" s="271"/>
      <c r="R62" s="154"/>
      <c r="S62" s="189" t="s">
        <v>430</v>
      </c>
      <c r="T62" s="308" t="s">
        <v>632</v>
      </c>
      <c r="U62" s="305">
        <v>680684.4</v>
      </c>
      <c r="V62" s="305">
        <f t="shared" si="2"/>
        <v>61261.6</v>
      </c>
      <c r="W62" s="306">
        <f t="shared" si="3"/>
        <v>741946</v>
      </c>
      <c r="X62" s="271">
        <f t="shared" si="0"/>
        <v>680684.4</v>
      </c>
      <c r="Y62" s="271">
        <f t="shared" si="1"/>
        <v>3842.2</v>
      </c>
      <c r="Z62" s="154"/>
    </row>
    <row r="63" s="243" customFormat="1" ht="22" customHeight="1" outlineLevel="2" spans="1:26">
      <c r="A63" s="154" t="s">
        <v>633</v>
      </c>
      <c r="B63" s="259">
        <v>20</v>
      </c>
      <c r="C63" s="259">
        <v>2</v>
      </c>
      <c r="D63" s="154">
        <v>4</v>
      </c>
      <c r="E63" s="263" t="s">
        <v>634</v>
      </c>
      <c r="F63" s="259" t="s">
        <v>188</v>
      </c>
      <c r="G63" s="154" t="s">
        <v>257</v>
      </c>
      <c r="H63" s="154" t="s">
        <v>427</v>
      </c>
      <c r="I63" s="154" t="s">
        <v>334</v>
      </c>
      <c r="J63" s="269">
        <v>20190002707</v>
      </c>
      <c r="K63" s="288">
        <v>43717</v>
      </c>
      <c r="L63" s="271">
        <v>627641</v>
      </c>
      <c r="M63" s="289" t="s">
        <v>635</v>
      </c>
      <c r="N63" s="271"/>
      <c r="O63" s="271"/>
      <c r="P63" s="290">
        <v>149.11</v>
      </c>
      <c r="Q63" s="271"/>
      <c r="R63" s="154"/>
      <c r="S63" s="189" t="s">
        <v>430</v>
      </c>
      <c r="T63" s="308" t="s">
        <v>636</v>
      </c>
      <c r="U63" s="305">
        <v>575817.43</v>
      </c>
      <c r="V63" s="305">
        <f t="shared" si="2"/>
        <v>51823.5699999999</v>
      </c>
      <c r="W63" s="306">
        <f t="shared" si="3"/>
        <v>627641</v>
      </c>
      <c r="X63" s="271">
        <f t="shared" si="0"/>
        <v>575817.43</v>
      </c>
      <c r="Y63" s="271">
        <f t="shared" si="1"/>
        <v>3861.7</v>
      </c>
      <c r="Z63" s="154"/>
    </row>
    <row r="64" s="243" customFormat="1" ht="22" customHeight="1" outlineLevel="2" spans="1:26">
      <c r="A64" s="154" t="s">
        <v>637</v>
      </c>
      <c r="B64" s="259">
        <v>20</v>
      </c>
      <c r="C64" s="259">
        <v>2</v>
      </c>
      <c r="D64" s="154">
        <v>4</v>
      </c>
      <c r="E64" s="263" t="s">
        <v>638</v>
      </c>
      <c r="F64" s="259" t="s">
        <v>188</v>
      </c>
      <c r="G64" s="154" t="s">
        <v>257</v>
      </c>
      <c r="H64" s="154" t="s">
        <v>427</v>
      </c>
      <c r="I64" s="154" t="s">
        <v>334</v>
      </c>
      <c r="J64" s="269">
        <v>20190003913</v>
      </c>
      <c r="K64" s="288">
        <v>43738</v>
      </c>
      <c r="L64" s="271">
        <v>742153.4</v>
      </c>
      <c r="M64" s="289" t="s">
        <v>639</v>
      </c>
      <c r="N64" s="271"/>
      <c r="O64" s="271"/>
      <c r="P64" s="290">
        <v>177.16</v>
      </c>
      <c r="Q64" s="271"/>
      <c r="R64" s="154"/>
      <c r="S64" s="189" t="s">
        <v>430</v>
      </c>
      <c r="T64" s="309" t="s">
        <v>640</v>
      </c>
      <c r="U64" s="305">
        <v>680874.68</v>
      </c>
      <c r="V64" s="305">
        <f t="shared" si="2"/>
        <v>61278.72</v>
      </c>
      <c r="W64" s="306">
        <f t="shared" si="3"/>
        <v>742153.4</v>
      </c>
      <c r="X64" s="271">
        <f t="shared" si="0"/>
        <v>680874.68</v>
      </c>
      <c r="Y64" s="271">
        <f t="shared" si="1"/>
        <v>3843.28</v>
      </c>
      <c r="Z64" s="154"/>
    </row>
    <row r="65" s="243" customFormat="1" ht="22" customHeight="1" outlineLevel="2" spans="1:26">
      <c r="A65" s="154" t="s">
        <v>641</v>
      </c>
      <c r="B65" s="259">
        <v>20</v>
      </c>
      <c r="C65" s="259">
        <v>2</v>
      </c>
      <c r="D65" s="154">
        <v>5</v>
      </c>
      <c r="E65" s="263" t="s">
        <v>642</v>
      </c>
      <c r="F65" s="259" t="s">
        <v>188</v>
      </c>
      <c r="G65" s="154" t="s">
        <v>257</v>
      </c>
      <c r="H65" s="154" t="s">
        <v>427</v>
      </c>
      <c r="I65" s="154" t="s">
        <v>334</v>
      </c>
      <c r="J65" s="269">
        <v>20190002559</v>
      </c>
      <c r="K65" s="288">
        <v>43712</v>
      </c>
      <c r="L65" s="271">
        <v>634725</v>
      </c>
      <c r="M65" s="289" t="s">
        <v>643</v>
      </c>
      <c r="N65" s="271"/>
      <c r="O65" s="271"/>
      <c r="P65" s="290">
        <v>149.11</v>
      </c>
      <c r="Q65" s="271"/>
      <c r="R65" s="154"/>
      <c r="S65" s="189" t="s">
        <v>430</v>
      </c>
      <c r="T65" s="309" t="s">
        <v>644</v>
      </c>
      <c r="U65" s="305">
        <v>582316.51</v>
      </c>
      <c r="V65" s="305">
        <f t="shared" si="2"/>
        <v>52408.49</v>
      </c>
      <c r="W65" s="306">
        <f t="shared" si="3"/>
        <v>634725</v>
      </c>
      <c r="X65" s="271">
        <f t="shared" si="0"/>
        <v>582316.51</v>
      </c>
      <c r="Y65" s="271">
        <f t="shared" si="1"/>
        <v>3905.28</v>
      </c>
      <c r="Z65" s="154"/>
    </row>
    <row r="66" s="243" customFormat="1" ht="22" customHeight="1" outlineLevel="2" spans="1:26">
      <c r="A66" s="154" t="s">
        <v>645</v>
      </c>
      <c r="B66" s="259">
        <v>20</v>
      </c>
      <c r="C66" s="259">
        <v>2</v>
      </c>
      <c r="D66" s="154">
        <v>5</v>
      </c>
      <c r="E66" s="263" t="s">
        <v>646</v>
      </c>
      <c r="F66" s="259" t="s">
        <v>188</v>
      </c>
      <c r="G66" s="154" t="s">
        <v>257</v>
      </c>
      <c r="H66" s="154" t="s">
        <v>427</v>
      </c>
      <c r="I66" s="154" t="s">
        <v>334</v>
      </c>
      <c r="J66" s="269">
        <v>20190002671</v>
      </c>
      <c r="K66" s="288">
        <v>43716</v>
      </c>
      <c r="L66" s="271">
        <v>750737</v>
      </c>
      <c r="M66" s="289" t="s">
        <v>647</v>
      </c>
      <c r="N66" s="271"/>
      <c r="O66" s="271"/>
      <c r="P66" s="290">
        <v>177.16</v>
      </c>
      <c r="Q66" s="271"/>
      <c r="R66" s="154"/>
      <c r="S66" s="189" t="s">
        <v>430</v>
      </c>
      <c r="T66" s="304" t="s">
        <v>648</v>
      </c>
      <c r="U66" s="305">
        <v>688749.54</v>
      </c>
      <c r="V66" s="305">
        <f t="shared" si="2"/>
        <v>61987.46</v>
      </c>
      <c r="W66" s="306">
        <f t="shared" si="3"/>
        <v>750737</v>
      </c>
      <c r="X66" s="271">
        <f t="shared" si="0"/>
        <v>688749.54</v>
      </c>
      <c r="Y66" s="271">
        <f t="shared" si="1"/>
        <v>3887.73</v>
      </c>
      <c r="Z66" s="154"/>
    </row>
    <row r="67" s="243" customFormat="1" ht="22" customHeight="1" outlineLevel="2" spans="1:26">
      <c r="A67" s="154" t="s">
        <v>649</v>
      </c>
      <c r="B67" s="259">
        <v>20</v>
      </c>
      <c r="C67" s="259">
        <v>2</v>
      </c>
      <c r="D67" s="154">
        <v>6</v>
      </c>
      <c r="E67" s="263" t="s">
        <v>650</v>
      </c>
      <c r="F67" s="259" t="s">
        <v>188</v>
      </c>
      <c r="G67" s="154" t="s">
        <v>257</v>
      </c>
      <c r="H67" s="154" t="s">
        <v>427</v>
      </c>
      <c r="I67" s="154" t="s">
        <v>334</v>
      </c>
      <c r="J67" s="269">
        <v>20190006584</v>
      </c>
      <c r="K67" s="288">
        <v>43798</v>
      </c>
      <c r="L67" s="271">
        <v>653320</v>
      </c>
      <c r="M67" s="289" t="s">
        <v>651</v>
      </c>
      <c r="N67" s="271"/>
      <c r="O67" s="271"/>
      <c r="P67" s="290">
        <v>149.11</v>
      </c>
      <c r="Q67" s="271"/>
      <c r="R67" s="154"/>
      <c r="S67" s="189" t="s">
        <v>430</v>
      </c>
      <c r="T67" s="304" t="s">
        <v>652</v>
      </c>
      <c r="U67" s="305">
        <v>599376.15</v>
      </c>
      <c r="V67" s="305">
        <f t="shared" si="2"/>
        <v>53943.85</v>
      </c>
      <c r="W67" s="306">
        <f t="shared" si="3"/>
        <v>653320</v>
      </c>
      <c r="X67" s="271">
        <f t="shared" si="0"/>
        <v>599376.15</v>
      </c>
      <c r="Y67" s="271">
        <f t="shared" si="1"/>
        <v>4019.69</v>
      </c>
      <c r="Z67" s="154"/>
    </row>
    <row r="68" s="243" customFormat="1" ht="22" customHeight="1" outlineLevel="2" spans="1:26">
      <c r="A68" s="154" t="s">
        <v>653</v>
      </c>
      <c r="B68" s="259">
        <v>20</v>
      </c>
      <c r="C68" s="259">
        <v>2</v>
      </c>
      <c r="D68" s="154">
        <v>6</v>
      </c>
      <c r="E68" s="263" t="s">
        <v>654</v>
      </c>
      <c r="F68" s="259" t="s">
        <v>188</v>
      </c>
      <c r="G68" s="154" t="s">
        <v>257</v>
      </c>
      <c r="H68" s="154" t="s">
        <v>427</v>
      </c>
      <c r="I68" s="154" t="s">
        <v>334</v>
      </c>
      <c r="J68" s="269">
        <v>20200000037</v>
      </c>
      <c r="K68" s="288">
        <v>43832</v>
      </c>
      <c r="L68" s="271">
        <v>758931</v>
      </c>
      <c r="M68" s="289" t="s">
        <v>655</v>
      </c>
      <c r="N68" s="271"/>
      <c r="O68" s="271"/>
      <c r="P68" s="290">
        <v>177.16</v>
      </c>
      <c r="Q68" s="271"/>
      <c r="R68" s="154"/>
      <c r="S68" s="189" t="s">
        <v>430</v>
      </c>
      <c r="T68" s="309" t="s">
        <v>656</v>
      </c>
      <c r="U68" s="305">
        <v>696266.97</v>
      </c>
      <c r="V68" s="305">
        <f t="shared" si="2"/>
        <v>62664.03</v>
      </c>
      <c r="W68" s="306">
        <f t="shared" si="3"/>
        <v>758931</v>
      </c>
      <c r="X68" s="271">
        <f t="shared" si="0"/>
        <v>696266.97</v>
      </c>
      <c r="Y68" s="271">
        <f t="shared" si="1"/>
        <v>3930.16</v>
      </c>
      <c r="Z68" s="154"/>
    </row>
    <row r="69" s="243" customFormat="1" ht="22" customHeight="1" outlineLevel="2" spans="1:26">
      <c r="A69" s="154" t="s">
        <v>657</v>
      </c>
      <c r="B69" s="259">
        <v>20</v>
      </c>
      <c r="C69" s="259">
        <v>2</v>
      </c>
      <c r="D69" s="154">
        <v>7</v>
      </c>
      <c r="E69" s="263" t="s">
        <v>658</v>
      </c>
      <c r="F69" s="259" t="s">
        <v>188</v>
      </c>
      <c r="G69" s="154" t="s">
        <v>257</v>
      </c>
      <c r="H69" s="154" t="s">
        <v>537</v>
      </c>
      <c r="I69" s="154"/>
      <c r="J69" s="269"/>
      <c r="K69" s="90"/>
      <c r="L69" s="271"/>
      <c r="M69" s="291"/>
      <c r="N69" s="271"/>
      <c r="O69" s="271"/>
      <c r="P69" s="290">
        <v>239.34</v>
      </c>
      <c r="Q69" s="271"/>
      <c r="R69" s="154"/>
      <c r="S69" s="189"/>
      <c r="T69" s="304"/>
      <c r="U69" s="291"/>
      <c r="V69" s="291"/>
      <c r="W69" s="306"/>
      <c r="X69" s="271"/>
      <c r="Y69" s="271"/>
      <c r="Z69" s="154"/>
    </row>
    <row r="70" s="243" customFormat="1" ht="22" customHeight="1" outlineLevel="2" spans="1:26">
      <c r="A70" s="154" t="s">
        <v>659</v>
      </c>
      <c r="B70" s="259">
        <v>20</v>
      </c>
      <c r="C70" s="259">
        <v>2</v>
      </c>
      <c r="D70" s="154">
        <v>7</v>
      </c>
      <c r="E70" s="263" t="s">
        <v>660</v>
      </c>
      <c r="F70" s="259" t="s">
        <v>188</v>
      </c>
      <c r="G70" s="154" t="s">
        <v>257</v>
      </c>
      <c r="H70" s="154" t="s">
        <v>427</v>
      </c>
      <c r="I70" s="154" t="s">
        <v>334</v>
      </c>
      <c r="J70" s="269">
        <v>20240004398</v>
      </c>
      <c r="K70" s="288">
        <v>45504</v>
      </c>
      <c r="L70" s="271">
        <v>1130000</v>
      </c>
      <c r="M70" s="289" t="s">
        <v>661</v>
      </c>
      <c r="N70" s="271"/>
      <c r="O70" s="271"/>
      <c r="P70" s="290">
        <v>274.17</v>
      </c>
      <c r="Q70" s="271"/>
      <c r="R70" s="154"/>
      <c r="S70" s="189"/>
      <c r="T70" s="304" t="s">
        <v>662</v>
      </c>
      <c r="U70" s="306">
        <v>1036697.25</v>
      </c>
      <c r="V70" s="305">
        <f t="shared" si="2"/>
        <v>93302.75</v>
      </c>
      <c r="W70" s="306">
        <f t="shared" si="3"/>
        <v>1130000</v>
      </c>
      <c r="X70" s="271">
        <f t="shared" si="0"/>
        <v>1036697.25</v>
      </c>
      <c r="Y70" s="271">
        <f t="shared" si="1"/>
        <v>3781.22</v>
      </c>
      <c r="Z70" s="154"/>
    </row>
    <row r="71" s="243" customFormat="1" ht="22" customHeight="1" outlineLevel="2" spans="1:26">
      <c r="A71" s="154" t="s">
        <v>663</v>
      </c>
      <c r="B71" s="259">
        <v>20</v>
      </c>
      <c r="C71" s="259">
        <v>1</v>
      </c>
      <c r="D71" s="154">
        <v>-1</v>
      </c>
      <c r="E71" s="263" t="s">
        <v>664</v>
      </c>
      <c r="F71" s="259" t="s">
        <v>188</v>
      </c>
      <c r="G71" s="154" t="s">
        <v>536</v>
      </c>
      <c r="H71" s="154" t="s">
        <v>537</v>
      </c>
      <c r="I71" s="154"/>
      <c r="J71" s="269"/>
      <c r="K71" s="90"/>
      <c r="L71" s="271"/>
      <c r="M71" s="289"/>
      <c r="N71" s="271"/>
      <c r="O71" s="271"/>
      <c r="P71" s="290">
        <v>141.97</v>
      </c>
      <c r="Q71" s="271"/>
      <c r="R71" s="154"/>
      <c r="S71" s="189"/>
      <c r="T71" s="304"/>
      <c r="U71" s="305"/>
      <c r="V71" s="305">
        <f t="shared" si="2"/>
        <v>0</v>
      </c>
      <c r="W71" s="306">
        <f t="shared" si="3"/>
        <v>0</v>
      </c>
      <c r="X71" s="271">
        <f t="shared" ref="X71:X134" si="4">U71</f>
        <v>0</v>
      </c>
      <c r="Y71" s="271">
        <f t="shared" ref="Y71:Y134" si="5">ROUND(X71/P71,2)</f>
        <v>0</v>
      </c>
      <c r="Z71" s="154"/>
    </row>
    <row r="72" s="243" customFormat="1" ht="22" customHeight="1" outlineLevel="2" spans="1:26">
      <c r="A72" s="154" t="s">
        <v>665</v>
      </c>
      <c r="B72" s="259">
        <v>20</v>
      </c>
      <c r="C72" s="259">
        <v>1</v>
      </c>
      <c r="D72" s="154">
        <v>-1</v>
      </c>
      <c r="E72" s="263" t="s">
        <v>666</v>
      </c>
      <c r="F72" s="259" t="s">
        <v>188</v>
      </c>
      <c r="G72" s="154" t="s">
        <v>536</v>
      </c>
      <c r="H72" s="154" t="s">
        <v>537</v>
      </c>
      <c r="I72" s="154"/>
      <c r="J72" s="269"/>
      <c r="K72" s="90"/>
      <c r="L72" s="271"/>
      <c r="M72" s="289"/>
      <c r="N72" s="271"/>
      <c r="O72" s="271"/>
      <c r="P72" s="290">
        <v>117.14</v>
      </c>
      <c r="Q72" s="271"/>
      <c r="R72" s="154"/>
      <c r="S72" s="189"/>
      <c r="T72" s="304"/>
      <c r="U72" s="305"/>
      <c r="V72" s="305">
        <f t="shared" ref="V72:V135" si="6">L72-U72</f>
        <v>0</v>
      </c>
      <c r="W72" s="306">
        <f t="shared" ref="W72:W135" si="7">U72+V72</f>
        <v>0</v>
      </c>
      <c r="X72" s="271">
        <f t="shared" si="4"/>
        <v>0</v>
      </c>
      <c r="Y72" s="271">
        <f t="shared" si="5"/>
        <v>0</v>
      </c>
      <c r="Z72" s="154"/>
    </row>
    <row r="73" s="243" customFormat="1" ht="22" customHeight="1" outlineLevel="2" spans="1:26">
      <c r="A73" s="154" t="s">
        <v>667</v>
      </c>
      <c r="B73" s="259">
        <v>20</v>
      </c>
      <c r="C73" s="259">
        <v>2</v>
      </c>
      <c r="D73" s="154">
        <v>-1</v>
      </c>
      <c r="E73" s="263" t="s">
        <v>668</v>
      </c>
      <c r="F73" s="259" t="s">
        <v>188</v>
      </c>
      <c r="G73" s="154" t="s">
        <v>536</v>
      </c>
      <c r="H73" s="154" t="s">
        <v>537</v>
      </c>
      <c r="I73" s="154"/>
      <c r="J73" s="269"/>
      <c r="K73" s="90"/>
      <c r="L73" s="271"/>
      <c r="M73" s="289"/>
      <c r="N73" s="271"/>
      <c r="O73" s="271"/>
      <c r="P73" s="290">
        <v>117.14</v>
      </c>
      <c r="Q73" s="271"/>
      <c r="R73" s="154"/>
      <c r="S73" s="189"/>
      <c r="T73" s="304"/>
      <c r="U73" s="305"/>
      <c r="V73" s="305">
        <f t="shared" si="6"/>
        <v>0</v>
      </c>
      <c r="W73" s="306">
        <f t="shared" si="7"/>
        <v>0</v>
      </c>
      <c r="X73" s="271">
        <f t="shared" si="4"/>
        <v>0</v>
      </c>
      <c r="Y73" s="271">
        <f t="shared" si="5"/>
        <v>0</v>
      </c>
      <c r="Z73" s="154"/>
    </row>
    <row r="74" s="243" customFormat="1" ht="22" customHeight="1" outlineLevel="2" spans="1:26">
      <c r="A74" s="154" t="s">
        <v>669</v>
      </c>
      <c r="B74" s="259">
        <v>20</v>
      </c>
      <c r="C74" s="259">
        <v>2</v>
      </c>
      <c r="D74" s="154">
        <v>-1</v>
      </c>
      <c r="E74" s="263" t="s">
        <v>670</v>
      </c>
      <c r="F74" s="259" t="s">
        <v>188</v>
      </c>
      <c r="G74" s="154" t="s">
        <v>536</v>
      </c>
      <c r="H74" s="154" t="s">
        <v>537</v>
      </c>
      <c r="I74" s="154"/>
      <c r="J74" s="269"/>
      <c r="K74" s="90"/>
      <c r="L74" s="271"/>
      <c r="M74" s="289"/>
      <c r="N74" s="271"/>
      <c r="O74" s="271"/>
      <c r="P74" s="290">
        <v>141.97</v>
      </c>
      <c r="Q74" s="271"/>
      <c r="R74" s="154"/>
      <c r="S74" s="189"/>
      <c r="T74" s="304"/>
      <c r="U74" s="305"/>
      <c r="V74" s="305">
        <f t="shared" si="6"/>
        <v>0</v>
      </c>
      <c r="W74" s="306">
        <f t="shared" si="7"/>
        <v>0</v>
      </c>
      <c r="X74" s="271">
        <f t="shared" si="4"/>
        <v>0</v>
      </c>
      <c r="Y74" s="271">
        <f t="shared" si="5"/>
        <v>0</v>
      </c>
      <c r="Z74" s="154"/>
    </row>
    <row r="75" s="243" customFormat="1" ht="22" customHeight="1" outlineLevel="2" spans="1:26">
      <c r="A75" s="154" t="s">
        <v>671</v>
      </c>
      <c r="B75" s="259">
        <v>23</v>
      </c>
      <c r="C75" s="260">
        <v>1</v>
      </c>
      <c r="D75" s="154">
        <v>1</v>
      </c>
      <c r="E75" s="262" t="s">
        <v>672</v>
      </c>
      <c r="F75" s="259" t="s">
        <v>188</v>
      </c>
      <c r="G75" s="154" t="s">
        <v>256</v>
      </c>
      <c r="H75" s="154" t="s">
        <v>427</v>
      </c>
      <c r="I75" s="154" t="s">
        <v>334</v>
      </c>
      <c r="J75" s="269">
        <v>20190002667</v>
      </c>
      <c r="K75" s="314">
        <v>43715</v>
      </c>
      <c r="L75" s="271">
        <v>692232</v>
      </c>
      <c r="M75" s="274" t="s">
        <v>673</v>
      </c>
      <c r="N75" s="271"/>
      <c r="O75" s="271"/>
      <c r="P75" s="273">
        <v>126.36</v>
      </c>
      <c r="Q75" s="271"/>
      <c r="R75" s="154"/>
      <c r="S75" s="189" t="s">
        <v>430</v>
      </c>
      <c r="T75" s="304" t="s">
        <v>674</v>
      </c>
      <c r="U75" s="305">
        <v>635075.23</v>
      </c>
      <c r="V75" s="305">
        <f t="shared" si="6"/>
        <v>57156.77</v>
      </c>
      <c r="W75" s="306">
        <f t="shared" si="7"/>
        <v>692232</v>
      </c>
      <c r="X75" s="271">
        <f t="shared" si="4"/>
        <v>635075.23</v>
      </c>
      <c r="Y75" s="271">
        <f t="shared" si="5"/>
        <v>5025.92</v>
      </c>
      <c r="Z75" s="154"/>
    </row>
    <row r="76" s="243" customFormat="1" ht="22" customHeight="1" outlineLevel="2" spans="1:26">
      <c r="A76" s="154" t="s">
        <v>675</v>
      </c>
      <c r="B76" s="259">
        <v>23</v>
      </c>
      <c r="C76" s="260">
        <v>1</v>
      </c>
      <c r="D76" s="154">
        <v>1</v>
      </c>
      <c r="E76" s="262" t="s">
        <v>676</v>
      </c>
      <c r="F76" s="259" t="s">
        <v>188</v>
      </c>
      <c r="G76" s="154" t="s">
        <v>256</v>
      </c>
      <c r="H76" s="154" t="s">
        <v>427</v>
      </c>
      <c r="I76" s="154" t="s">
        <v>334</v>
      </c>
      <c r="J76" s="269">
        <v>20200002983</v>
      </c>
      <c r="K76" s="270">
        <v>43950</v>
      </c>
      <c r="L76" s="271">
        <v>680645</v>
      </c>
      <c r="M76" s="274" t="s">
        <v>677</v>
      </c>
      <c r="N76" s="271"/>
      <c r="O76" s="271"/>
      <c r="P76" s="273">
        <v>125.88</v>
      </c>
      <c r="Q76" s="271"/>
      <c r="R76" s="154"/>
      <c r="S76" s="189" t="s">
        <v>430</v>
      </c>
      <c r="T76" s="547" t="s">
        <v>678</v>
      </c>
      <c r="U76" s="305">
        <v>624444.95</v>
      </c>
      <c r="V76" s="305">
        <f t="shared" si="6"/>
        <v>56200.05</v>
      </c>
      <c r="W76" s="306">
        <f t="shared" si="7"/>
        <v>680645</v>
      </c>
      <c r="X76" s="271">
        <f t="shared" si="4"/>
        <v>624444.95</v>
      </c>
      <c r="Y76" s="271">
        <f t="shared" si="5"/>
        <v>4960.64</v>
      </c>
      <c r="Z76" s="154"/>
    </row>
    <row r="77" s="243" customFormat="1" ht="22" customHeight="1" outlineLevel="2" spans="1:26">
      <c r="A77" s="154" t="s">
        <v>679</v>
      </c>
      <c r="B77" s="259">
        <v>23</v>
      </c>
      <c r="C77" s="260">
        <v>1</v>
      </c>
      <c r="D77" s="154">
        <v>2</v>
      </c>
      <c r="E77" s="262" t="s">
        <v>680</v>
      </c>
      <c r="F77" s="259" t="s">
        <v>188</v>
      </c>
      <c r="G77" s="154" t="s">
        <v>256</v>
      </c>
      <c r="H77" s="154" t="s">
        <v>427</v>
      </c>
      <c r="I77" s="154" t="s">
        <v>334</v>
      </c>
      <c r="J77" s="269">
        <v>20190007974</v>
      </c>
      <c r="K77" s="270">
        <v>43820</v>
      </c>
      <c r="L77" s="271">
        <v>508688</v>
      </c>
      <c r="M77" s="274" t="s">
        <v>681</v>
      </c>
      <c r="N77" s="271"/>
      <c r="O77" s="271"/>
      <c r="P77" s="273">
        <v>126.36</v>
      </c>
      <c r="Q77" s="271"/>
      <c r="R77" s="154"/>
      <c r="S77" s="189" t="s">
        <v>430</v>
      </c>
      <c r="T77" s="304" t="s">
        <v>682</v>
      </c>
      <c r="U77" s="305">
        <v>466686.24</v>
      </c>
      <c r="V77" s="305">
        <f t="shared" si="6"/>
        <v>42001.76</v>
      </c>
      <c r="W77" s="306">
        <f t="shared" si="7"/>
        <v>508688</v>
      </c>
      <c r="X77" s="271">
        <f t="shared" si="4"/>
        <v>466686.24</v>
      </c>
      <c r="Y77" s="271">
        <f t="shared" si="5"/>
        <v>3693.31</v>
      </c>
      <c r="Z77" s="154"/>
    </row>
    <row r="78" s="243" customFormat="1" ht="22" customHeight="1" outlineLevel="2" spans="1:26">
      <c r="A78" s="154" t="s">
        <v>683</v>
      </c>
      <c r="B78" s="259">
        <v>23</v>
      </c>
      <c r="C78" s="260">
        <v>1</v>
      </c>
      <c r="D78" s="154">
        <v>2</v>
      </c>
      <c r="E78" s="262" t="s">
        <v>684</v>
      </c>
      <c r="F78" s="259" t="s">
        <v>188</v>
      </c>
      <c r="G78" s="154" t="s">
        <v>256</v>
      </c>
      <c r="H78" s="154" t="s">
        <v>427</v>
      </c>
      <c r="I78" s="154" t="s">
        <v>334</v>
      </c>
      <c r="J78" s="269">
        <v>20190002762</v>
      </c>
      <c r="K78" s="270">
        <v>43718</v>
      </c>
      <c r="L78" s="271">
        <v>497618</v>
      </c>
      <c r="M78" s="315" t="s">
        <v>685</v>
      </c>
      <c r="N78" s="271"/>
      <c r="O78" s="271"/>
      <c r="P78" s="273">
        <v>125.98</v>
      </c>
      <c r="Q78" s="271"/>
      <c r="R78" s="154"/>
      <c r="S78" s="189" t="s">
        <v>430</v>
      </c>
      <c r="T78" s="304" t="s">
        <v>686</v>
      </c>
      <c r="U78" s="305">
        <v>456530.28</v>
      </c>
      <c r="V78" s="305">
        <f t="shared" si="6"/>
        <v>41087.72</v>
      </c>
      <c r="W78" s="306">
        <f t="shared" si="7"/>
        <v>497618</v>
      </c>
      <c r="X78" s="271">
        <f t="shared" si="4"/>
        <v>456530.28</v>
      </c>
      <c r="Y78" s="271">
        <f t="shared" si="5"/>
        <v>3623.83</v>
      </c>
      <c r="Z78" s="154"/>
    </row>
    <row r="79" s="243" customFormat="1" ht="22" customHeight="1" outlineLevel="2" spans="1:26">
      <c r="A79" s="154" t="s">
        <v>687</v>
      </c>
      <c r="B79" s="259">
        <v>23</v>
      </c>
      <c r="C79" s="260">
        <v>1</v>
      </c>
      <c r="D79" s="154">
        <v>3</v>
      </c>
      <c r="E79" s="261" t="s">
        <v>688</v>
      </c>
      <c r="F79" s="259" t="s">
        <v>188</v>
      </c>
      <c r="G79" s="154" t="s">
        <v>256</v>
      </c>
      <c r="H79" s="154" t="s">
        <v>427</v>
      </c>
      <c r="I79" s="154" t="s">
        <v>334</v>
      </c>
      <c r="J79" s="269">
        <v>20190003069</v>
      </c>
      <c r="K79" s="270">
        <v>43725</v>
      </c>
      <c r="L79" s="271">
        <v>504690</v>
      </c>
      <c r="M79" s="316" t="s">
        <v>689</v>
      </c>
      <c r="N79" s="271"/>
      <c r="O79" s="271"/>
      <c r="P79" s="273">
        <v>126.36</v>
      </c>
      <c r="Q79" s="271"/>
      <c r="R79" s="154"/>
      <c r="S79" s="189" t="s">
        <v>430</v>
      </c>
      <c r="T79" s="308" t="s">
        <v>690</v>
      </c>
      <c r="U79" s="305">
        <v>463018.35</v>
      </c>
      <c r="V79" s="305">
        <f t="shared" si="6"/>
        <v>41671.65</v>
      </c>
      <c r="W79" s="306">
        <f t="shared" si="7"/>
        <v>504690</v>
      </c>
      <c r="X79" s="271">
        <f t="shared" si="4"/>
        <v>463018.35</v>
      </c>
      <c r="Y79" s="271">
        <f t="shared" si="5"/>
        <v>3664.28</v>
      </c>
      <c r="Z79" s="154"/>
    </row>
    <row r="80" s="243" customFormat="1" ht="22" customHeight="1" outlineLevel="2" spans="1:26">
      <c r="A80" s="154" t="s">
        <v>691</v>
      </c>
      <c r="B80" s="259">
        <v>23</v>
      </c>
      <c r="C80" s="260">
        <v>1</v>
      </c>
      <c r="D80" s="154">
        <v>3</v>
      </c>
      <c r="E80" s="262" t="s">
        <v>692</v>
      </c>
      <c r="F80" s="259" t="s">
        <v>188</v>
      </c>
      <c r="G80" s="154" t="s">
        <v>256</v>
      </c>
      <c r="H80" s="154" t="s">
        <v>427</v>
      </c>
      <c r="I80" s="154" t="s">
        <v>334</v>
      </c>
      <c r="J80" s="269">
        <v>20190002520</v>
      </c>
      <c r="K80" s="314">
        <v>43712</v>
      </c>
      <c r="L80" s="271">
        <v>503602</v>
      </c>
      <c r="M80" s="280" t="s">
        <v>693</v>
      </c>
      <c r="N80" s="271"/>
      <c r="O80" s="271"/>
      <c r="P80" s="273">
        <v>125.98</v>
      </c>
      <c r="Q80" s="271"/>
      <c r="R80" s="154"/>
      <c r="S80" s="189" t="s">
        <v>430</v>
      </c>
      <c r="T80" s="308" t="s">
        <v>694</v>
      </c>
      <c r="U80" s="305">
        <v>462020.18</v>
      </c>
      <c r="V80" s="305">
        <f t="shared" si="6"/>
        <v>41581.82</v>
      </c>
      <c r="W80" s="306">
        <f t="shared" si="7"/>
        <v>503602</v>
      </c>
      <c r="X80" s="271">
        <f t="shared" si="4"/>
        <v>462020.18</v>
      </c>
      <c r="Y80" s="271">
        <f t="shared" si="5"/>
        <v>3667.41</v>
      </c>
      <c r="Z80" s="154"/>
    </row>
    <row r="81" s="243" customFormat="1" ht="22" customHeight="1" outlineLevel="2" spans="1:26">
      <c r="A81" s="154" t="s">
        <v>695</v>
      </c>
      <c r="B81" s="259">
        <v>23</v>
      </c>
      <c r="C81" s="260">
        <v>1</v>
      </c>
      <c r="D81" s="154">
        <v>4</v>
      </c>
      <c r="E81" s="262" t="s">
        <v>696</v>
      </c>
      <c r="F81" s="259" t="s">
        <v>188</v>
      </c>
      <c r="G81" s="154" t="s">
        <v>256</v>
      </c>
      <c r="H81" s="154" t="s">
        <v>427</v>
      </c>
      <c r="I81" s="154" t="s">
        <v>334</v>
      </c>
      <c r="J81" s="269">
        <v>20190002751</v>
      </c>
      <c r="K81" s="270">
        <v>43717</v>
      </c>
      <c r="L81" s="271">
        <v>520812</v>
      </c>
      <c r="M81" s="274" t="s">
        <v>697</v>
      </c>
      <c r="N81" s="271"/>
      <c r="O81" s="271"/>
      <c r="P81" s="273">
        <v>126.36</v>
      </c>
      <c r="Q81" s="271"/>
      <c r="R81" s="154"/>
      <c r="S81" s="189" t="s">
        <v>430</v>
      </c>
      <c r="T81" s="304" t="s">
        <v>698</v>
      </c>
      <c r="U81" s="305">
        <v>477809.17</v>
      </c>
      <c r="V81" s="305">
        <f t="shared" si="6"/>
        <v>43002.83</v>
      </c>
      <c r="W81" s="306">
        <f t="shared" si="7"/>
        <v>520812</v>
      </c>
      <c r="X81" s="271">
        <f t="shared" si="4"/>
        <v>477809.17</v>
      </c>
      <c r="Y81" s="271">
        <f t="shared" si="5"/>
        <v>3781.33</v>
      </c>
      <c r="Z81" s="154"/>
    </row>
    <row r="82" s="243" customFormat="1" ht="22" customHeight="1" outlineLevel="2" spans="1:26">
      <c r="A82" s="154" t="s">
        <v>699</v>
      </c>
      <c r="B82" s="259">
        <v>23</v>
      </c>
      <c r="C82" s="260">
        <v>1</v>
      </c>
      <c r="D82" s="154">
        <v>4</v>
      </c>
      <c r="E82" s="262" t="s">
        <v>700</v>
      </c>
      <c r="F82" s="259" t="s">
        <v>188</v>
      </c>
      <c r="G82" s="154" t="s">
        <v>256</v>
      </c>
      <c r="H82" s="154" t="s">
        <v>427</v>
      </c>
      <c r="I82" s="154" t="s">
        <v>334</v>
      </c>
      <c r="J82" s="269">
        <v>20190003666</v>
      </c>
      <c r="K82" s="270">
        <v>43733</v>
      </c>
      <c r="L82" s="271">
        <v>509705</v>
      </c>
      <c r="M82" s="274" t="s">
        <v>701</v>
      </c>
      <c r="N82" s="271"/>
      <c r="O82" s="271"/>
      <c r="P82" s="273">
        <v>125.98</v>
      </c>
      <c r="Q82" s="271"/>
      <c r="R82" s="154"/>
      <c r="S82" s="189"/>
      <c r="T82" s="304" t="s">
        <v>702</v>
      </c>
      <c r="U82" s="305">
        <v>467619.27</v>
      </c>
      <c r="V82" s="305">
        <f t="shared" si="6"/>
        <v>42085.73</v>
      </c>
      <c r="W82" s="306">
        <f t="shared" si="7"/>
        <v>509705</v>
      </c>
      <c r="X82" s="271">
        <f t="shared" si="4"/>
        <v>467619.27</v>
      </c>
      <c r="Y82" s="271">
        <f t="shared" si="5"/>
        <v>3711.85</v>
      </c>
      <c r="Z82" s="154"/>
    </row>
    <row r="83" s="243" customFormat="1" ht="22" customHeight="1" outlineLevel="2" spans="1:26">
      <c r="A83" s="154" t="s">
        <v>703</v>
      </c>
      <c r="B83" s="259">
        <v>23</v>
      </c>
      <c r="C83" s="260">
        <v>1</v>
      </c>
      <c r="D83" s="154">
        <v>5</v>
      </c>
      <c r="E83" s="262" t="s">
        <v>704</v>
      </c>
      <c r="F83" s="259" t="s">
        <v>188</v>
      </c>
      <c r="G83" s="154" t="s">
        <v>256</v>
      </c>
      <c r="H83" s="154" t="s">
        <v>427</v>
      </c>
      <c r="I83" s="154" t="s">
        <v>334</v>
      </c>
      <c r="J83" s="269">
        <v>20190003905</v>
      </c>
      <c r="K83" s="270">
        <v>43738</v>
      </c>
      <c r="L83" s="271">
        <v>526814</v>
      </c>
      <c r="M83" s="274" t="s">
        <v>705</v>
      </c>
      <c r="N83" s="271"/>
      <c r="O83" s="271"/>
      <c r="P83" s="273">
        <v>126.36</v>
      </c>
      <c r="Q83" s="271"/>
      <c r="R83" s="154"/>
      <c r="S83" s="189" t="s">
        <v>430</v>
      </c>
      <c r="T83" s="308" t="s">
        <v>706</v>
      </c>
      <c r="U83" s="305">
        <v>483315.6</v>
      </c>
      <c r="V83" s="305">
        <f t="shared" si="6"/>
        <v>43498.4</v>
      </c>
      <c r="W83" s="306">
        <f t="shared" si="7"/>
        <v>526814</v>
      </c>
      <c r="X83" s="271">
        <f t="shared" si="4"/>
        <v>483315.6</v>
      </c>
      <c r="Y83" s="271">
        <f t="shared" si="5"/>
        <v>3824.91</v>
      </c>
      <c r="Z83" s="154"/>
    </row>
    <row r="84" s="243" customFormat="1" ht="22" customHeight="1" outlineLevel="2" spans="1:26">
      <c r="A84" s="154" t="s">
        <v>707</v>
      </c>
      <c r="B84" s="259">
        <v>23</v>
      </c>
      <c r="C84" s="260">
        <v>1</v>
      </c>
      <c r="D84" s="154">
        <v>5</v>
      </c>
      <c r="E84" s="262" t="s">
        <v>708</v>
      </c>
      <c r="F84" s="259" t="s">
        <v>188</v>
      </c>
      <c r="G84" s="154" t="s">
        <v>256</v>
      </c>
      <c r="H84" s="154" t="s">
        <v>427</v>
      </c>
      <c r="I84" s="154" t="s">
        <v>334</v>
      </c>
      <c r="J84" s="269">
        <v>20190002733</v>
      </c>
      <c r="K84" s="270">
        <v>43717</v>
      </c>
      <c r="L84" s="271">
        <v>515689</v>
      </c>
      <c r="M84" s="317" t="s">
        <v>709</v>
      </c>
      <c r="N84" s="271"/>
      <c r="O84" s="271"/>
      <c r="P84" s="273">
        <v>125.98</v>
      </c>
      <c r="Q84" s="271"/>
      <c r="R84" s="154"/>
      <c r="S84" s="189" t="s">
        <v>430</v>
      </c>
      <c r="T84" s="304" t="s">
        <v>710</v>
      </c>
      <c r="U84" s="305">
        <v>473109.17</v>
      </c>
      <c r="V84" s="305">
        <f t="shared" si="6"/>
        <v>42579.83</v>
      </c>
      <c r="W84" s="306">
        <f t="shared" si="7"/>
        <v>515689</v>
      </c>
      <c r="X84" s="271">
        <f t="shared" si="4"/>
        <v>473109.17</v>
      </c>
      <c r="Y84" s="271">
        <f t="shared" si="5"/>
        <v>3755.43</v>
      </c>
      <c r="Z84" s="154"/>
    </row>
    <row r="85" s="243" customFormat="1" ht="22" customHeight="1" outlineLevel="2" spans="1:26">
      <c r="A85" s="154" t="s">
        <v>711</v>
      </c>
      <c r="B85" s="259">
        <v>23</v>
      </c>
      <c r="C85" s="260">
        <v>1</v>
      </c>
      <c r="D85" s="154">
        <v>6</v>
      </c>
      <c r="E85" s="262" t="s">
        <v>712</v>
      </c>
      <c r="F85" s="259" t="s">
        <v>188</v>
      </c>
      <c r="G85" s="154" t="s">
        <v>256</v>
      </c>
      <c r="H85" s="154" t="s">
        <v>427</v>
      </c>
      <c r="I85" s="154" t="s">
        <v>334</v>
      </c>
      <c r="J85" s="269">
        <v>20190003803</v>
      </c>
      <c r="K85" s="270">
        <v>43736</v>
      </c>
      <c r="L85" s="271">
        <v>532937</v>
      </c>
      <c r="M85" s="318" t="s">
        <v>713</v>
      </c>
      <c r="N85" s="271"/>
      <c r="O85" s="271"/>
      <c r="P85" s="273">
        <v>126.36</v>
      </c>
      <c r="Q85" s="271"/>
      <c r="R85" s="154"/>
      <c r="S85" s="189" t="s">
        <v>430</v>
      </c>
      <c r="T85" s="304" t="s">
        <v>714</v>
      </c>
      <c r="U85" s="305">
        <v>488933.03</v>
      </c>
      <c r="V85" s="305">
        <f t="shared" si="6"/>
        <v>44003.97</v>
      </c>
      <c r="W85" s="306">
        <f t="shared" si="7"/>
        <v>532937</v>
      </c>
      <c r="X85" s="271">
        <f t="shared" si="4"/>
        <v>488933.03</v>
      </c>
      <c r="Y85" s="271">
        <f t="shared" si="5"/>
        <v>3869.37</v>
      </c>
      <c r="Z85" s="154"/>
    </row>
    <row r="86" s="243" customFormat="1" ht="22" customHeight="1" outlineLevel="2" spans="1:26">
      <c r="A86" s="154" t="s">
        <v>715</v>
      </c>
      <c r="B86" s="259">
        <v>23</v>
      </c>
      <c r="C86" s="260">
        <v>1</v>
      </c>
      <c r="D86" s="154">
        <v>6</v>
      </c>
      <c r="E86" s="262" t="s">
        <v>716</v>
      </c>
      <c r="F86" s="259" t="s">
        <v>188</v>
      </c>
      <c r="G86" s="154" t="s">
        <v>256</v>
      </c>
      <c r="H86" s="154" t="s">
        <v>427</v>
      </c>
      <c r="I86" s="154" t="s">
        <v>334</v>
      </c>
      <c r="J86" s="269">
        <v>20190003815</v>
      </c>
      <c r="K86" s="270">
        <v>43736</v>
      </c>
      <c r="L86" s="271">
        <v>521793</v>
      </c>
      <c r="M86" s="274" t="s">
        <v>717</v>
      </c>
      <c r="N86" s="271"/>
      <c r="O86" s="271"/>
      <c r="P86" s="273">
        <v>125.98</v>
      </c>
      <c r="Q86" s="271"/>
      <c r="R86" s="154"/>
      <c r="S86" s="189" t="s">
        <v>430</v>
      </c>
      <c r="T86" s="304" t="s">
        <v>718</v>
      </c>
      <c r="U86" s="305">
        <v>478709.17</v>
      </c>
      <c r="V86" s="305">
        <f t="shared" si="6"/>
        <v>43083.83</v>
      </c>
      <c r="W86" s="306">
        <f t="shared" si="7"/>
        <v>521793</v>
      </c>
      <c r="X86" s="271">
        <f t="shared" si="4"/>
        <v>478709.17</v>
      </c>
      <c r="Y86" s="271">
        <f t="shared" si="5"/>
        <v>3799.88</v>
      </c>
      <c r="Z86" s="154"/>
    </row>
    <row r="87" s="243" customFormat="1" ht="22" customHeight="1" outlineLevel="2" spans="1:26">
      <c r="A87" s="154" t="s">
        <v>719</v>
      </c>
      <c r="B87" s="259">
        <v>23</v>
      </c>
      <c r="C87" s="260">
        <v>1</v>
      </c>
      <c r="D87" s="154">
        <v>7</v>
      </c>
      <c r="E87" s="262" t="s">
        <v>720</v>
      </c>
      <c r="F87" s="259" t="s">
        <v>188</v>
      </c>
      <c r="G87" s="154" t="s">
        <v>256</v>
      </c>
      <c r="H87" s="154" t="s">
        <v>427</v>
      </c>
      <c r="I87" s="154" t="s">
        <v>334</v>
      </c>
      <c r="J87" s="269">
        <v>20190003675</v>
      </c>
      <c r="K87" s="270">
        <v>43733</v>
      </c>
      <c r="L87" s="271">
        <v>547846</v>
      </c>
      <c r="M87" s="274" t="s">
        <v>721</v>
      </c>
      <c r="N87" s="271"/>
      <c r="O87" s="271"/>
      <c r="P87" s="273">
        <v>126.36</v>
      </c>
      <c r="Q87" s="271"/>
      <c r="R87" s="154"/>
      <c r="S87" s="189" t="s">
        <v>430</v>
      </c>
      <c r="T87" s="304" t="s">
        <v>722</v>
      </c>
      <c r="U87" s="305">
        <v>502611.01</v>
      </c>
      <c r="V87" s="305">
        <f t="shared" si="6"/>
        <v>45234.99</v>
      </c>
      <c r="W87" s="306">
        <f t="shared" si="7"/>
        <v>547846</v>
      </c>
      <c r="X87" s="271">
        <f t="shared" si="4"/>
        <v>502611.01</v>
      </c>
      <c r="Y87" s="271">
        <f t="shared" si="5"/>
        <v>3977.61</v>
      </c>
      <c r="Z87" s="154"/>
    </row>
    <row r="88" s="243" customFormat="1" ht="22" customHeight="1" outlineLevel="2" spans="1:26">
      <c r="A88" s="154" t="s">
        <v>723</v>
      </c>
      <c r="B88" s="259">
        <v>23</v>
      </c>
      <c r="C88" s="260">
        <v>1</v>
      </c>
      <c r="D88" s="154">
        <v>7</v>
      </c>
      <c r="E88" s="262" t="s">
        <v>724</v>
      </c>
      <c r="F88" s="259" t="s">
        <v>188</v>
      </c>
      <c r="G88" s="154" t="s">
        <v>256</v>
      </c>
      <c r="H88" s="154" t="s">
        <v>427</v>
      </c>
      <c r="I88" s="154" t="s">
        <v>334</v>
      </c>
      <c r="J88" s="269">
        <v>20190002898</v>
      </c>
      <c r="K88" s="270">
        <v>43720</v>
      </c>
      <c r="L88" s="271">
        <v>524666</v>
      </c>
      <c r="M88" s="274" t="s">
        <v>725</v>
      </c>
      <c r="N88" s="271"/>
      <c r="O88" s="271"/>
      <c r="P88" s="273">
        <v>125.98</v>
      </c>
      <c r="Q88" s="271"/>
      <c r="R88" s="154"/>
      <c r="S88" s="189" t="s">
        <v>430</v>
      </c>
      <c r="T88" s="309" t="s">
        <v>726</v>
      </c>
      <c r="U88" s="305">
        <v>481344.95</v>
      </c>
      <c r="V88" s="305">
        <f t="shared" si="6"/>
        <v>43321.05</v>
      </c>
      <c r="W88" s="306">
        <f t="shared" si="7"/>
        <v>524666</v>
      </c>
      <c r="X88" s="271">
        <f t="shared" si="4"/>
        <v>481344.95</v>
      </c>
      <c r="Y88" s="271">
        <f t="shared" si="5"/>
        <v>3820.8</v>
      </c>
      <c r="Z88" s="154"/>
    </row>
    <row r="89" s="243" customFormat="1" ht="22" customHeight="1" outlineLevel="2" spans="1:26">
      <c r="A89" s="154" t="s">
        <v>727</v>
      </c>
      <c r="B89" s="259">
        <v>23</v>
      </c>
      <c r="C89" s="260">
        <v>1</v>
      </c>
      <c r="D89" s="154">
        <v>8</v>
      </c>
      <c r="E89" s="262" t="s">
        <v>728</v>
      </c>
      <c r="F89" s="259" t="s">
        <v>188</v>
      </c>
      <c r="G89" s="154" t="s">
        <v>256</v>
      </c>
      <c r="H89" s="154" t="s">
        <v>427</v>
      </c>
      <c r="I89" s="154" t="s">
        <v>334</v>
      </c>
      <c r="J89" s="269">
        <v>20190003578</v>
      </c>
      <c r="K89" s="270">
        <v>43732</v>
      </c>
      <c r="L89" s="271">
        <v>520812</v>
      </c>
      <c r="M89" s="274" t="s">
        <v>729</v>
      </c>
      <c r="N89" s="271"/>
      <c r="O89" s="271"/>
      <c r="P89" s="273">
        <v>126.36</v>
      </c>
      <c r="Q89" s="271"/>
      <c r="R89" s="154"/>
      <c r="S89" s="189" t="s">
        <v>430</v>
      </c>
      <c r="T89" s="304" t="s">
        <v>730</v>
      </c>
      <c r="U89" s="305">
        <v>477809.17</v>
      </c>
      <c r="V89" s="305">
        <f t="shared" si="6"/>
        <v>43002.83</v>
      </c>
      <c r="W89" s="306">
        <f t="shared" si="7"/>
        <v>520812</v>
      </c>
      <c r="X89" s="271">
        <f t="shared" si="4"/>
        <v>477809.17</v>
      </c>
      <c r="Y89" s="271">
        <f t="shared" si="5"/>
        <v>3781.33</v>
      </c>
      <c r="Z89" s="154"/>
    </row>
    <row r="90" s="243" customFormat="1" ht="22" customHeight="1" outlineLevel="2" spans="1:26">
      <c r="A90" s="154" t="s">
        <v>731</v>
      </c>
      <c r="B90" s="259">
        <v>23</v>
      </c>
      <c r="C90" s="260">
        <v>1</v>
      </c>
      <c r="D90" s="154">
        <v>8</v>
      </c>
      <c r="E90" s="262" t="s">
        <v>732</v>
      </c>
      <c r="F90" s="259" t="s">
        <v>188</v>
      </c>
      <c r="G90" s="154" t="s">
        <v>256</v>
      </c>
      <c r="H90" s="154" t="s">
        <v>427</v>
      </c>
      <c r="I90" s="154" t="s">
        <v>334</v>
      </c>
      <c r="J90" s="269">
        <v>20200005546</v>
      </c>
      <c r="K90" s="270">
        <v>44005</v>
      </c>
      <c r="L90" s="271">
        <v>503602</v>
      </c>
      <c r="M90" s="319" t="s">
        <v>733</v>
      </c>
      <c r="N90" s="271"/>
      <c r="O90" s="271"/>
      <c r="P90" s="273">
        <v>125.98</v>
      </c>
      <c r="Q90" s="271"/>
      <c r="R90" s="154"/>
      <c r="S90" s="189" t="s">
        <v>430</v>
      </c>
      <c r="T90" s="304" t="s">
        <v>734</v>
      </c>
      <c r="U90" s="305">
        <v>462020.18</v>
      </c>
      <c r="V90" s="305">
        <f t="shared" si="6"/>
        <v>41581.82</v>
      </c>
      <c r="W90" s="306">
        <f t="shared" si="7"/>
        <v>503602</v>
      </c>
      <c r="X90" s="271">
        <f t="shared" si="4"/>
        <v>462020.18</v>
      </c>
      <c r="Y90" s="271">
        <f t="shared" si="5"/>
        <v>3667.41</v>
      </c>
      <c r="Z90" s="154"/>
    </row>
    <row r="91" s="243" customFormat="1" ht="22" customHeight="1" outlineLevel="2" spans="1:26">
      <c r="A91" s="154" t="s">
        <v>735</v>
      </c>
      <c r="B91" s="259">
        <v>23</v>
      </c>
      <c r="C91" s="259">
        <v>2</v>
      </c>
      <c r="D91" s="154">
        <v>1</v>
      </c>
      <c r="E91" s="261" t="s">
        <v>736</v>
      </c>
      <c r="F91" s="259" t="s">
        <v>188</v>
      </c>
      <c r="G91" s="154" t="s">
        <v>256</v>
      </c>
      <c r="H91" s="154" t="s">
        <v>427</v>
      </c>
      <c r="I91" s="154" t="s">
        <v>334</v>
      </c>
      <c r="J91" s="269">
        <v>20190002768</v>
      </c>
      <c r="K91" s="270">
        <v>43718</v>
      </c>
      <c r="L91" s="271">
        <v>677401</v>
      </c>
      <c r="M91" s="320" t="s">
        <v>737</v>
      </c>
      <c r="N91" s="271"/>
      <c r="O91" s="271"/>
      <c r="P91" s="273">
        <v>125.92</v>
      </c>
      <c r="Q91" s="271"/>
      <c r="R91" s="154"/>
      <c r="S91" s="189" t="s">
        <v>430</v>
      </c>
      <c r="T91" s="304" t="s">
        <v>738</v>
      </c>
      <c r="U91" s="305">
        <v>621468.81</v>
      </c>
      <c r="V91" s="305">
        <f t="shared" si="6"/>
        <v>55932.1899999999</v>
      </c>
      <c r="W91" s="306">
        <f t="shared" si="7"/>
        <v>677401</v>
      </c>
      <c r="X91" s="271">
        <f t="shared" si="4"/>
        <v>621468.81</v>
      </c>
      <c r="Y91" s="271">
        <f t="shared" si="5"/>
        <v>4935.43</v>
      </c>
      <c r="Z91" s="154"/>
    </row>
    <row r="92" s="243" customFormat="1" ht="22" customHeight="1" outlineLevel="2" spans="1:26">
      <c r="A92" s="154" t="s">
        <v>739</v>
      </c>
      <c r="B92" s="259">
        <v>23</v>
      </c>
      <c r="C92" s="259">
        <v>2</v>
      </c>
      <c r="D92" s="154">
        <v>1</v>
      </c>
      <c r="E92" s="262" t="s">
        <v>740</v>
      </c>
      <c r="F92" s="259" t="s">
        <v>188</v>
      </c>
      <c r="G92" s="154" t="s">
        <v>256</v>
      </c>
      <c r="H92" s="154" t="s">
        <v>427</v>
      </c>
      <c r="I92" s="154" t="s">
        <v>334</v>
      </c>
      <c r="J92" s="269">
        <v>20190003302</v>
      </c>
      <c r="K92" s="270">
        <v>43727</v>
      </c>
      <c r="L92" s="271">
        <v>697405</v>
      </c>
      <c r="M92" s="274" t="s">
        <v>741</v>
      </c>
      <c r="N92" s="271"/>
      <c r="O92" s="271"/>
      <c r="P92" s="273">
        <v>126.32</v>
      </c>
      <c r="Q92" s="271"/>
      <c r="R92" s="154"/>
      <c r="S92" s="189" t="s">
        <v>430</v>
      </c>
      <c r="T92" s="304" t="s">
        <v>742</v>
      </c>
      <c r="U92" s="305">
        <v>639821.1</v>
      </c>
      <c r="V92" s="305">
        <f t="shared" si="6"/>
        <v>57583.9</v>
      </c>
      <c r="W92" s="306">
        <f t="shared" si="7"/>
        <v>697405</v>
      </c>
      <c r="X92" s="271">
        <f t="shared" si="4"/>
        <v>639821.1</v>
      </c>
      <c r="Y92" s="271">
        <f t="shared" si="5"/>
        <v>5065.08</v>
      </c>
      <c r="Z92" s="154"/>
    </row>
    <row r="93" s="243" customFormat="1" ht="22" customHeight="1" outlineLevel="2" spans="1:26">
      <c r="A93" s="154" t="s">
        <v>743</v>
      </c>
      <c r="B93" s="259">
        <v>23</v>
      </c>
      <c r="C93" s="259">
        <v>2</v>
      </c>
      <c r="D93" s="154">
        <v>2</v>
      </c>
      <c r="E93" s="262" t="s">
        <v>744</v>
      </c>
      <c r="F93" s="259" t="s">
        <v>188</v>
      </c>
      <c r="G93" s="154" t="s">
        <v>256</v>
      </c>
      <c r="H93" s="154" t="s">
        <v>427</v>
      </c>
      <c r="I93" s="154" t="s">
        <v>334</v>
      </c>
      <c r="J93" s="269">
        <v>20190002631</v>
      </c>
      <c r="K93" s="270">
        <v>43714</v>
      </c>
      <c r="L93" s="271">
        <v>497367</v>
      </c>
      <c r="M93" s="274" t="s">
        <v>745</v>
      </c>
      <c r="N93" s="271"/>
      <c r="O93" s="271"/>
      <c r="P93" s="273">
        <v>125.92</v>
      </c>
      <c r="Q93" s="271"/>
      <c r="R93" s="154"/>
      <c r="S93" s="189" t="s">
        <v>430</v>
      </c>
      <c r="T93" s="309" t="s">
        <v>746</v>
      </c>
      <c r="U93" s="305">
        <v>456300</v>
      </c>
      <c r="V93" s="305">
        <f t="shared" si="6"/>
        <v>41067</v>
      </c>
      <c r="W93" s="306">
        <f t="shared" si="7"/>
        <v>497367</v>
      </c>
      <c r="X93" s="271">
        <f t="shared" si="4"/>
        <v>456300</v>
      </c>
      <c r="Y93" s="271">
        <f t="shared" si="5"/>
        <v>3623.73</v>
      </c>
      <c r="Z93" s="154"/>
    </row>
    <row r="94" s="243" customFormat="1" ht="22" customHeight="1" outlineLevel="2" spans="1:26">
      <c r="A94" s="154" t="s">
        <v>747</v>
      </c>
      <c r="B94" s="259">
        <v>23</v>
      </c>
      <c r="C94" s="259">
        <v>2</v>
      </c>
      <c r="D94" s="154">
        <v>2</v>
      </c>
      <c r="E94" s="262" t="s">
        <v>748</v>
      </c>
      <c r="F94" s="259" t="s">
        <v>188</v>
      </c>
      <c r="G94" s="154" t="s">
        <v>256</v>
      </c>
      <c r="H94" s="154" t="s">
        <v>427</v>
      </c>
      <c r="I94" s="154" t="s">
        <v>334</v>
      </c>
      <c r="J94" s="269">
        <v>20190008406</v>
      </c>
      <c r="K94" s="270">
        <v>43826</v>
      </c>
      <c r="L94" s="271">
        <v>512320</v>
      </c>
      <c r="M94" s="274" t="s">
        <v>749</v>
      </c>
      <c r="N94" s="271"/>
      <c r="O94" s="271"/>
      <c r="P94" s="273">
        <v>126.42</v>
      </c>
      <c r="Q94" s="271"/>
      <c r="R94" s="154"/>
      <c r="S94" s="189" t="s">
        <v>430</v>
      </c>
      <c r="T94" s="304" t="s">
        <v>750</v>
      </c>
      <c r="U94" s="305">
        <v>470018.35</v>
      </c>
      <c r="V94" s="305">
        <f t="shared" si="6"/>
        <v>42301.65</v>
      </c>
      <c r="W94" s="306">
        <f t="shared" si="7"/>
        <v>512320</v>
      </c>
      <c r="X94" s="271">
        <f t="shared" si="4"/>
        <v>470018.35</v>
      </c>
      <c r="Y94" s="271">
        <f t="shared" si="5"/>
        <v>3717.91</v>
      </c>
      <c r="Z94" s="154"/>
    </row>
    <row r="95" s="243" customFormat="1" ht="22" customHeight="1" outlineLevel="2" spans="1:26">
      <c r="A95" s="154" t="s">
        <v>751</v>
      </c>
      <c r="B95" s="259">
        <v>23</v>
      </c>
      <c r="C95" s="259">
        <v>2</v>
      </c>
      <c r="D95" s="154">
        <v>3</v>
      </c>
      <c r="E95" s="262" t="s">
        <v>752</v>
      </c>
      <c r="F95" s="259" t="s">
        <v>188</v>
      </c>
      <c r="G95" s="154" t="s">
        <v>256</v>
      </c>
      <c r="H95" s="154" t="s">
        <v>427</v>
      </c>
      <c r="I95" s="154" t="s">
        <v>334</v>
      </c>
      <c r="J95" s="269">
        <v>20190003207</v>
      </c>
      <c r="K95" s="270">
        <v>43726</v>
      </c>
      <c r="L95" s="271">
        <v>503468</v>
      </c>
      <c r="M95" s="274" t="s">
        <v>753</v>
      </c>
      <c r="N95" s="271"/>
      <c r="O95" s="271"/>
      <c r="P95" s="273">
        <v>125.92</v>
      </c>
      <c r="Q95" s="271"/>
      <c r="R95" s="154"/>
      <c r="S95" s="189" t="s">
        <v>430</v>
      </c>
      <c r="T95" s="304" t="s">
        <v>754</v>
      </c>
      <c r="U95" s="305">
        <v>461897.25</v>
      </c>
      <c r="V95" s="305">
        <f t="shared" si="6"/>
        <v>41570.75</v>
      </c>
      <c r="W95" s="306">
        <f t="shared" si="7"/>
        <v>503468</v>
      </c>
      <c r="X95" s="271">
        <f t="shared" si="4"/>
        <v>461897.25</v>
      </c>
      <c r="Y95" s="271">
        <f t="shared" si="5"/>
        <v>3668.18</v>
      </c>
      <c r="Z95" s="154"/>
    </row>
    <row r="96" s="243" customFormat="1" ht="22" customHeight="1" outlineLevel="2" spans="1:26">
      <c r="A96" s="154" t="s">
        <v>755</v>
      </c>
      <c r="B96" s="259">
        <v>23</v>
      </c>
      <c r="C96" s="259">
        <v>2</v>
      </c>
      <c r="D96" s="154">
        <v>3</v>
      </c>
      <c r="E96" s="262" t="s">
        <v>756</v>
      </c>
      <c r="F96" s="259" t="s">
        <v>188</v>
      </c>
      <c r="G96" s="154" t="s">
        <v>256</v>
      </c>
      <c r="H96" s="154" t="s">
        <v>427</v>
      </c>
      <c r="I96" s="154" t="s">
        <v>334</v>
      </c>
      <c r="J96" s="269">
        <v>20200000621</v>
      </c>
      <c r="K96" s="270">
        <v>43841</v>
      </c>
      <c r="L96" s="271">
        <v>519872</v>
      </c>
      <c r="M96" s="321" t="s">
        <v>757</v>
      </c>
      <c r="N96" s="271"/>
      <c r="O96" s="271"/>
      <c r="P96" s="273">
        <v>126.42</v>
      </c>
      <c r="Q96" s="271"/>
      <c r="R96" s="154"/>
      <c r="S96" s="189" t="s">
        <v>430</v>
      </c>
      <c r="T96" s="304" t="s">
        <v>758</v>
      </c>
      <c r="U96" s="305">
        <v>476946.79</v>
      </c>
      <c r="V96" s="305">
        <f t="shared" si="6"/>
        <v>42925.21</v>
      </c>
      <c r="W96" s="306">
        <f t="shared" si="7"/>
        <v>519872</v>
      </c>
      <c r="X96" s="271">
        <f t="shared" si="4"/>
        <v>476946.79</v>
      </c>
      <c r="Y96" s="271">
        <f t="shared" si="5"/>
        <v>3772.72</v>
      </c>
      <c r="Z96" s="154"/>
    </row>
    <row r="97" s="243" customFormat="1" ht="22" customHeight="1" outlineLevel="2" spans="1:26">
      <c r="A97" s="154" t="s">
        <v>759</v>
      </c>
      <c r="B97" s="259">
        <v>23</v>
      </c>
      <c r="C97" s="259">
        <v>2</v>
      </c>
      <c r="D97" s="154">
        <v>4</v>
      </c>
      <c r="E97" s="262" t="s">
        <v>760</v>
      </c>
      <c r="F97" s="259" t="s">
        <v>188</v>
      </c>
      <c r="G97" s="154" t="s">
        <v>256</v>
      </c>
      <c r="H97" s="154" t="s">
        <v>427</v>
      </c>
      <c r="I97" s="154" t="s">
        <v>334</v>
      </c>
      <c r="J97" s="269">
        <v>20190002725</v>
      </c>
      <c r="K97" s="322" t="s">
        <v>761</v>
      </c>
      <c r="L97" s="271">
        <v>509449</v>
      </c>
      <c r="M97" s="323" t="s">
        <v>762</v>
      </c>
      <c r="N97" s="271"/>
      <c r="O97" s="271"/>
      <c r="P97" s="273">
        <v>125.92</v>
      </c>
      <c r="Q97" s="271"/>
      <c r="R97" s="154"/>
      <c r="S97" s="189" t="s">
        <v>430</v>
      </c>
      <c r="T97" s="304" t="s">
        <v>763</v>
      </c>
      <c r="U97" s="305">
        <v>467384.4</v>
      </c>
      <c r="V97" s="305">
        <f t="shared" si="6"/>
        <v>42064.6</v>
      </c>
      <c r="W97" s="306">
        <f t="shared" si="7"/>
        <v>509449</v>
      </c>
      <c r="X97" s="271">
        <f t="shared" si="4"/>
        <v>467384.4</v>
      </c>
      <c r="Y97" s="271">
        <f t="shared" si="5"/>
        <v>3711.76</v>
      </c>
      <c r="Z97" s="154"/>
    </row>
    <row r="98" s="243" customFormat="1" ht="22" customHeight="1" outlineLevel="2" spans="1:26">
      <c r="A98" s="154" t="s">
        <v>764</v>
      </c>
      <c r="B98" s="259">
        <v>23</v>
      </c>
      <c r="C98" s="259">
        <v>2</v>
      </c>
      <c r="D98" s="154">
        <v>4</v>
      </c>
      <c r="E98" s="262" t="s">
        <v>765</v>
      </c>
      <c r="F98" s="259" t="s">
        <v>188</v>
      </c>
      <c r="G98" s="154" t="s">
        <v>256</v>
      </c>
      <c r="H98" s="154" t="s">
        <v>427</v>
      </c>
      <c r="I98" s="154" t="s">
        <v>334</v>
      </c>
      <c r="J98" s="269">
        <v>20190004008</v>
      </c>
      <c r="K98" s="270">
        <v>43746</v>
      </c>
      <c r="L98" s="271">
        <v>525997</v>
      </c>
      <c r="M98" s="274" t="s">
        <v>766</v>
      </c>
      <c r="N98" s="271"/>
      <c r="O98" s="271"/>
      <c r="P98" s="273">
        <v>126.42</v>
      </c>
      <c r="Q98" s="271"/>
      <c r="R98" s="154"/>
      <c r="S98" s="189" t="s">
        <v>430</v>
      </c>
      <c r="T98" s="308" t="s">
        <v>767</v>
      </c>
      <c r="U98" s="305">
        <v>482566.06</v>
      </c>
      <c r="V98" s="305">
        <f t="shared" si="6"/>
        <v>43430.94</v>
      </c>
      <c r="W98" s="306">
        <f t="shared" si="7"/>
        <v>525997</v>
      </c>
      <c r="X98" s="271">
        <f t="shared" si="4"/>
        <v>482566.06</v>
      </c>
      <c r="Y98" s="271">
        <f t="shared" si="5"/>
        <v>3817.17</v>
      </c>
      <c r="Z98" s="154"/>
    </row>
    <row r="99" s="243" customFormat="1" ht="22" customHeight="1" outlineLevel="2" spans="1:26">
      <c r="A99" s="154" t="s">
        <v>768</v>
      </c>
      <c r="B99" s="259">
        <v>23</v>
      </c>
      <c r="C99" s="259">
        <v>2</v>
      </c>
      <c r="D99" s="154">
        <v>5</v>
      </c>
      <c r="E99" s="262" t="s">
        <v>769</v>
      </c>
      <c r="F99" s="259" t="s">
        <v>188</v>
      </c>
      <c r="G99" s="154" t="s">
        <v>256</v>
      </c>
      <c r="H99" s="154" t="s">
        <v>427</v>
      </c>
      <c r="I99" s="154" t="s">
        <v>334</v>
      </c>
      <c r="J99" s="269">
        <v>20190003492</v>
      </c>
      <c r="K99" s="270">
        <v>43731</v>
      </c>
      <c r="L99" s="271">
        <v>515550</v>
      </c>
      <c r="M99" s="280" t="s">
        <v>770</v>
      </c>
      <c r="N99" s="271"/>
      <c r="O99" s="271"/>
      <c r="P99" s="273">
        <v>125.92</v>
      </c>
      <c r="Q99" s="271"/>
      <c r="R99" s="154"/>
      <c r="S99" s="189" t="s">
        <v>430</v>
      </c>
      <c r="T99" s="307" t="s">
        <v>771</v>
      </c>
      <c r="U99" s="305">
        <v>472981.65</v>
      </c>
      <c r="V99" s="305">
        <f t="shared" si="6"/>
        <v>42568.35</v>
      </c>
      <c r="W99" s="306">
        <f t="shared" si="7"/>
        <v>515550</v>
      </c>
      <c r="X99" s="271">
        <f t="shared" si="4"/>
        <v>472981.65</v>
      </c>
      <c r="Y99" s="271">
        <f t="shared" si="5"/>
        <v>3756.21</v>
      </c>
      <c r="Z99" s="154"/>
    </row>
    <row r="100" s="243" customFormat="1" ht="22" customHeight="1" outlineLevel="2" spans="1:26">
      <c r="A100" s="154" t="s">
        <v>772</v>
      </c>
      <c r="B100" s="259">
        <v>23</v>
      </c>
      <c r="C100" s="259">
        <v>2</v>
      </c>
      <c r="D100" s="154">
        <v>5</v>
      </c>
      <c r="E100" s="262" t="s">
        <v>773</v>
      </c>
      <c r="F100" s="259" t="s">
        <v>188</v>
      </c>
      <c r="G100" s="154" t="s">
        <v>256</v>
      </c>
      <c r="H100" s="154" t="s">
        <v>427</v>
      </c>
      <c r="I100" s="154" t="s">
        <v>334</v>
      </c>
      <c r="J100" s="269">
        <v>20190003682</v>
      </c>
      <c r="K100" s="270">
        <v>43733</v>
      </c>
      <c r="L100" s="271">
        <v>532002</v>
      </c>
      <c r="M100" s="274" t="s">
        <v>774</v>
      </c>
      <c r="N100" s="271"/>
      <c r="O100" s="271"/>
      <c r="P100" s="273">
        <v>126.42</v>
      </c>
      <c r="Q100" s="271"/>
      <c r="R100" s="154"/>
      <c r="S100" s="189" t="s">
        <v>430</v>
      </c>
      <c r="T100" s="309" t="s">
        <v>775</v>
      </c>
      <c r="U100" s="305">
        <v>488075.23</v>
      </c>
      <c r="V100" s="305">
        <f t="shared" si="6"/>
        <v>43926.77</v>
      </c>
      <c r="W100" s="306">
        <f t="shared" si="7"/>
        <v>532002</v>
      </c>
      <c r="X100" s="271">
        <f t="shared" si="4"/>
        <v>488075.23</v>
      </c>
      <c r="Y100" s="271">
        <f t="shared" si="5"/>
        <v>3860.74</v>
      </c>
      <c r="Z100" s="154"/>
    </row>
    <row r="101" s="243" customFormat="1" ht="22" customHeight="1" outlineLevel="2" spans="1:26">
      <c r="A101" s="154" t="s">
        <v>776</v>
      </c>
      <c r="B101" s="259">
        <v>23</v>
      </c>
      <c r="C101" s="259">
        <v>2</v>
      </c>
      <c r="D101" s="154">
        <v>6</v>
      </c>
      <c r="E101" s="262" t="s">
        <v>777</v>
      </c>
      <c r="F101" s="259" t="s">
        <v>188</v>
      </c>
      <c r="G101" s="154" t="s">
        <v>256</v>
      </c>
      <c r="H101" s="154" t="s">
        <v>427</v>
      </c>
      <c r="I101" s="154" t="s">
        <v>334</v>
      </c>
      <c r="J101" s="269">
        <v>20190002752</v>
      </c>
      <c r="K101" s="270">
        <v>43717</v>
      </c>
      <c r="L101" s="271">
        <v>521531</v>
      </c>
      <c r="M101" s="323" t="s">
        <v>778</v>
      </c>
      <c r="N101" s="271"/>
      <c r="O101" s="271"/>
      <c r="P101" s="273">
        <v>125.92</v>
      </c>
      <c r="Q101" s="271"/>
      <c r="R101" s="154"/>
      <c r="S101" s="189" t="s">
        <v>430</v>
      </c>
      <c r="T101" s="304" t="s">
        <v>779</v>
      </c>
      <c r="U101" s="305">
        <v>478468.81</v>
      </c>
      <c r="V101" s="305">
        <f t="shared" si="6"/>
        <v>43062.19</v>
      </c>
      <c r="W101" s="306">
        <f t="shared" si="7"/>
        <v>521531</v>
      </c>
      <c r="X101" s="271">
        <f t="shared" si="4"/>
        <v>478468.81</v>
      </c>
      <c r="Y101" s="271">
        <f t="shared" si="5"/>
        <v>3799.78</v>
      </c>
      <c r="Z101" s="154"/>
    </row>
    <row r="102" s="243" customFormat="1" ht="22" customHeight="1" outlineLevel="2" spans="1:26">
      <c r="A102" s="154" t="s">
        <v>780</v>
      </c>
      <c r="B102" s="259">
        <v>23</v>
      </c>
      <c r="C102" s="259">
        <v>2</v>
      </c>
      <c r="D102" s="154">
        <v>6</v>
      </c>
      <c r="E102" s="262" t="s">
        <v>781</v>
      </c>
      <c r="F102" s="259" t="s">
        <v>188</v>
      </c>
      <c r="G102" s="154" t="s">
        <v>256</v>
      </c>
      <c r="H102" s="154" t="s">
        <v>427</v>
      </c>
      <c r="I102" s="154" t="s">
        <v>334</v>
      </c>
      <c r="J102" s="269">
        <v>20190002929</v>
      </c>
      <c r="K102" s="270">
        <v>43721</v>
      </c>
      <c r="L102" s="271">
        <v>538128</v>
      </c>
      <c r="M102" s="274" t="s">
        <v>782</v>
      </c>
      <c r="N102" s="271"/>
      <c r="O102" s="271"/>
      <c r="P102" s="273">
        <v>126.42</v>
      </c>
      <c r="Q102" s="271"/>
      <c r="R102" s="154"/>
      <c r="S102" s="189" t="s">
        <v>430</v>
      </c>
      <c r="T102" s="304" t="s">
        <v>783</v>
      </c>
      <c r="U102" s="305">
        <v>493695.41</v>
      </c>
      <c r="V102" s="305">
        <f t="shared" si="6"/>
        <v>44432.59</v>
      </c>
      <c r="W102" s="306">
        <f t="shared" si="7"/>
        <v>538128</v>
      </c>
      <c r="X102" s="271">
        <f t="shared" si="4"/>
        <v>493695.41</v>
      </c>
      <c r="Y102" s="271">
        <f t="shared" si="5"/>
        <v>3905.2</v>
      </c>
      <c r="Z102" s="154"/>
    </row>
    <row r="103" s="243" customFormat="1" ht="22" customHeight="1" outlineLevel="2" spans="1:26">
      <c r="A103" s="154" t="s">
        <v>784</v>
      </c>
      <c r="B103" s="259">
        <v>23</v>
      </c>
      <c r="C103" s="259">
        <v>2</v>
      </c>
      <c r="D103" s="154">
        <v>7</v>
      </c>
      <c r="E103" s="261" t="s">
        <v>785</v>
      </c>
      <c r="F103" s="259" t="s">
        <v>188</v>
      </c>
      <c r="G103" s="154" t="s">
        <v>256</v>
      </c>
      <c r="H103" s="154" t="s">
        <v>427</v>
      </c>
      <c r="I103" s="154" t="s">
        <v>334</v>
      </c>
      <c r="J103" s="269">
        <v>20190003561</v>
      </c>
      <c r="K103" s="270">
        <v>43732</v>
      </c>
      <c r="L103" s="271">
        <v>524402</v>
      </c>
      <c r="M103" s="324" t="s">
        <v>786</v>
      </c>
      <c r="N103" s="271"/>
      <c r="O103" s="271"/>
      <c r="P103" s="273">
        <v>125.92</v>
      </c>
      <c r="Q103" s="271"/>
      <c r="R103" s="154"/>
      <c r="S103" s="189" t="s">
        <v>430</v>
      </c>
      <c r="T103" s="304" t="s">
        <v>787</v>
      </c>
      <c r="U103" s="305">
        <v>481102.75</v>
      </c>
      <c r="V103" s="305">
        <f t="shared" si="6"/>
        <v>43299.25</v>
      </c>
      <c r="W103" s="306">
        <f t="shared" si="7"/>
        <v>524402</v>
      </c>
      <c r="X103" s="271">
        <f t="shared" si="4"/>
        <v>481102.75</v>
      </c>
      <c r="Y103" s="271">
        <f t="shared" si="5"/>
        <v>3820.7</v>
      </c>
      <c r="Z103" s="154"/>
    </row>
    <row r="104" s="243" customFormat="1" ht="22" customHeight="1" outlineLevel="2" spans="1:26">
      <c r="A104" s="154" t="s">
        <v>788</v>
      </c>
      <c r="B104" s="259">
        <v>23</v>
      </c>
      <c r="C104" s="259">
        <v>2</v>
      </c>
      <c r="D104" s="154">
        <v>7</v>
      </c>
      <c r="E104" s="262" t="s">
        <v>789</v>
      </c>
      <c r="F104" s="259" t="s">
        <v>188</v>
      </c>
      <c r="G104" s="154" t="s">
        <v>256</v>
      </c>
      <c r="H104" s="154" t="s">
        <v>427</v>
      </c>
      <c r="I104" s="154" t="s">
        <v>334</v>
      </c>
      <c r="J104" s="269">
        <v>20190005083</v>
      </c>
      <c r="K104" s="270">
        <v>43767</v>
      </c>
      <c r="L104" s="271">
        <v>541010</v>
      </c>
      <c r="M104" s="274" t="s">
        <v>790</v>
      </c>
      <c r="N104" s="271"/>
      <c r="O104" s="271"/>
      <c r="P104" s="273">
        <v>126.42</v>
      </c>
      <c r="Q104" s="271"/>
      <c r="R104" s="154"/>
      <c r="S104" s="189" t="s">
        <v>430</v>
      </c>
      <c r="T104" s="304" t="s">
        <v>791</v>
      </c>
      <c r="U104" s="305">
        <v>496339.45</v>
      </c>
      <c r="V104" s="305">
        <f t="shared" si="6"/>
        <v>44670.55</v>
      </c>
      <c r="W104" s="306">
        <f t="shared" si="7"/>
        <v>541010</v>
      </c>
      <c r="X104" s="271">
        <f t="shared" si="4"/>
        <v>496339.45</v>
      </c>
      <c r="Y104" s="271">
        <f t="shared" si="5"/>
        <v>3926.11</v>
      </c>
      <c r="Z104" s="154"/>
    </row>
    <row r="105" s="243" customFormat="1" ht="22" customHeight="1" outlineLevel="2" spans="1:26">
      <c r="A105" s="154" t="s">
        <v>792</v>
      </c>
      <c r="B105" s="259">
        <v>23</v>
      </c>
      <c r="C105" s="259">
        <v>2</v>
      </c>
      <c r="D105" s="154">
        <v>8</v>
      </c>
      <c r="E105" s="262" t="s">
        <v>793</v>
      </c>
      <c r="F105" s="259" t="s">
        <v>188</v>
      </c>
      <c r="G105" s="154" t="s">
        <v>256</v>
      </c>
      <c r="H105" s="154" t="s">
        <v>427</v>
      </c>
      <c r="I105" s="154" t="s">
        <v>334</v>
      </c>
      <c r="J105" s="269">
        <v>20190003021</v>
      </c>
      <c r="K105" s="270">
        <v>43724</v>
      </c>
      <c r="L105" s="271">
        <v>516441</v>
      </c>
      <c r="M105" s="90" t="s">
        <v>794</v>
      </c>
      <c r="N105" s="271"/>
      <c r="O105" s="271"/>
      <c r="P105" s="273">
        <v>125.92</v>
      </c>
      <c r="Q105" s="271"/>
      <c r="R105" s="154"/>
      <c r="S105" s="189" t="s">
        <v>430</v>
      </c>
      <c r="T105" s="304" t="s">
        <v>795</v>
      </c>
      <c r="U105" s="305">
        <v>473799.08</v>
      </c>
      <c r="V105" s="305">
        <f t="shared" si="6"/>
        <v>42641.92</v>
      </c>
      <c r="W105" s="306">
        <f t="shared" si="7"/>
        <v>516441</v>
      </c>
      <c r="X105" s="271">
        <f t="shared" si="4"/>
        <v>473799.08</v>
      </c>
      <c r="Y105" s="271">
        <f t="shared" si="5"/>
        <v>3762.7</v>
      </c>
      <c r="Z105" s="154"/>
    </row>
    <row r="106" s="243" customFormat="1" ht="22" customHeight="1" outlineLevel="2" spans="1:26">
      <c r="A106" s="154" t="s">
        <v>796</v>
      </c>
      <c r="B106" s="259">
        <v>23</v>
      </c>
      <c r="C106" s="259">
        <v>2</v>
      </c>
      <c r="D106" s="154">
        <v>8</v>
      </c>
      <c r="E106" s="262" t="s">
        <v>797</v>
      </c>
      <c r="F106" s="259" t="s">
        <v>188</v>
      </c>
      <c r="G106" s="154" t="s">
        <v>256</v>
      </c>
      <c r="H106" s="154" t="s">
        <v>427</v>
      </c>
      <c r="I106" s="154" t="s">
        <v>334</v>
      </c>
      <c r="J106" s="269">
        <v>20190003477</v>
      </c>
      <c r="K106" s="270">
        <v>43731</v>
      </c>
      <c r="L106" s="271">
        <v>519392</v>
      </c>
      <c r="M106" s="274" t="s">
        <v>798</v>
      </c>
      <c r="N106" s="271"/>
      <c r="O106" s="271"/>
      <c r="P106" s="273">
        <v>126.42</v>
      </c>
      <c r="Q106" s="271"/>
      <c r="R106" s="154"/>
      <c r="S106" s="189" t="s">
        <v>430</v>
      </c>
      <c r="T106" s="304" t="s">
        <v>799</v>
      </c>
      <c r="U106" s="305">
        <v>476506.42</v>
      </c>
      <c r="V106" s="305">
        <f t="shared" si="6"/>
        <v>42885.58</v>
      </c>
      <c r="W106" s="306">
        <f t="shared" si="7"/>
        <v>519392</v>
      </c>
      <c r="X106" s="271">
        <f t="shared" si="4"/>
        <v>476506.42</v>
      </c>
      <c r="Y106" s="271">
        <f t="shared" si="5"/>
        <v>3769.23</v>
      </c>
      <c r="Z106" s="154"/>
    </row>
    <row r="107" s="243" customFormat="1" ht="22" customHeight="1" outlineLevel="2" spans="1:26">
      <c r="A107" s="154" t="s">
        <v>800</v>
      </c>
      <c r="B107" s="259">
        <v>23</v>
      </c>
      <c r="C107" s="259">
        <v>1</v>
      </c>
      <c r="D107" s="154">
        <v>-1</v>
      </c>
      <c r="E107" s="313" t="s">
        <v>801</v>
      </c>
      <c r="F107" s="259" t="s">
        <v>188</v>
      </c>
      <c r="G107" s="154" t="s">
        <v>536</v>
      </c>
      <c r="H107" s="154" t="s">
        <v>537</v>
      </c>
      <c r="I107" s="154"/>
      <c r="J107" s="269"/>
      <c r="K107" s="325"/>
      <c r="L107" s="271"/>
      <c r="M107" s="154"/>
      <c r="N107" s="271"/>
      <c r="O107" s="271"/>
      <c r="P107" s="306">
        <v>12.17</v>
      </c>
      <c r="Q107" s="271"/>
      <c r="R107" s="154"/>
      <c r="S107" s="189"/>
      <c r="T107" s="326"/>
      <c r="U107" s="306"/>
      <c r="V107" s="305">
        <f t="shared" si="6"/>
        <v>0</v>
      </c>
      <c r="W107" s="306">
        <f t="shared" si="7"/>
        <v>0</v>
      </c>
      <c r="X107" s="271">
        <f t="shared" si="4"/>
        <v>0</v>
      </c>
      <c r="Y107" s="271">
        <f t="shared" si="5"/>
        <v>0</v>
      </c>
      <c r="Z107" s="154"/>
    </row>
    <row r="108" s="243" customFormat="1" ht="22" customHeight="1" outlineLevel="2" spans="1:26">
      <c r="A108" s="154" t="s">
        <v>802</v>
      </c>
      <c r="B108" s="259">
        <v>23</v>
      </c>
      <c r="C108" s="259">
        <v>1</v>
      </c>
      <c r="D108" s="154">
        <v>-1</v>
      </c>
      <c r="E108" s="313" t="s">
        <v>803</v>
      </c>
      <c r="F108" s="259" t="s">
        <v>188</v>
      </c>
      <c r="G108" s="154" t="s">
        <v>536</v>
      </c>
      <c r="H108" s="154" t="s">
        <v>537</v>
      </c>
      <c r="I108" s="154"/>
      <c r="J108" s="269"/>
      <c r="K108" s="325"/>
      <c r="L108" s="271"/>
      <c r="M108" s="154"/>
      <c r="N108" s="271"/>
      <c r="O108" s="271"/>
      <c r="P108" s="306">
        <v>12.17</v>
      </c>
      <c r="Q108" s="271"/>
      <c r="R108" s="154"/>
      <c r="S108" s="189"/>
      <c r="T108" s="326"/>
      <c r="U108" s="306"/>
      <c r="V108" s="305">
        <f t="shared" si="6"/>
        <v>0</v>
      </c>
      <c r="W108" s="306">
        <f t="shared" si="7"/>
        <v>0</v>
      </c>
      <c r="X108" s="271">
        <f t="shared" si="4"/>
        <v>0</v>
      </c>
      <c r="Y108" s="271">
        <f t="shared" si="5"/>
        <v>0</v>
      </c>
      <c r="Z108" s="154"/>
    </row>
    <row r="109" s="243" customFormat="1" ht="22" customHeight="1" outlineLevel="2" spans="1:26">
      <c r="A109" s="154" t="s">
        <v>804</v>
      </c>
      <c r="B109" s="259">
        <v>23</v>
      </c>
      <c r="C109" s="259">
        <v>1</v>
      </c>
      <c r="D109" s="154">
        <v>-1</v>
      </c>
      <c r="E109" s="313" t="s">
        <v>805</v>
      </c>
      <c r="F109" s="259" t="s">
        <v>188</v>
      </c>
      <c r="G109" s="154" t="s">
        <v>536</v>
      </c>
      <c r="H109" s="154" t="s">
        <v>537</v>
      </c>
      <c r="I109" s="154"/>
      <c r="J109" s="269"/>
      <c r="K109" s="325"/>
      <c r="L109" s="271"/>
      <c r="M109" s="154"/>
      <c r="N109" s="271"/>
      <c r="O109" s="271"/>
      <c r="P109" s="306">
        <v>10.43</v>
      </c>
      <c r="Q109" s="271"/>
      <c r="R109" s="154"/>
      <c r="S109" s="189"/>
      <c r="T109" s="326"/>
      <c r="U109" s="306"/>
      <c r="V109" s="305">
        <f t="shared" si="6"/>
        <v>0</v>
      </c>
      <c r="W109" s="306">
        <f t="shared" si="7"/>
        <v>0</v>
      </c>
      <c r="X109" s="271">
        <f t="shared" si="4"/>
        <v>0</v>
      </c>
      <c r="Y109" s="271">
        <f t="shared" si="5"/>
        <v>0</v>
      </c>
      <c r="Z109" s="154"/>
    </row>
    <row r="110" s="243" customFormat="1" ht="22" customHeight="1" outlineLevel="2" spans="1:26">
      <c r="A110" s="154" t="s">
        <v>806</v>
      </c>
      <c r="B110" s="259">
        <v>23</v>
      </c>
      <c r="C110" s="259">
        <v>1</v>
      </c>
      <c r="D110" s="154">
        <v>-1</v>
      </c>
      <c r="E110" s="313" t="s">
        <v>807</v>
      </c>
      <c r="F110" s="259" t="s">
        <v>188</v>
      </c>
      <c r="G110" s="154" t="s">
        <v>536</v>
      </c>
      <c r="H110" s="154" t="s">
        <v>537</v>
      </c>
      <c r="I110" s="154"/>
      <c r="J110" s="269"/>
      <c r="K110" s="325"/>
      <c r="L110" s="271"/>
      <c r="M110" s="154"/>
      <c r="N110" s="271"/>
      <c r="O110" s="271"/>
      <c r="P110" s="306">
        <v>12.46</v>
      </c>
      <c r="Q110" s="271"/>
      <c r="R110" s="154"/>
      <c r="S110" s="189"/>
      <c r="T110" s="326"/>
      <c r="U110" s="306"/>
      <c r="V110" s="305">
        <f t="shared" si="6"/>
        <v>0</v>
      </c>
      <c r="W110" s="306">
        <f t="shared" si="7"/>
        <v>0</v>
      </c>
      <c r="X110" s="271">
        <f t="shared" si="4"/>
        <v>0</v>
      </c>
      <c r="Y110" s="271">
        <f t="shared" si="5"/>
        <v>0</v>
      </c>
      <c r="Z110" s="154"/>
    </row>
    <row r="111" s="243" customFormat="1" ht="22" customHeight="1" outlineLevel="2" spans="1:26">
      <c r="A111" s="154" t="s">
        <v>808</v>
      </c>
      <c r="B111" s="259">
        <v>23</v>
      </c>
      <c r="C111" s="259">
        <v>1</v>
      </c>
      <c r="D111" s="154">
        <v>-1</v>
      </c>
      <c r="E111" s="313" t="s">
        <v>809</v>
      </c>
      <c r="F111" s="259" t="s">
        <v>188</v>
      </c>
      <c r="G111" s="154" t="s">
        <v>536</v>
      </c>
      <c r="H111" s="154" t="s">
        <v>537</v>
      </c>
      <c r="I111" s="154"/>
      <c r="J111" s="269"/>
      <c r="K111" s="325"/>
      <c r="L111" s="271"/>
      <c r="M111" s="154"/>
      <c r="N111" s="271"/>
      <c r="O111" s="271"/>
      <c r="P111" s="306">
        <v>21.45</v>
      </c>
      <c r="Q111" s="271"/>
      <c r="R111" s="154"/>
      <c r="S111" s="189"/>
      <c r="T111" s="326"/>
      <c r="U111" s="306"/>
      <c r="V111" s="305">
        <f t="shared" si="6"/>
        <v>0</v>
      </c>
      <c r="W111" s="306">
        <f t="shared" si="7"/>
        <v>0</v>
      </c>
      <c r="X111" s="271">
        <f t="shared" si="4"/>
        <v>0</v>
      </c>
      <c r="Y111" s="271">
        <f t="shared" si="5"/>
        <v>0</v>
      </c>
      <c r="Z111" s="154"/>
    </row>
    <row r="112" s="243" customFormat="1" ht="22" customHeight="1" outlineLevel="2" spans="1:26">
      <c r="A112" s="154" t="s">
        <v>810</v>
      </c>
      <c r="B112" s="259">
        <v>23</v>
      </c>
      <c r="C112" s="259">
        <v>1</v>
      </c>
      <c r="D112" s="154">
        <v>-1</v>
      </c>
      <c r="E112" s="313" t="s">
        <v>811</v>
      </c>
      <c r="F112" s="259" t="s">
        <v>188</v>
      </c>
      <c r="G112" s="154" t="s">
        <v>536</v>
      </c>
      <c r="H112" s="154" t="s">
        <v>537</v>
      </c>
      <c r="I112" s="154"/>
      <c r="J112" s="269"/>
      <c r="K112" s="325"/>
      <c r="L112" s="271"/>
      <c r="M112" s="154"/>
      <c r="N112" s="271"/>
      <c r="O112" s="271"/>
      <c r="P112" s="306">
        <v>15.04</v>
      </c>
      <c r="Q112" s="271"/>
      <c r="R112" s="154"/>
      <c r="S112" s="189"/>
      <c r="T112" s="326"/>
      <c r="U112" s="306"/>
      <c r="V112" s="305">
        <f t="shared" si="6"/>
        <v>0</v>
      </c>
      <c r="W112" s="306">
        <f t="shared" si="7"/>
        <v>0</v>
      </c>
      <c r="X112" s="271">
        <f t="shared" si="4"/>
        <v>0</v>
      </c>
      <c r="Y112" s="271">
        <f t="shared" si="5"/>
        <v>0</v>
      </c>
      <c r="Z112" s="154"/>
    </row>
    <row r="113" s="243" customFormat="1" ht="22" customHeight="1" outlineLevel="2" spans="1:26">
      <c r="A113" s="154" t="s">
        <v>812</v>
      </c>
      <c r="B113" s="259">
        <v>23</v>
      </c>
      <c r="C113" s="259">
        <v>1</v>
      </c>
      <c r="D113" s="154">
        <v>-1</v>
      </c>
      <c r="E113" s="313" t="s">
        <v>813</v>
      </c>
      <c r="F113" s="259" t="s">
        <v>188</v>
      </c>
      <c r="G113" s="154" t="s">
        <v>536</v>
      </c>
      <c r="H113" s="154" t="s">
        <v>537</v>
      </c>
      <c r="I113" s="154"/>
      <c r="J113" s="269"/>
      <c r="K113" s="325"/>
      <c r="L113" s="271"/>
      <c r="M113" s="154"/>
      <c r="N113" s="271"/>
      <c r="O113" s="271"/>
      <c r="P113" s="306">
        <v>15.04</v>
      </c>
      <c r="Q113" s="271"/>
      <c r="R113" s="154"/>
      <c r="S113" s="189"/>
      <c r="T113" s="326"/>
      <c r="U113" s="306"/>
      <c r="V113" s="305">
        <f t="shared" si="6"/>
        <v>0</v>
      </c>
      <c r="W113" s="306">
        <f t="shared" si="7"/>
        <v>0</v>
      </c>
      <c r="X113" s="271">
        <f t="shared" si="4"/>
        <v>0</v>
      </c>
      <c r="Y113" s="271">
        <f t="shared" si="5"/>
        <v>0</v>
      </c>
      <c r="Z113" s="154"/>
    </row>
    <row r="114" s="243" customFormat="1" ht="22" customHeight="1" outlineLevel="2" spans="1:26">
      <c r="A114" s="154" t="s">
        <v>814</v>
      </c>
      <c r="B114" s="259">
        <v>23</v>
      </c>
      <c r="C114" s="259">
        <v>1</v>
      </c>
      <c r="D114" s="154">
        <v>-1</v>
      </c>
      <c r="E114" s="313" t="s">
        <v>815</v>
      </c>
      <c r="F114" s="259" t="s">
        <v>188</v>
      </c>
      <c r="G114" s="154" t="s">
        <v>536</v>
      </c>
      <c r="H114" s="154" t="s">
        <v>537</v>
      </c>
      <c r="I114" s="154"/>
      <c r="J114" s="269"/>
      <c r="K114" s="325"/>
      <c r="L114" s="271"/>
      <c r="M114" s="154"/>
      <c r="N114" s="271"/>
      <c r="O114" s="271"/>
      <c r="P114" s="306">
        <v>21.4</v>
      </c>
      <c r="Q114" s="271"/>
      <c r="R114" s="154"/>
      <c r="S114" s="189"/>
      <c r="T114" s="326"/>
      <c r="U114" s="306"/>
      <c r="V114" s="305">
        <f t="shared" si="6"/>
        <v>0</v>
      </c>
      <c r="W114" s="306">
        <f t="shared" si="7"/>
        <v>0</v>
      </c>
      <c r="X114" s="271">
        <f t="shared" si="4"/>
        <v>0</v>
      </c>
      <c r="Y114" s="271">
        <f t="shared" si="5"/>
        <v>0</v>
      </c>
      <c r="Z114" s="154"/>
    </row>
    <row r="115" s="243" customFormat="1" ht="22" customHeight="1" outlineLevel="2" spans="1:26">
      <c r="A115" s="154" t="s">
        <v>816</v>
      </c>
      <c r="B115" s="259">
        <v>23</v>
      </c>
      <c r="C115" s="259">
        <v>1</v>
      </c>
      <c r="D115" s="154">
        <v>-1</v>
      </c>
      <c r="E115" s="313" t="s">
        <v>817</v>
      </c>
      <c r="F115" s="259" t="s">
        <v>188</v>
      </c>
      <c r="G115" s="154" t="s">
        <v>536</v>
      </c>
      <c r="H115" s="154" t="s">
        <v>537</v>
      </c>
      <c r="I115" s="154"/>
      <c r="J115" s="269"/>
      <c r="K115" s="325"/>
      <c r="L115" s="271"/>
      <c r="M115" s="154"/>
      <c r="N115" s="271"/>
      <c r="O115" s="271"/>
      <c r="P115" s="306">
        <v>21.4</v>
      </c>
      <c r="Q115" s="271"/>
      <c r="R115" s="154"/>
      <c r="S115" s="189"/>
      <c r="T115" s="326"/>
      <c r="U115" s="306"/>
      <c r="V115" s="305">
        <f t="shared" si="6"/>
        <v>0</v>
      </c>
      <c r="W115" s="306">
        <f t="shared" si="7"/>
        <v>0</v>
      </c>
      <c r="X115" s="271">
        <f t="shared" si="4"/>
        <v>0</v>
      </c>
      <c r="Y115" s="271">
        <f t="shared" si="5"/>
        <v>0</v>
      </c>
      <c r="Z115" s="154"/>
    </row>
    <row r="116" s="243" customFormat="1" ht="22" customHeight="1" outlineLevel="2" spans="1:26">
      <c r="A116" s="154" t="s">
        <v>818</v>
      </c>
      <c r="B116" s="259">
        <v>23</v>
      </c>
      <c r="C116" s="259">
        <v>1</v>
      </c>
      <c r="D116" s="154">
        <v>-1</v>
      </c>
      <c r="E116" s="313" t="s">
        <v>819</v>
      </c>
      <c r="F116" s="259" t="s">
        <v>188</v>
      </c>
      <c r="G116" s="154" t="s">
        <v>536</v>
      </c>
      <c r="H116" s="154" t="s">
        <v>537</v>
      </c>
      <c r="I116" s="154"/>
      <c r="J116" s="269"/>
      <c r="K116" s="325"/>
      <c r="L116" s="271"/>
      <c r="M116" s="154"/>
      <c r="N116" s="271"/>
      <c r="O116" s="271"/>
      <c r="P116" s="306">
        <v>15.04</v>
      </c>
      <c r="Q116" s="271"/>
      <c r="R116" s="154"/>
      <c r="S116" s="189"/>
      <c r="T116" s="326"/>
      <c r="U116" s="306"/>
      <c r="V116" s="305">
        <f t="shared" si="6"/>
        <v>0</v>
      </c>
      <c r="W116" s="306">
        <f t="shared" si="7"/>
        <v>0</v>
      </c>
      <c r="X116" s="271">
        <f t="shared" si="4"/>
        <v>0</v>
      </c>
      <c r="Y116" s="271">
        <f t="shared" si="5"/>
        <v>0</v>
      </c>
      <c r="Z116" s="154"/>
    </row>
    <row r="117" s="243" customFormat="1" ht="22" customHeight="1" outlineLevel="2" spans="1:26">
      <c r="A117" s="154" t="s">
        <v>820</v>
      </c>
      <c r="B117" s="259">
        <v>23</v>
      </c>
      <c r="C117" s="259">
        <v>1</v>
      </c>
      <c r="D117" s="154">
        <v>-1</v>
      </c>
      <c r="E117" s="313" t="s">
        <v>821</v>
      </c>
      <c r="F117" s="259" t="s">
        <v>188</v>
      </c>
      <c r="G117" s="154" t="s">
        <v>536</v>
      </c>
      <c r="H117" s="154" t="s">
        <v>537</v>
      </c>
      <c r="I117" s="154"/>
      <c r="J117" s="269"/>
      <c r="K117" s="325"/>
      <c r="L117" s="271"/>
      <c r="M117" s="154"/>
      <c r="N117" s="271"/>
      <c r="O117" s="271"/>
      <c r="P117" s="306">
        <v>15.04</v>
      </c>
      <c r="Q117" s="271"/>
      <c r="R117" s="154"/>
      <c r="S117" s="189"/>
      <c r="T117" s="326"/>
      <c r="U117" s="306"/>
      <c r="V117" s="305">
        <f t="shared" si="6"/>
        <v>0</v>
      </c>
      <c r="W117" s="306">
        <f t="shared" si="7"/>
        <v>0</v>
      </c>
      <c r="X117" s="271">
        <f t="shared" si="4"/>
        <v>0</v>
      </c>
      <c r="Y117" s="271">
        <f t="shared" si="5"/>
        <v>0</v>
      </c>
      <c r="Z117" s="154"/>
    </row>
    <row r="118" s="243" customFormat="1" ht="22" customHeight="1" outlineLevel="2" spans="1:26">
      <c r="A118" s="154" t="s">
        <v>822</v>
      </c>
      <c r="B118" s="259">
        <v>23</v>
      </c>
      <c r="C118" s="259">
        <v>1</v>
      </c>
      <c r="D118" s="154">
        <v>-1</v>
      </c>
      <c r="E118" s="313" t="s">
        <v>823</v>
      </c>
      <c r="F118" s="259" t="s">
        <v>188</v>
      </c>
      <c r="G118" s="154" t="s">
        <v>536</v>
      </c>
      <c r="H118" s="154" t="s">
        <v>537</v>
      </c>
      <c r="I118" s="154"/>
      <c r="J118" s="269"/>
      <c r="K118" s="325"/>
      <c r="L118" s="271"/>
      <c r="M118" s="154"/>
      <c r="N118" s="271"/>
      <c r="O118" s="271"/>
      <c r="P118" s="306">
        <v>20.94</v>
      </c>
      <c r="Q118" s="271"/>
      <c r="R118" s="154"/>
      <c r="S118" s="189"/>
      <c r="T118" s="326"/>
      <c r="U118" s="306"/>
      <c r="V118" s="305">
        <f t="shared" si="6"/>
        <v>0</v>
      </c>
      <c r="W118" s="306">
        <f t="shared" si="7"/>
        <v>0</v>
      </c>
      <c r="X118" s="271">
        <f t="shared" si="4"/>
        <v>0</v>
      </c>
      <c r="Y118" s="271">
        <f t="shared" si="5"/>
        <v>0</v>
      </c>
      <c r="Z118" s="154"/>
    </row>
    <row r="119" s="243" customFormat="1" ht="22" customHeight="1" outlineLevel="2" spans="1:26">
      <c r="A119" s="154" t="s">
        <v>824</v>
      </c>
      <c r="B119" s="259">
        <v>23</v>
      </c>
      <c r="C119" s="259">
        <v>1</v>
      </c>
      <c r="D119" s="154">
        <v>-1</v>
      </c>
      <c r="E119" s="313" t="s">
        <v>825</v>
      </c>
      <c r="F119" s="259" t="s">
        <v>188</v>
      </c>
      <c r="G119" s="154" t="s">
        <v>536</v>
      </c>
      <c r="H119" s="154" t="s">
        <v>537</v>
      </c>
      <c r="I119" s="154"/>
      <c r="J119" s="269"/>
      <c r="K119" s="325"/>
      <c r="L119" s="271"/>
      <c r="M119" s="154"/>
      <c r="N119" s="271"/>
      <c r="O119" s="271"/>
      <c r="P119" s="306">
        <v>9.01</v>
      </c>
      <c r="Q119" s="271"/>
      <c r="R119" s="154"/>
      <c r="S119" s="189"/>
      <c r="T119" s="326"/>
      <c r="U119" s="306"/>
      <c r="V119" s="305">
        <f t="shared" si="6"/>
        <v>0</v>
      </c>
      <c r="W119" s="306">
        <f t="shared" si="7"/>
        <v>0</v>
      </c>
      <c r="X119" s="271">
        <f t="shared" si="4"/>
        <v>0</v>
      </c>
      <c r="Y119" s="271">
        <f t="shared" si="5"/>
        <v>0</v>
      </c>
      <c r="Z119" s="154"/>
    </row>
    <row r="120" s="243" customFormat="1" ht="22" customHeight="1" outlineLevel="2" spans="1:26">
      <c r="A120" s="154" t="s">
        <v>826</v>
      </c>
      <c r="B120" s="259">
        <v>23</v>
      </c>
      <c r="C120" s="259">
        <v>1</v>
      </c>
      <c r="D120" s="154">
        <v>-1</v>
      </c>
      <c r="E120" s="313" t="s">
        <v>827</v>
      </c>
      <c r="F120" s="259" t="s">
        <v>188</v>
      </c>
      <c r="G120" s="154" t="s">
        <v>536</v>
      </c>
      <c r="H120" s="154" t="s">
        <v>537</v>
      </c>
      <c r="I120" s="154"/>
      <c r="J120" s="269"/>
      <c r="K120" s="325"/>
      <c r="L120" s="271"/>
      <c r="M120" s="154"/>
      <c r="N120" s="271"/>
      <c r="O120" s="271"/>
      <c r="P120" s="306">
        <v>18.56</v>
      </c>
      <c r="Q120" s="271"/>
      <c r="R120" s="154"/>
      <c r="S120" s="189"/>
      <c r="T120" s="326"/>
      <c r="U120" s="306"/>
      <c r="V120" s="305">
        <f t="shared" si="6"/>
        <v>0</v>
      </c>
      <c r="W120" s="306">
        <f t="shared" si="7"/>
        <v>0</v>
      </c>
      <c r="X120" s="271">
        <f t="shared" si="4"/>
        <v>0</v>
      </c>
      <c r="Y120" s="271">
        <f t="shared" si="5"/>
        <v>0</v>
      </c>
      <c r="Z120" s="154"/>
    </row>
    <row r="121" s="243" customFormat="1" ht="22" customHeight="1" outlineLevel="2" spans="1:26">
      <c r="A121" s="154" t="s">
        <v>828</v>
      </c>
      <c r="B121" s="259">
        <v>23</v>
      </c>
      <c r="C121" s="259">
        <v>1</v>
      </c>
      <c r="D121" s="154">
        <v>-1</v>
      </c>
      <c r="E121" s="313" t="s">
        <v>829</v>
      </c>
      <c r="F121" s="259" t="s">
        <v>188</v>
      </c>
      <c r="G121" s="154" t="s">
        <v>536</v>
      </c>
      <c r="H121" s="154" t="s">
        <v>537</v>
      </c>
      <c r="I121" s="154"/>
      <c r="J121" s="269"/>
      <c r="K121" s="325"/>
      <c r="L121" s="271"/>
      <c r="M121" s="154"/>
      <c r="N121" s="271"/>
      <c r="O121" s="271"/>
      <c r="P121" s="306">
        <v>12.17</v>
      </c>
      <c r="Q121" s="271"/>
      <c r="R121" s="154"/>
      <c r="S121" s="189"/>
      <c r="T121" s="326"/>
      <c r="U121" s="306"/>
      <c r="V121" s="305">
        <f t="shared" si="6"/>
        <v>0</v>
      </c>
      <c r="W121" s="306">
        <f t="shared" si="7"/>
        <v>0</v>
      </c>
      <c r="X121" s="271">
        <f t="shared" si="4"/>
        <v>0</v>
      </c>
      <c r="Y121" s="271">
        <f t="shared" si="5"/>
        <v>0</v>
      </c>
      <c r="Z121" s="154"/>
    </row>
    <row r="122" s="243" customFormat="1" ht="22" customHeight="1" outlineLevel="2" spans="1:26">
      <c r="A122" s="154" t="s">
        <v>830</v>
      </c>
      <c r="B122" s="259">
        <v>23</v>
      </c>
      <c r="C122" s="259">
        <v>2</v>
      </c>
      <c r="D122" s="154">
        <v>-1</v>
      </c>
      <c r="E122" s="313" t="s">
        <v>831</v>
      </c>
      <c r="F122" s="259" t="s">
        <v>188</v>
      </c>
      <c r="G122" s="154" t="s">
        <v>536</v>
      </c>
      <c r="H122" s="154" t="s">
        <v>537</v>
      </c>
      <c r="I122" s="154"/>
      <c r="J122" s="269"/>
      <c r="K122" s="325"/>
      <c r="L122" s="271"/>
      <c r="M122" s="154"/>
      <c r="N122" s="271"/>
      <c r="O122" s="271"/>
      <c r="P122" s="306">
        <v>12.17</v>
      </c>
      <c r="Q122" s="271"/>
      <c r="R122" s="154"/>
      <c r="S122" s="189"/>
      <c r="T122" s="326"/>
      <c r="U122" s="306"/>
      <c r="V122" s="305">
        <f t="shared" si="6"/>
        <v>0</v>
      </c>
      <c r="W122" s="306">
        <f t="shared" si="7"/>
        <v>0</v>
      </c>
      <c r="X122" s="271">
        <f t="shared" si="4"/>
        <v>0</v>
      </c>
      <c r="Y122" s="271">
        <f t="shared" si="5"/>
        <v>0</v>
      </c>
      <c r="Z122" s="154"/>
    </row>
    <row r="123" s="243" customFormat="1" ht="22" customHeight="1" outlineLevel="2" spans="1:26">
      <c r="A123" s="154" t="s">
        <v>832</v>
      </c>
      <c r="B123" s="259">
        <v>23</v>
      </c>
      <c r="C123" s="259">
        <v>2</v>
      </c>
      <c r="D123" s="154">
        <v>-1</v>
      </c>
      <c r="E123" s="313" t="s">
        <v>833</v>
      </c>
      <c r="F123" s="259" t="s">
        <v>188</v>
      </c>
      <c r="G123" s="154" t="s">
        <v>536</v>
      </c>
      <c r="H123" s="154" t="s">
        <v>537</v>
      </c>
      <c r="I123" s="154"/>
      <c r="J123" s="269"/>
      <c r="K123" s="325"/>
      <c r="L123" s="271"/>
      <c r="M123" s="154"/>
      <c r="N123" s="271"/>
      <c r="O123" s="271"/>
      <c r="P123" s="306">
        <v>12.17</v>
      </c>
      <c r="Q123" s="271"/>
      <c r="R123" s="154"/>
      <c r="S123" s="189"/>
      <c r="T123" s="326"/>
      <c r="U123" s="306"/>
      <c r="V123" s="305">
        <f t="shared" si="6"/>
        <v>0</v>
      </c>
      <c r="W123" s="306">
        <f t="shared" si="7"/>
        <v>0</v>
      </c>
      <c r="X123" s="271">
        <f t="shared" si="4"/>
        <v>0</v>
      </c>
      <c r="Y123" s="271">
        <f t="shared" si="5"/>
        <v>0</v>
      </c>
      <c r="Z123" s="154"/>
    </row>
    <row r="124" s="243" customFormat="1" ht="22" customHeight="1" outlineLevel="2" spans="1:26">
      <c r="A124" s="154" t="s">
        <v>834</v>
      </c>
      <c r="B124" s="259">
        <v>23</v>
      </c>
      <c r="C124" s="259">
        <v>2</v>
      </c>
      <c r="D124" s="154">
        <v>-1</v>
      </c>
      <c r="E124" s="313" t="s">
        <v>835</v>
      </c>
      <c r="F124" s="259" t="s">
        <v>188</v>
      </c>
      <c r="G124" s="154" t="s">
        <v>536</v>
      </c>
      <c r="H124" s="154" t="s">
        <v>537</v>
      </c>
      <c r="I124" s="154"/>
      <c r="J124" s="269"/>
      <c r="K124" s="325"/>
      <c r="L124" s="271"/>
      <c r="M124" s="154"/>
      <c r="N124" s="271"/>
      <c r="O124" s="271"/>
      <c r="P124" s="306">
        <v>12.17</v>
      </c>
      <c r="Q124" s="271"/>
      <c r="R124" s="154"/>
      <c r="S124" s="189"/>
      <c r="T124" s="326"/>
      <c r="U124" s="306"/>
      <c r="V124" s="305">
        <f t="shared" si="6"/>
        <v>0</v>
      </c>
      <c r="W124" s="306">
        <f t="shared" si="7"/>
        <v>0</v>
      </c>
      <c r="X124" s="271">
        <f t="shared" si="4"/>
        <v>0</v>
      </c>
      <c r="Y124" s="271">
        <f t="shared" si="5"/>
        <v>0</v>
      </c>
      <c r="Z124" s="154"/>
    </row>
    <row r="125" s="243" customFormat="1" ht="22" customHeight="1" outlineLevel="2" spans="1:26">
      <c r="A125" s="154" t="s">
        <v>836</v>
      </c>
      <c r="B125" s="259">
        <v>23</v>
      </c>
      <c r="C125" s="259">
        <v>2</v>
      </c>
      <c r="D125" s="154">
        <v>-1</v>
      </c>
      <c r="E125" s="313" t="s">
        <v>837</v>
      </c>
      <c r="F125" s="259" t="s">
        <v>188</v>
      </c>
      <c r="G125" s="154" t="s">
        <v>536</v>
      </c>
      <c r="H125" s="154" t="s">
        <v>537</v>
      </c>
      <c r="I125" s="154"/>
      <c r="J125" s="269"/>
      <c r="K125" s="325"/>
      <c r="L125" s="271"/>
      <c r="M125" s="154"/>
      <c r="N125" s="271"/>
      <c r="O125" s="271"/>
      <c r="P125" s="306">
        <v>18.56</v>
      </c>
      <c r="Q125" s="271"/>
      <c r="R125" s="154"/>
      <c r="S125" s="189"/>
      <c r="T125" s="326"/>
      <c r="U125" s="306"/>
      <c r="V125" s="305">
        <f t="shared" si="6"/>
        <v>0</v>
      </c>
      <c r="W125" s="306">
        <f t="shared" si="7"/>
        <v>0</v>
      </c>
      <c r="X125" s="271">
        <f t="shared" si="4"/>
        <v>0</v>
      </c>
      <c r="Y125" s="271">
        <f t="shared" si="5"/>
        <v>0</v>
      </c>
      <c r="Z125" s="154"/>
    </row>
    <row r="126" s="243" customFormat="1" ht="22" customHeight="1" outlineLevel="2" spans="1:26">
      <c r="A126" s="154" t="s">
        <v>838</v>
      </c>
      <c r="B126" s="259">
        <v>23</v>
      </c>
      <c r="C126" s="259">
        <v>2</v>
      </c>
      <c r="D126" s="154">
        <v>-1</v>
      </c>
      <c r="E126" s="313" t="s">
        <v>839</v>
      </c>
      <c r="F126" s="259" t="s">
        <v>188</v>
      </c>
      <c r="G126" s="154" t="s">
        <v>536</v>
      </c>
      <c r="H126" s="154" t="s">
        <v>537</v>
      </c>
      <c r="I126" s="154"/>
      <c r="J126" s="269"/>
      <c r="K126" s="325"/>
      <c r="L126" s="271"/>
      <c r="M126" s="154"/>
      <c r="N126" s="271"/>
      <c r="O126" s="271"/>
      <c r="P126" s="306">
        <v>9.01</v>
      </c>
      <c r="Q126" s="271"/>
      <c r="R126" s="154"/>
      <c r="S126" s="189"/>
      <c r="T126" s="326"/>
      <c r="U126" s="306"/>
      <c r="V126" s="305">
        <f t="shared" si="6"/>
        <v>0</v>
      </c>
      <c r="W126" s="306">
        <f t="shared" si="7"/>
        <v>0</v>
      </c>
      <c r="X126" s="271">
        <f t="shared" si="4"/>
        <v>0</v>
      </c>
      <c r="Y126" s="271">
        <f t="shared" si="5"/>
        <v>0</v>
      </c>
      <c r="Z126" s="154"/>
    </row>
    <row r="127" s="243" customFormat="1" ht="22" customHeight="1" outlineLevel="2" spans="1:26">
      <c r="A127" s="154" t="s">
        <v>840</v>
      </c>
      <c r="B127" s="259">
        <v>23</v>
      </c>
      <c r="C127" s="259">
        <v>2</v>
      </c>
      <c r="D127" s="154">
        <v>-1</v>
      </c>
      <c r="E127" s="313" t="s">
        <v>841</v>
      </c>
      <c r="F127" s="259" t="s">
        <v>188</v>
      </c>
      <c r="G127" s="154" t="s">
        <v>536</v>
      </c>
      <c r="H127" s="154" t="s">
        <v>537</v>
      </c>
      <c r="I127" s="154"/>
      <c r="J127" s="269"/>
      <c r="K127" s="325"/>
      <c r="L127" s="271"/>
      <c r="M127" s="154"/>
      <c r="N127" s="271"/>
      <c r="O127" s="271"/>
      <c r="P127" s="306">
        <v>20.94</v>
      </c>
      <c r="Q127" s="271"/>
      <c r="R127" s="154"/>
      <c r="S127" s="189"/>
      <c r="T127" s="326"/>
      <c r="U127" s="306"/>
      <c r="V127" s="305">
        <f t="shared" si="6"/>
        <v>0</v>
      </c>
      <c r="W127" s="306">
        <f t="shared" si="7"/>
        <v>0</v>
      </c>
      <c r="X127" s="271">
        <f t="shared" si="4"/>
        <v>0</v>
      </c>
      <c r="Y127" s="271">
        <f t="shared" si="5"/>
        <v>0</v>
      </c>
      <c r="Z127" s="154"/>
    </row>
    <row r="128" s="243" customFormat="1" ht="22" customHeight="1" outlineLevel="2" spans="1:26">
      <c r="A128" s="154" t="s">
        <v>842</v>
      </c>
      <c r="B128" s="259">
        <v>23</v>
      </c>
      <c r="C128" s="259">
        <v>2</v>
      </c>
      <c r="D128" s="154">
        <v>-1</v>
      </c>
      <c r="E128" s="313" t="s">
        <v>843</v>
      </c>
      <c r="F128" s="259" t="s">
        <v>188</v>
      </c>
      <c r="G128" s="154" t="s">
        <v>536</v>
      </c>
      <c r="H128" s="154" t="s">
        <v>537</v>
      </c>
      <c r="I128" s="154"/>
      <c r="J128" s="269"/>
      <c r="K128" s="325"/>
      <c r="L128" s="271"/>
      <c r="M128" s="154"/>
      <c r="N128" s="271"/>
      <c r="O128" s="271"/>
      <c r="P128" s="306">
        <v>15.04</v>
      </c>
      <c r="Q128" s="271"/>
      <c r="R128" s="154"/>
      <c r="S128" s="189"/>
      <c r="T128" s="326"/>
      <c r="U128" s="306"/>
      <c r="V128" s="305">
        <f t="shared" si="6"/>
        <v>0</v>
      </c>
      <c r="W128" s="306">
        <f t="shared" si="7"/>
        <v>0</v>
      </c>
      <c r="X128" s="271">
        <f t="shared" si="4"/>
        <v>0</v>
      </c>
      <c r="Y128" s="271">
        <f t="shared" si="5"/>
        <v>0</v>
      </c>
      <c r="Z128" s="154"/>
    </row>
    <row r="129" s="243" customFormat="1" ht="22" customHeight="1" outlineLevel="2" spans="1:26">
      <c r="A129" s="154" t="s">
        <v>844</v>
      </c>
      <c r="B129" s="259">
        <v>23</v>
      </c>
      <c r="C129" s="259">
        <v>2</v>
      </c>
      <c r="D129" s="154">
        <v>-1</v>
      </c>
      <c r="E129" s="313" t="s">
        <v>845</v>
      </c>
      <c r="F129" s="259" t="s">
        <v>188</v>
      </c>
      <c r="G129" s="154" t="s">
        <v>536</v>
      </c>
      <c r="H129" s="154" t="s">
        <v>537</v>
      </c>
      <c r="I129" s="154"/>
      <c r="J129" s="269"/>
      <c r="K129" s="325"/>
      <c r="L129" s="271"/>
      <c r="M129" s="154"/>
      <c r="N129" s="271"/>
      <c r="O129" s="271"/>
      <c r="P129" s="306">
        <v>15.04</v>
      </c>
      <c r="Q129" s="271"/>
      <c r="R129" s="154"/>
      <c r="S129" s="189"/>
      <c r="T129" s="326"/>
      <c r="U129" s="306"/>
      <c r="V129" s="305">
        <f t="shared" si="6"/>
        <v>0</v>
      </c>
      <c r="W129" s="306">
        <f t="shared" si="7"/>
        <v>0</v>
      </c>
      <c r="X129" s="271">
        <f t="shared" si="4"/>
        <v>0</v>
      </c>
      <c r="Y129" s="271">
        <f t="shared" si="5"/>
        <v>0</v>
      </c>
      <c r="Z129" s="154"/>
    </row>
    <row r="130" s="243" customFormat="1" ht="22" customHeight="1" outlineLevel="2" spans="1:26">
      <c r="A130" s="154" t="s">
        <v>846</v>
      </c>
      <c r="B130" s="259">
        <v>23</v>
      </c>
      <c r="C130" s="259">
        <v>2</v>
      </c>
      <c r="D130" s="154">
        <v>-1</v>
      </c>
      <c r="E130" s="313" t="s">
        <v>847</v>
      </c>
      <c r="F130" s="259" t="s">
        <v>188</v>
      </c>
      <c r="G130" s="154" t="s">
        <v>536</v>
      </c>
      <c r="H130" s="154" t="s">
        <v>537</v>
      </c>
      <c r="I130" s="154"/>
      <c r="J130" s="269"/>
      <c r="K130" s="325"/>
      <c r="L130" s="271"/>
      <c r="M130" s="154"/>
      <c r="N130" s="271"/>
      <c r="O130" s="271"/>
      <c r="P130" s="306">
        <v>18.78</v>
      </c>
      <c r="Q130" s="271"/>
      <c r="R130" s="154"/>
      <c r="S130" s="189"/>
      <c r="T130" s="326"/>
      <c r="U130" s="306"/>
      <c r="V130" s="305">
        <f t="shared" si="6"/>
        <v>0</v>
      </c>
      <c r="W130" s="306">
        <f t="shared" si="7"/>
        <v>0</v>
      </c>
      <c r="X130" s="271">
        <f t="shared" si="4"/>
        <v>0</v>
      </c>
      <c r="Y130" s="271">
        <f t="shared" si="5"/>
        <v>0</v>
      </c>
      <c r="Z130" s="154"/>
    </row>
    <row r="131" s="243" customFormat="1" ht="22" customHeight="1" outlineLevel="2" spans="1:26">
      <c r="A131" s="154" t="s">
        <v>848</v>
      </c>
      <c r="B131" s="259">
        <v>23</v>
      </c>
      <c r="C131" s="259">
        <v>2</v>
      </c>
      <c r="D131" s="154">
        <v>-1</v>
      </c>
      <c r="E131" s="313" t="s">
        <v>849</v>
      </c>
      <c r="F131" s="259" t="s">
        <v>188</v>
      </c>
      <c r="G131" s="154" t="s">
        <v>536</v>
      </c>
      <c r="H131" s="154" t="s">
        <v>537</v>
      </c>
      <c r="I131" s="154"/>
      <c r="J131" s="269"/>
      <c r="K131" s="325"/>
      <c r="L131" s="271"/>
      <c r="M131" s="154"/>
      <c r="N131" s="271"/>
      <c r="O131" s="271"/>
      <c r="P131" s="306">
        <v>18.78</v>
      </c>
      <c r="Q131" s="271"/>
      <c r="R131" s="154"/>
      <c r="S131" s="189"/>
      <c r="T131" s="326"/>
      <c r="U131" s="306"/>
      <c r="V131" s="305">
        <f t="shared" si="6"/>
        <v>0</v>
      </c>
      <c r="W131" s="306">
        <f t="shared" si="7"/>
        <v>0</v>
      </c>
      <c r="X131" s="271">
        <f t="shared" si="4"/>
        <v>0</v>
      </c>
      <c r="Y131" s="271">
        <f t="shared" si="5"/>
        <v>0</v>
      </c>
      <c r="Z131" s="154"/>
    </row>
    <row r="132" s="243" customFormat="1" ht="22" customHeight="1" outlineLevel="2" spans="1:26">
      <c r="A132" s="154" t="s">
        <v>850</v>
      </c>
      <c r="B132" s="259">
        <v>23</v>
      </c>
      <c r="C132" s="259">
        <v>2</v>
      </c>
      <c r="D132" s="154">
        <v>-1</v>
      </c>
      <c r="E132" s="313" t="s">
        <v>851</v>
      </c>
      <c r="F132" s="259" t="s">
        <v>188</v>
      </c>
      <c r="G132" s="154" t="s">
        <v>536</v>
      </c>
      <c r="H132" s="154" t="s">
        <v>537</v>
      </c>
      <c r="I132" s="154"/>
      <c r="J132" s="269"/>
      <c r="K132" s="325"/>
      <c r="L132" s="271"/>
      <c r="M132" s="154"/>
      <c r="N132" s="271"/>
      <c r="O132" s="271"/>
      <c r="P132" s="306">
        <v>15.04</v>
      </c>
      <c r="Q132" s="271"/>
      <c r="R132" s="154"/>
      <c r="S132" s="189"/>
      <c r="T132" s="326"/>
      <c r="U132" s="306"/>
      <c r="V132" s="305">
        <f t="shared" si="6"/>
        <v>0</v>
      </c>
      <c r="W132" s="306">
        <f t="shared" si="7"/>
        <v>0</v>
      </c>
      <c r="X132" s="271">
        <f t="shared" si="4"/>
        <v>0</v>
      </c>
      <c r="Y132" s="271">
        <f t="shared" si="5"/>
        <v>0</v>
      </c>
      <c r="Z132" s="154"/>
    </row>
    <row r="133" s="243" customFormat="1" ht="22" customHeight="1" outlineLevel="2" spans="1:26">
      <c r="A133" s="154" t="s">
        <v>852</v>
      </c>
      <c r="B133" s="259">
        <v>23</v>
      </c>
      <c r="C133" s="259">
        <v>2</v>
      </c>
      <c r="D133" s="154">
        <v>-1</v>
      </c>
      <c r="E133" s="313" t="s">
        <v>853</v>
      </c>
      <c r="F133" s="259" t="s">
        <v>188</v>
      </c>
      <c r="G133" s="154" t="s">
        <v>536</v>
      </c>
      <c r="H133" s="154" t="s">
        <v>537</v>
      </c>
      <c r="I133" s="154"/>
      <c r="J133" s="269"/>
      <c r="K133" s="325"/>
      <c r="L133" s="271"/>
      <c r="M133" s="154"/>
      <c r="N133" s="271"/>
      <c r="O133" s="271"/>
      <c r="P133" s="306">
        <v>15.04</v>
      </c>
      <c r="Q133" s="271"/>
      <c r="R133" s="154"/>
      <c r="S133" s="189"/>
      <c r="T133" s="326"/>
      <c r="U133" s="306"/>
      <c r="V133" s="305">
        <f t="shared" si="6"/>
        <v>0</v>
      </c>
      <c r="W133" s="306">
        <f t="shared" si="7"/>
        <v>0</v>
      </c>
      <c r="X133" s="271">
        <f t="shared" si="4"/>
        <v>0</v>
      </c>
      <c r="Y133" s="271">
        <f t="shared" si="5"/>
        <v>0</v>
      </c>
      <c r="Z133" s="154"/>
    </row>
    <row r="134" s="243" customFormat="1" ht="22" customHeight="1" outlineLevel="2" spans="1:26">
      <c r="A134" s="154" t="s">
        <v>854</v>
      </c>
      <c r="B134" s="259">
        <v>23</v>
      </c>
      <c r="C134" s="259">
        <v>2</v>
      </c>
      <c r="D134" s="154">
        <v>-1</v>
      </c>
      <c r="E134" s="313" t="s">
        <v>855</v>
      </c>
      <c r="F134" s="259" t="s">
        <v>188</v>
      </c>
      <c r="G134" s="154" t="s">
        <v>536</v>
      </c>
      <c r="H134" s="154" t="s">
        <v>537</v>
      </c>
      <c r="I134" s="154"/>
      <c r="J134" s="269"/>
      <c r="K134" s="325"/>
      <c r="L134" s="271"/>
      <c r="M134" s="154"/>
      <c r="N134" s="271"/>
      <c r="O134" s="271"/>
      <c r="P134" s="306">
        <v>21.45</v>
      </c>
      <c r="Q134" s="271"/>
      <c r="R134" s="154"/>
      <c r="S134" s="189"/>
      <c r="T134" s="326"/>
      <c r="U134" s="306"/>
      <c r="V134" s="305">
        <f t="shared" si="6"/>
        <v>0</v>
      </c>
      <c r="W134" s="306">
        <f t="shared" si="7"/>
        <v>0</v>
      </c>
      <c r="X134" s="271">
        <f t="shared" si="4"/>
        <v>0</v>
      </c>
      <c r="Y134" s="271">
        <f t="shared" si="5"/>
        <v>0</v>
      </c>
      <c r="Z134" s="154"/>
    </row>
    <row r="135" s="243" customFormat="1" ht="22" customHeight="1" outlineLevel="2" spans="1:26">
      <c r="A135" s="154" t="s">
        <v>856</v>
      </c>
      <c r="B135" s="259">
        <v>23</v>
      </c>
      <c r="C135" s="259">
        <v>2</v>
      </c>
      <c r="D135" s="154">
        <v>-1</v>
      </c>
      <c r="E135" s="313" t="s">
        <v>857</v>
      </c>
      <c r="F135" s="259" t="s">
        <v>188</v>
      </c>
      <c r="G135" s="154" t="s">
        <v>536</v>
      </c>
      <c r="H135" s="154" t="s">
        <v>537</v>
      </c>
      <c r="I135" s="154"/>
      <c r="J135" s="269"/>
      <c r="K135" s="325"/>
      <c r="L135" s="271"/>
      <c r="M135" s="154"/>
      <c r="N135" s="271"/>
      <c r="O135" s="271"/>
      <c r="P135" s="306">
        <v>12.46</v>
      </c>
      <c r="Q135" s="271"/>
      <c r="R135" s="154"/>
      <c r="S135" s="189"/>
      <c r="T135" s="326"/>
      <c r="U135" s="306"/>
      <c r="V135" s="305">
        <f t="shared" si="6"/>
        <v>0</v>
      </c>
      <c r="W135" s="306">
        <f t="shared" si="7"/>
        <v>0</v>
      </c>
      <c r="X135" s="271">
        <f t="shared" ref="X135:X198" si="8">U135</f>
        <v>0</v>
      </c>
      <c r="Y135" s="271">
        <f t="shared" ref="Y135:Y198" si="9">ROUND(X135/P135,2)</f>
        <v>0</v>
      </c>
      <c r="Z135" s="154"/>
    </row>
    <row r="136" s="243" customFormat="1" ht="22" customHeight="1" outlineLevel="2" spans="1:26">
      <c r="A136" s="154" t="s">
        <v>858</v>
      </c>
      <c r="B136" s="259">
        <v>23</v>
      </c>
      <c r="C136" s="259">
        <v>2</v>
      </c>
      <c r="D136" s="154">
        <v>-1</v>
      </c>
      <c r="E136" s="313" t="s">
        <v>859</v>
      </c>
      <c r="F136" s="259" t="s">
        <v>188</v>
      </c>
      <c r="G136" s="154" t="s">
        <v>536</v>
      </c>
      <c r="H136" s="154" t="s">
        <v>537</v>
      </c>
      <c r="I136" s="154"/>
      <c r="J136" s="269"/>
      <c r="K136" s="325"/>
      <c r="L136" s="271"/>
      <c r="M136" s="154"/>
      <c r="N136" s="271"/>
      <c r="O136" s="271"/>
      <c r="P136" s="306">
        <v>10.43</v>
      </c>
      <c r="Q136" s="271"/>
      <c r="R136" s="154"/>
      <c r="S136" s="189"/>
      <c r="T136" s="326"/>
      <c r="U136" s="306"/>
      <c r="V136" s="305">
        <f t="shared" ref="V136:V199" si="10">L136-U136</f>
        <v>0</v>
      </c>
      <c r="W136" s="306">
        <f t="shared" ref="W136:W199" si="11">U136+V136</f>
        <v>0</v>
      </c>
      <c r="X136" s="271">
        <f t="shared" si="8"/>
        <v>0</v>
      </c>
      <c r="Y136" s="271">
        <f t="shared" si="9"/>
        <v>0</v>
      </c>
      <c r="Z136" s="154"/>
    </row>
    <row r="137" s="243" customFormat="1" ht="22" customHeight="1" outlineLevel="2" spans="1:26">
      <c r="A137" s="154" t="s">
        <v>860</v>
      </c>
      <c r="B137" s="259">
        <v>23</v>
      </c>
      <c r="C137" s="259">
        <v>2</v>
      </c>
      <c r="D137" s="154">
        <v>-1</v>
      </c>
      <c r="E137" s="313" t="s">
        <v>861</v>
      </c>
      <c r="F137" s="259" t="s">
        <v>188</v>
      </c>
      <c r="G137" s="154" t="s">
        <v>536</v>
      </c>
      <c r="H137" s="154" t="s">
        <v>537</v>
      </c>
      <c r="I137" s="154"/>
      <c r="J137" s="269"/>
      <c r="K137" s="325"/>
      <c r="L137" s="271"/>
      <c r="M137" s="154"/>
      <c r="N137" s="271"/>
      <c r="O137" s="271"/>
      <c r="P137" s="306">
        <v>12.17</v>
      </c>
      <c r="Q137" s="271"/>
      <c r="R137" s="154"/>
      <c r="S137" s="189"/>
      <c r="T137" s="326"/>
      <c r="U137" s="306"/>
      <c r="V137" s="305">
        <f t="shared" si="10"/>
        <v>0</v>
      </c>
      <c r="W137" s="306">
        <f t="shared" si="11"/>
        <v>0</v>
      </c>
      <c r="X137" s="271">
        <f t="shared" si="8"/>
        <v>0</v>
      </c>
      <c r="Y137" s="271">
        <f t="shared" si="9"/>
        <v>0</v>
      </c>
      <c r="Z137" s="154"/>
    </row>
    <row r="138" s="243" customFormat="1" ht="22" customHeight="1" outlineLevel="2" spans="1:26">
      <c r="A138" s="154" t="s">
        <v>862</v>
      </c>
      <c r="B138" s="259">
        <v>23</v>
      </c>
      <c r="C138" s="259">
        <v>2</v>
      </c>
      <c r="D138" s="154">
        <v>-1</v>
      </c>
      <c r="E138" s="313" t="s">
        <v>863</v>
      </c>
      <c r="F138" s="259" t="s">
        <v>188</v>
      </c>
      <c r="G138" s="154" t="s">
        <v>536</v>
      </c>
      <c r="H138" s="154" t="s">
        <v>537</v>
      </c>
      <c r="I138" s="154"/>
      <c r="J138" s="269"/>
      <c r="K138" s="325"/>
      <c r="L138" s="271"/>
      <c r="M138" s="154"/>
      <c r="N138" s="271"/>
      <c r="O138" s="271"/>
      <c r="P138" s="306">
        <v>12.17</v>
      </c>
      <c r="Q138" s="271"/>
      <c r="R138" s="154"/>
      <c r="S138" s="189"/>
      <c r="T138" s="326"/>
      <c r="U138" s="306"/>
      <c r="V138" s="305">
        <f t="shared" si="10"/>
        <v>0</v>
      </c>
      <c r="W138" s="306">
        <f t="shared" si="11"/>
        <v>0</v>
      </c>
      <c r="X138" s="271">
        <f t="shared" si="8"/>
        <v>0</v>
      </c>
      <c r="Y138" s="271">
        <f t="shared" si="9"/>
        <v>0</v>
      </c>
      <c r="Z138" s="154"/>
    </row>
    <row r="139" s="243" customFormat="1" ht="22" customHeight="1" outlineLevel="2" spans="1:26">
      <c r="A139" s="154" t="s">
        <v>864</v>
      </c>
      <c r="B139" s="259">
        <v>24</v>
      </c>
      <c r="C139" s="259">
        <v>1</v>
      </c>
      <c r="D139" s="154">
        <v>1</v>
      </c>
      <c r="E139" s="263" t="s">
        <v>865</v>
      </c>
      <c r="F139" s="259" t="s">
        <v>188</v>
      </c>
      <c r="G139" s="154" t="s">
        <v>257</v>
      </c>
      <c r="H139" s="154" t="s">
        <v>427</v>
      </c>
      <c r="I139" s="154" t="s">
        <v>334</v>
      </c>
      <c r="J139" s="269">
        <v>20190003640</v>
      </c>
      <c r="K139" s="288">
        <v>43733</v>
      </c>
      <c r="L139" s="271">
        <v>1047546</v>
      </c>
      <c r="M139" s="289" t="s">
        <v>866</v>
      </c>
      <c r="N139" s="271"/>
      <c r="O139" s="271"/>
      <c r="P139" s="290">
        <v>152.47</v>
      </c>
      <c r="Q139" s="271"/>
      <c r="R139" s="154"/>
      <c r="S139" s="189" t="s">
        <v>430</v>
      </c>
      <c r="T139" s="304" t="s">
        <v>867</v>
      </c>
      <c r="U139" s="305">
        <v>961051.38</v>
      </c>
      <c r="V139" s="305">
        <f t="shared" si="10"/>
        <v>86494.62</v>
      </c>
      <c r="W139" s="306">
        <f t="shared" si="11"/>
        <v>1047546</v>
      </c>
      <c r="X139" s="271">
        <f t="shared" si="8"/>
        <v>961051.38</v>
      </c>
      <c r="Y139" s="271">
        <f t="shared" si="9"/>
        <v>6303.22</v>
      </c>
      <c r="Z139" s="154"/>
    </row>
    <row r="140" s="243" customFormat="1" ht="22" customHeight="1" outlineLevel="2" spans="1:26">
      <c r="A140" s="154" t="s">
        <v>868</v>
      </c>
      <c r="B140" s="259">
        <v>24</v>
      </c>
      <c r="C140" s="259">
        <v>1</v>
      </c>
      <c r="D140" s="154">
        <v>1</v>
      </c>
      <c r="E140" s="263" t="s">
        <v>869</v>
      </c>
      <c r="F140" s="259" t="s">
        <v>188</v>
      </c>
      <c r="G140" s="154" t="s">
        <v>257</v>
      </c>
      <c r="H140" s="154" t="s">
        <v>427</v>
      </c>
      <c r="I140" s="154" t="s">
        <v>334</v>
      </c>
      <c r="J140" s="269">
        <v>20190002519</v>
      </c>
      <c r="K140" s="288">
        <v>43711</v>
      </c>
      <c r="L140" s="271">
        <v>1034042</v>
      </c>
      <c r="M140" s="289" t="s">
        <v>870</v>
      </c>
      <c r="N140" s="271"/>
      <c r="O140" s="271"/>
      <c r="P140" s="290">
        <v>151.88</v>
      </c>
      <c r="Q140" s="271"/>
      <c r="R140" s="154"/>
      <c r="S140" s="189" t="s">
        <v>430</v>
      </c>
      <c r="T140" s="304" t="s">
        <v>871</v>
      </c>
      <c r="U140" s="305">
        <v>948662.39</v>
      </c>
      <c r="V140" s="305">
        <f t="shared" si="10"/>
        <v>85379.61</v>
      </c>
      <c r="W140" s="306">
        <f t="shared" si="11"/>
        <v>1034042</v>
      </c>
      <c r="X140" s="271">
        <f t="shared" si="8"/>
        <v>948662.39</v>
      </c>
      <c r="Y140" s="271">
        <f t="shared" si="9"/>
        <v>6246.13</v>
      </c>
      <c r="Z140" s="154"/>
    </row>
    <row r="141" s="243" customFormat="1" ht="22" customHeight="1" outlineLevel="2" spans="1:26">
      <c r="A141" s="154" t="s">
        <v>872</v>
      </c>
      <c r="B141" s="259">
        <v>24</v>
      </c>
      <c r="C141" s="259">
        <v>1</v>
      </c>
      <c r="D141" s="154">
        <v>2</v>
      </c>
      <c r="E141" s="263" t="s">
        <v>873</v>
      </c>
      <c r="F141" s="259" t="s">
        <v>188</v>
      </c>
      <c r="G141" s="154" t="s">
        <v>257</v>
      </c>
      <c r="H141" s="154" t="s">
        <v>427</v>
      </c>
      <c r="I141" s="154" t="s">
        <v>334</v>
      </c>
      <c r="J141" s="269">
        <v>20190007084</v>
      </c>
      <c r="K141" s="288">
        <v>43808</v>
      </c>
      <c r="L141" s="271">
        <v>596078</v>
      </c>
      <c r="M141" s="289" t="s">
        <v>874</v>
      </c>
      <c r="N141" s="271"/>
      <c r="O141" s="271"/>
      <c r="P141" s="290">
        <v>152.47</v>
      </c>
      <c r="Q141" s="271"/>
      <c r="R141" s="154"/>
      <c r="S141" s="189" t="s">
        <v>430</v>
      </c>
      <c r="T141" s="308" t="s">
        <v>875</v>
      </c>
      <c r="U141" s="305">
        <v>546860.55</v>
      </c>
      <c r="V141" s="305">
        <f t="shared" si="10"/>
        <v>49217.45</v>
      </c>
      <c r="W141" s="306">
        <f t="shared" si="11"/>
        <v>596078</v>
      </c>
      <c r="X141" s="271">
        <f t="shared" si="8"/>
        <v>546860.55</v>
      </c>
      <c r="Y141" s="271">
        <f t="shared" si="9"/>
        <v>3586.68</v>
      </c>
      <c r="Z141" s="154"/>
    </row>
    <row r="142" s="243" customFormat="1" ht="22" customHeight="1" outlineLevel="2" spans="1:26">
      <c r="A142" s="154" t="s">
        <v>876</v>
      </c>
      <c r="B142" s="259">
        <v>24</v>
      </c>
      <c r="C142" s="259">
        <v>1</v>
      </c>
      <c r="D142" s="154">
        <v>2</v>
      </c>
      <c r="E142" s="263" t="s">
        <v>877</v>
      </c>
      <c r="F142" s="259" t="s">
        <v>188</v>
      </c>
      <c r="G142" s="154" t="s">
        <v>257</v>
      </c>
      <c r="H142" s="154" t="s">
        <v>427</v>
      </c>
      <c r="I142" s="154" t="s">
        <v>334</v>
      </c>
      <c r="J142" s="269" t="s">
        <v>878</v>
      </c>
      <c r="K142" s="288">
        <v>43751</v>
      </c>
      <c r="L142" s="271">
        <v>584830</v>
      </c>
      <c r="M142" s="289" t="s">
        <v>879</v>
      </c>
      <c r="N142" s="271"/>
      <c r="O142" s="271"/>
      <c r="P142" s="290">
        <v>151.98</v>
      </c>
      <c r="Q142" s="271"/>
      <c r="R142" s="154"/>
      <c r="S142" s="189" t="s">
        <v>430</v>
      </c>
      <c r="T142" s="309" t="s">
        <v>880</v>
      </c>
      <c r="U142" s="305">
        <v>536541.28</v>
      </c>
      <c r="V142" s="305">
        <f t="shared" si="10"/>
        <v>48288.72</v>
      </c>
      <c r="W142" s="306">
        <f t="shared" si="11"/>
        <v>584830</v>
      </c>
      <c r="X142" s="271">
        <f t="shared" si="8"/>
        <v>536541.28</v>
      </c>
      <c r="Y142" s="271">
        <f t="shared" si="9"/>
        <v>3530.34</v>
      </c>
      <c r="Z142" s="154"/>
    </row>
    <row r="143" s="243" customFormat="1" ht="22" customHeight="1" outlineLevel="2" spans="1:26">
      <c r="A143" s="154" t="s">
        <v>881</v>
      </c>
      <c r="B143" s="259">
        <v>24</v>
      </c>
      <c r="C143" s="259">
        <v>1</v>
      </c>
      <c r="D143" s="154">
        <v>3</v>
      </c>
      <c r="E143" s="263" t="s">
        <v>882</v>
      </c>
      <c r="F143" s="259" t="s">
        <v>188</v>
      </c>
      <c r="G143" s="154" t="s">
        <v>257</v>
      </c>
      <c r="H143" s="154" t="s">
        <v>427</v>
      </c>
      <c r="I143" s="154" t="s">
        <v>334</v>
      </c>
      <c r="J143" s="269">
        <v>20190004267</v>
      </c>
      <c r="K143" s="288">
        <v>43750</v>
      </c>
      <c r="L143" s="271">
        <v>603466</v>
      </c>
      <c r="M143" s="289" t="s">
        <v>883</v>
      </c>
      <c r="N143" s="271"/>
      <c r="O143" s="271"/>
      <c r="P143" s="290">
        <v>152.47</v>
      </c>
      <c r="Q143" s="271"/>
      <c r="R143" s="154"/>
      <c r="S143" s="189" t="s">
        <v>430</v>
      </c>
      <c r="T143" s="304" t="s">
        <v>884</v>
      </c>
      <c r="U143" s="305">
        <v>553638.53</v>
      </c>
      <c r="V143" s="305">
        <f t="shared" si="10"/>
        <v>49827.47</v>
      </c>
      <c r="W143" s="306">
        <f t="shared" si="11"/>
        <v>603466</v>
      </c>
      <c r="X143" s="271">
        <f t="shared" si="8"/>
        <v>553638.53</v>
      </c>
      <c r="Y143" s="271">
        <f t="shared" si="9"/>
        <v>3631.13</v>
      </c>
      <c r="Z143" s="154"/>
    </row>
    <row r="144" s="243" customFormat="1" ht="22" customHeight="1" outlineLevel="2" spans="1:26">
      <c r="A144" s="154" t="s">
        <v>885</v>
      </c>
      <c r="B144" s="259">
        <v>24</v>
      </c>
      <c r="C144" s="259">
        <v>1</v>
      </c>
      <c r="D144" s="154">
        <v>3</v>
      </c>
      <c r="E144" s="263" t="s">
        <v>886</v>
      </c>
      <c r="F144" s="259" t="s">
        <v>188</v>
      </c>
      <c r="G144" s="154" t="s">
        <v>257</v>
      </c>
      <c r="H144" s="154" t="s">
        <v>427</v>
      </c>
      <c r="I144" s="154" t="s">
        <v>334</v>
      </c>
      <c r="J144" s="269">
        <v>20190003028</v>
      </c>
      <c r="K144" s="288">
        <v>43724</v>
      </c>
      <c r="L144" s="271">
        <v>592050</v>
      </c>
      <c r="M144" s="289" t="s">
        <v>887</v>
      </c>
      <c r="N144" s="271"/>
      <c r="O144" s="271"/>
      <c r="P144" s="290">
        <v>151.98</v>
      </c>
      <c r="Q144" s="271"/>
      <c r="R144" s="154"/>
      <c r="S144" s="189" t="s">
        <v>430</v>
      </c>
      <c r="T144" s="309" t="s">
        <v>888</v>
      </c>
      <c r="U144" s="305">
        <v>543165.14</v>
      </c>
      <c r="V144" s="305">
        <f t="shared" si="10"/>
        <v>48884.86</v>
      </c>
      <c r="W144" s="306">
        <f t="shared" si="11"/>
        <v>592050</v>
      </c>
      <c r="X144" s="271">
        <f t="shared" si="8"/>
        <v>543165.14</v>
      </c>
      <c r="Y144" s="271">
        <f t="shared" si="9"/>
        <v>3573.93</v>
      </c>
      <c r="Z144" s="154"/>
    </row>
    <row r="145" s="243" customFormat="1" ht="22" customHeight="1" outlineLevel="2" spans="1:26">
      <c r="A145" s="154" t="s">
        <v>889</v>
      </c>
      <c r="B145" s="259">
        <v>24</v>
      </c>
      <c r="C145" s="259">
        <v>1</v>
      </c>
      <c r="D145" s="154">
        <v>4</v>
      </c>
      <c r="E145" s="263" t="s">
        <v>890</v>
      </c>
      <c r="F145" s="259" t="s">
        <v>188</v>
      </c>
      <c r="G145" s="154" t="s">
        <v>257</v>
      </c>
      <c r="H145" s="154" t="s">
        <v>427</v>
      </c>
      <c r="I145" s="154" t="s">
        <v>334</v>
      </c>
      <c r="J145" s="269">
        <v>20190002996</v>
      </c>
      <c r="K145" s="288">
        <v>43724</v>
      </c>
      <c r="L145" s="271">
        <v>610708</v>
      </c>
      <c r="M145" s="289" t="s">
        <v>891</v>
      </c>
      <c r="N145" s="271"/>
      <c r="O145" s="271"/>
      <c r="P145" s="290">
        <v>152.47</v>
      </c>
      <c r="Q145" s="271"/>
      <c r="R145" s="154"/>
      <c r="S145" s="189" t="s">
        <v>430</v>
      </c>
      <c r="T145" s="304" t="s">
        <v>892</v>
      </c>
      <c r="U145" s="305">
        <v>560282.57</v>
      </c>
      <c r="V145" s="305">
        <f t="shared" si="10"/>
        <v>50425.4300000001</v>
      </c>
      <c r="W145" s="306">
        <f t="shared" si="11"/>
        <v>610708</v>
      </c>
      <c r="X145" s="271">
        <f t="shared" si="8"/>
        <v>560282.57</v>
      </c>
      <c r="Y145" s="271">
        <f t="shared" si="9"/>
        <v>3674.71</v>
      </c>
      <c r="Z145" s="154"/>
    </row>
    <row r="146" s="243" customFormat="1" ht="22" customHeight="1" outlineLevel="2" spans="1:26">
      <c r="A146" s="154" t="s">
        <v>893</v>
      </c>
      <c r="B146" s="259">
        <v>24</v>
      </c>
      <c r="C146" s="259">
        <v>1</v>
      </c>
      <c r="D146" s="154">
        <v>4</v>
      </c>
      <c r="E146" s="263" t="s">
        <v>894</v>
      </c>
      <c r="F146" s="259" t="s">
        <v>188</v>
      </c>
      <c r="G146" s="154" t="s">
        <v>257</v>
      </c>
      <c r="H146" s="154" t="s">
        <v>427</v>
      </c>
      <c r="I146" s="154" t="s">
        <v>334</v>
      </c>
      <c r="J146" s="269">
        <v>20190003009</v>
      </c>
      <c r="K146" s="288">
        <v>43724</v>
      </c>
      <c r="L146" s="271">
        <v>599413</v>
      </c>
      <c r="M146" s="289" t="s">
        <v>895</v>
      </c>
      <c r="N146" s="271"/>
      <c r="O146" s="271"/>
      <c r="P146" s="290">
        <v>151.98</v>
      </c>
      <c r="Q146" s="271"/>
      <c r="R146" s="154"/>
      <c r="S146" s="189" t="s">
        <v>430</v>
      </c>
      <c r="T146" s="308" t="s">
        <v>896</v>
      </c>
      <c r="U146" s="305">
        <v>549920.18</v>
      </c>
      <c r="V146" s="305">
        <f t="shared" si="10"/>
        <v>49492.8199999999</v>
      </c>
      <c r="W146" s="306">
        <f t="shared" si="11"/>
        <v>599413</v>
      </c>
      <c r="X146" s="271">
        <f t="shared" si="8"/>
        <v>549920.18</v>
      </c>
      <c r="Y146" s="271">
        <f t="shared" si="9"/>
        <v>3618.37</v>
      </c>
      <c r="Z146" s="154"/>
    </row>
    <row r="147" s="243" customFormat="1" ht="22" customHeight="1" outlineLevel="2" spans="1:26">
      <c r="A147" s="154" t="s">
        <v>897</v>
      </c>
      <c r="B147" s="259">
        <v>24</v>
      </c>
      <c r="C147" s="259">
        <v>1</v>
      </c>
      <c r="D147" s="154">
        <v>5</v>
      </c>
      <c r="E147" s="263" t="s">
        <v>898</v>
      </c>
      <c r="F147" s="259" t="s">
        <v>188</v>
      </c>
      <c r="G147" s="154" t="s">
        <v>257</v>
      </c>
      <c r="H147" s="154" t="s">
        <v>427</v>
      </c>
      <c r="I147" s="154" t="s">
        <v>334</v>
      </c>
      <c r="J147" s="269">
        <v>20190005255</v>
      </c>
      <c r="K147" s="288">
        <v>43771</v>
      </c>
      <c r="L147" s="271">
        <v>632900</v>
      </c>
      <c r="M147" s="289" t="s">
        <v>899</v>
      </c>
      <c r="N147" s="271"/>
      <c r="O147" s="271"/>
      <c r="P147" s="290">
        <v>152.47</v>
      </c>
      <c r="Q147" s="271"/>
      <c r="R147" s="154"/>
      <c r="S147" s="189" t="s">
        <v>430</v>
      </c>
      <c r="T147" s="547" t="s">
        <v>900</v>
      </c>
      <c r="U147" s="305">
        <v>580642.2</v>
      </c>
      <c r="V147" s="305">
        <f t="shared" si="10"/>
        <v>52257.8</v>
      </c>
      <c r="W147" s="306">
        <f t="shared" si="11"/>
        <v>632900</v>
      </c>
      <c r="X147" s="271">
        <f t="shared" si="8"/>
        <v>580642.2</v>
      </c>
      <c r="Y147" s="271">
        <f t="shared" si="9"/>
        <v>3808.24</v>
      </c>
      <c r="Z147" s="154"/>
    </row>
    <row r="148" s="243" customFormat="1" ht="22" customHeight="1" outlineLevel="2" spans="1:26">
      <c r="A148" s="154" t="s">
        <v>901</v>
      </c>
      <c r="B148" s="259">
        <v>24</v>
      </c>
      <c r="C148" s="259">
        <v>1</v>
      </c>
      <c r="D148" s="154">
        <v>5</v>
      </c>
      <c r="E148" s="263" t="s">
        <v>902</v>
      </c>
      <c r="F148" s="259" t="s">
        <v>188</v>
      </c>
      <c r="G148" s="154" t="s">
        <v>257</v>
      </c>
      <c r="H148" s="154" t="s">
        <v>427</v>
      </c>
      <c r="I148" s="154" t="s">
        <v>334</v>
      </c>
      <c r="J148" s="269" t="s">
        <v>903</v>
      </c>
      <c r="K148" s="288">
        <v>43722</v>
      </c>
      <c r="L148" s="271">
        <v>606633</v>
      </c>
      <c r="M148" s="289" t="s">
        <v>904</v>
      </c>
      <c r="N148" s="271"/>
      <c r="O148" s="271"/>
      <c r="P148" s="290">
        <v>151.98</v>
      </c>
      <c r="Q148" s="271"/>
      <c r="R148" s="154"/>
      <c r="S148" s="189" t="s">
        <v>430</v>
      </c>
      <c r="T148" s="548" t="s">
        <v>905</v>
      </c>
      <c r="U148" s="305">
        <v>556544.04</v>
      </c>
      <c r="V148" s="305">
        <f t="shared" si="10"/>
        <v>50088.96</v>
      </c>
      <c r="W148" s="306">
        <f t="shared" si="11"/>
        <v>606633</v>
      </c>
      <c r="X148" s="271">
        <f t="shared" si="8"/>
        <v>556544.04</v>
      </c>
      <c r="Y148" s="271">
        <f t="shared" si="9"/>
        <v>3661.96</v>
      </c>
      <c r="Z148" s="154"/>
    </row>
    <row r="149" s="243" customFormat="1" ht="22" customHeight="1" outlineLevel="2" spans="1:26">
      <c r="A149" s="154" t="s">
        <v>906</v>
      </c>
      <c r="B149" s="259">
        <v>24</v>
      </c>
      <c r="C149" s="259">
        <v>1</v>
      </c>
      <c r="D149" s="154">
        <v>6</v>
      </c>
      <c r="E149" s="263" t="s">
        <v>907</v>
      </c>
      <c r="F149" s="259" t="s">
        <v>188</v>
      </c>
      <c r="G149" s="154" t="s">
        <v>257</v>
      </c>
      <c r="H149" s="154" t="s">
        <v>427</v>
      </c>
      <c r="I149" s="154" t="s">
        <v>334</v>
      </c>
      <c r="J149" s="269">
        <v>20190003086</v>
      </c>
      <c r="K149" s="288">
        <v>43725</v>
      </c>
      <c r="L149" s="271">
        <v>631226</v>
      </c>
      <c r="M149" s="289" t="s">
        <v>908</v>
      </c>
      <c r="N149" s="271"/>
      <c r="O149" s="271"/>
      <c r="P149" s="290">
        <v>152.47</v>
      </c>
      <c r="Q149" s="271"/>
      <c r="R149" s="154"/>
      <c r="S149" s="189" t="s">
        <v>430</v>
      </c>
      <c r="T149" s="547" t="s">
        <v>909</v>
      </c>
      <c r="U149" s="305">
        <v>579106.42</v>
      </c>
      <c r="V149" s="305">
        <f t="shared" si="10"/>
        <v>52119.58</v>
      </c>
      <c r="W149" s="306">
        <f t="shared" si="11"/>
        <v>631226</v>
      </c>
      <c r="X149" s="271">
        <f t="shared" si="8"/>
        <v>579106.42</v>
      </c>
      <c r="Y149" s="271">
        <f t="shared" si="9"/>
        <v>3798.17</v>
      </c>
      <c r="Z149" s="154"/>
    </row>
    <row r="150" s="243" customFormat="1" ht="22" customHeight="1" outlineLevel="2" spans="1:26">
      <c r="A150" s="154" t="s">
        <v>910</v>
      </c>
      <c r="B150" s="259">
        <v>24</v>
      </c>
      <c r="C150" s="259">
        <v>1</v>
      </c>
      <c r="D150" s="154">
        <v>6</v>
      </c>
      <c r="E150" s="263" t="s">
        <v>911</v>
      </c>
      <c r="F150" s="259" t="s">
        <v>188</v>
      </c>
      <c r="G150" s="154" t="s">
        <v>257</v>
      </c>
      <c r="H150" s="154" t="s">
        <v>427</v>
      </c>
      <c r="I150" s="154" t="s">
        <v>334</v>
      </c>
      <c r="J150" s="269">
        <v>20190004458</v>
      </c>
      <c r="K150" s="288">
        <v>43755</v>
      </c>
      <c r="L150" s="271">
        <v>613995</v>
      </c>
      <c r="M150" s="289" t="s">
        <v>912</v>
      </c>
      <c r="N150" s="271"/>
      <c r="O150" s="271"/>
      <c r="P150" s="290">
        <v>151.98</v>
      </c>
      <c r="Q150" s="271"/>
      <c r="R150" s="154"/>
      <c r="S150" s="189" t="s">
        <v>430</v>
      </c>
      <c r="T150" s="304" t="s">
        <v>913</v>
      </c>
      <c r="U150" s="305">
        <v>563298.17</v>
      </c>
      <c r="V150" s="305">
        <f t="shared" si="10"/>
        <v>50696.83</v>
      </c>
      <c r="W150" s="306">
        <f t="shared" si="11"/>
        <v>613995</v>
      </c>
      <c r="X150" s="271">
        <f t="shared" si="8"/>
        <v>563298.17</v>
      </c>
      <c r="Y150" s="271">
        <f t="shared" si="9"/>
        <v>3706.4</v>
      </c>
      <c r="Z150" s="154"/>
    </row>
    <row r="151" s="243" customFormat="1" ht="22" customHeight="1" outlineLevel="2" spans="1:26">
      <c r="A151" s="154" t="s">
        <v>914</v>
      </c>
      <c r="B151" s="259">
        <v>24</v>
      </c>
      <c r="C151" s="259">
        <v>1</v>
      </c>
      <c r="D151" s="154">
        <v>7</v>
      </c>
      <c r="E151" s="263" t="s">
        <v>915</v>
      </c>
      <c r="F151" s="259" t="s">
        <v>188</v>
      </c>
      <c r="G151" s="154" t="s">
        <v>257</v>
      </c>
      <c r="H151" s="154" t="s">
        <v>427</v>
      </c>
      <c r="I151" s="154" t="s">
        <v>334</v>
      </c>
      <c r="J151" s="269" t="s">
        <v>916</v>
      </c>
      <c r="K151" s="288">
        <v>43808</v>
      </c>
      <c r="L151" s="271">
        <v>628939</v>
      </c>
      <c r="M151" s="289" t="s">
        <v>917</v>
      </c>
      <c r="N151" s="271"/>
      <c r="O151" s="271"/>
      <c r="P151" s="290">
        <v>152.47</v>
      </c>
      <c r="Q151" s="271"/>
      <c r="R151" s="154"/>
      <c r="S151" s="189" t="s">
        <v>430</v>
      </c>
      <c r="T151" s="304" t="s">
        <v>918</v>
      </c>
      <c r="U151" s="305">
        <v>577008.26</v>
      </c>
      <c r="V151" s="305">
        <f t="shared" si="10"/>
        <v>51930.74</v>
      </c>
      <c r="W151" s="306">
        <f t="shared" si="11"/>
        <v>628939</v>
      </c>
      <c r="X151" s="271">
        <f t="shared" si="8"/>
        <v>577008.26</v>
      </c>
      <c r="Y151" s="271">
        <f t="shared" si="9"/>
        <v>3784.41</v>
      </c>
      <c r="Z151" s="154"/>
    </row>
    <row r="152" s="243" customFormat="1" ht="22" customHeight="1" outlineLevel="2" spans="1:26">
      <c r="A152" s="154" t="s">
        <v>919</v>
      </c>
      <c r="B152" s="259">
        <v>24</v>
      </c>
      <c r="C152" s="259">
        <v>1</v>
      </c>
      <c r="D152" s="154">
        <v>7</v>
      </c>
      <c r="E152" s="263" t="s">
        <v>920</v>
      </c>
      <c r="F152" s="259" t="s">
        <v>188</v>
      </c>
      <c r="G152" s="154" t="s">
        <v>257</v>
      </c>
      <c r="H152" s="154" t="s">
        <v>427</v>
      </c>
      <c r="I152" s="154" t="s">
        <v>334</v>
      </c>
      <c r="J152" s="269">
        <v>20190006631</v>
      </c>
      <c r="K152" s="288">
        <v>43800</v>
      </c>
      <c r="L152" s="271">
        <v>632540</v>
      </c>
      <c r="M152" s="289" t="s">
        <v>921</v>
      </c>
      <c r="N152" s="271"/>
      <c r="O152" s="271"/>
      <c r="P152" s="290">
        <v>151.98</v>
      </c>
      <c r="Q152" s="271"/>
      <c r="R152" s="154"/>
      <c r="S152" s="189" t="s">
        <v>430</v>
      </c>
      <c r="T152" s="304" t="s">
        <v>922</v>
      </c>
      <c r="U152" s="305">
        <v>580311.93</v>
      </c>
      <c r="V152" s="305">
        <f t="shared" si="10"/>
        <v>52228.0699999999</v>
      </c>
      <c r="W152" s="306">
        <f t="shared" si="11"/>
        <v>632540</v>
      </c>
      <c r="X152" s="271">
        <f t="shared" si="8"/>
        <v>580311.93</v>
      </c>
      <c r="Y152" s="271">
        <f t="shared" si="9"/>
        <v>3818.34</v>
      </c>
      <c r="Z152" s="154"/>
    </row>
    <row r="153" s="243" customFormat="1" ht="22" customHeight="1" outlineLevel="2" spans="1:26">
      <c r="A153" s="154" t="s">
        <v>923</v>
      </c>
      <c r="B153" s="259">
        <v>24</v>
      </c>
      <c r="C153" s="259">
        <v>1</v>
      </c>
      <c r="D153" s="154">
        <v>8</v>
      </c>
      <c r="E153" s="263" t="s">
        <v>924</v>
      </c>
      <c r="F153" s="259" t="s">
        <v>188</v>
      </c>
      <c r="G153" s="154" t="s">
        <v>257</v>
      </c>
      <c r="H153" s="154" t="s">
        <v>427</v>
      </c>
      <c r="I153" s="154" t="s">
        <v>334</v>
      </c>
      <c r="J153" s="269">
        <v>20190002675</v>
      </c>
      <c r="K153" s="288">
        <v>43716</v>
      </c>
      <c r="L153" s="271">
        <v>603466</v>
      </c>
      <c r="M153" s="289" t="s">
        <v>925</v>
      </c>
      <c r="N153" s="271"/>
      <c r="O153" s="271"/>
      <c r="P153" s="290">
        <v>152.47</v>
      </c>
      <c r="Q153" s="271"/>
      <c r="R153" s="154"/>
      <c r="S153" s="189" t="s">
        <v>430</v>
      </c>
      <c r="T153" s="304" t="s">
        <v>926</v>
      </c>
      <c r="U153" s="305">
        <v>553638.53</v>
      </c>
      <c r="V153" s="305">
        <f t="shared" si="10"/>
        <v>49827.47</v>
      </c>
      <c r="W153" s="306">
        <f t="shared" si="11"/>
        <v>603466</v>
      </c>
      <c r="X153" s="271">
        <f t="shared" si="8"/>
        <v>553638.53</v>
      </c>
      <c r="Y153" s="271">
        <f t="shared" si="9"/>
        <v>3631.13</v>
      </c>
      <c r="Z153" s="154"/>
    </row>
    <row r="154" s="243" customFormat="1" ht="22" customHeight="1" outlineLevel="2" spans="1:26">
      <c r="A154" s="154" t="s">
        <v>927</v>
      </c>
      <c r="B154" s="259">
        <v>24</v>
      </c>
      <c r="C154" s="259">
        <v>1</v>
      </c>
      <c r="D154" s="154">
        <v>8</v>
      </c>
      <c r="E154" s="263" t="s">
        <v>928</v>
      </c>
      <c r="F154" s="259" t="s">
        <v>188</v>
      </c>
      <c r="G154" s="154" t="s">
        <v>257</v>
      </c>
      <c r="H154" s="154" t="s">
        <v>427</v>
      </c>
      <c r="I154" s="154" t="s">
        <v>334</v>
      </c>
      <c r="J154" s="269">
        <v>20190002676</v>
      </c>
      <c r="K154" s="288">
        <v>43716</v>
      </c>
      <c r="L154" s="271">
        <v>592050</v>
      </c>
      <c r="M154" s="289" t="s">
        <v>929</v>
      </c>
      <c r="N154" s="271"/>
      <c r="O154" s="271"/>
      <c r="P154" s="290">
        <v>151.98</v>
      </c>
      <c r="Q154" s="271"/>
      <c r="R154" s="154"/>
      <c r="S154" s="189" t="s">
        <v>430</v>
      </c>
      <c r="T154" s="309" t="s">
        <v>930</v>
      </c>
      <c r="U154" s="305">
        <v>543165.14</v>
      </c>
      <c r="V154" s="305">
        <f t="shared" si="10"/>
        <v>48884.86</v>
      </c>
      <c r="W154" s="306">
        <f t="shared" si="11"/>
        <v>592050</v>
      </c>
      <c r="X154" s="271">
        <f t="shared" si="8"/>
        <v>543165.14</v>
      </c>
      <c r="Y154" s="271">
        <f t="shared" si="9"/>
        <v>3573.93</v>
      </c>
      <c r="Z154" s="154"/>
    </row>
    <row r="155" s="243" customFormat="1" ht="22" customHeight="1" outlineLevel="2" spans="1:26">
      <c r="A155" s="154" t="s">
        <v>931</v>
      </c>
      <c r="B155" s="259">
        <v>24</v>
      </c>
      <c r="C155" s="259">
        <v>2</v>
      </c>
      <c r="D155" s="154">
        <v>1</v>
      </c>
      <c r="E155" s="263" t="s">
        <v>932</v>
      </c>
      <c r="F155" s="259" t="s">
        <v>188</v>
      </c>
      <c r="G155" s="154" t="s">
        <v>257</v>
      </c>
      <c r="H155" s="154" t="s">
        <v>427</v>
      </c>
      <c r="I155" s="154" t="s">
        <v>334</v>
      </c>
      <c r="J155" s="269" t="s">
        <v>933</v>
      </c>
      <c r="K155" s="288">
        <v>44180</v>
      </c>
      <c r="L155" s="271">
        <v>1150000</v>
      </c>
      <c r="M155" s="289" t="s">
        <v>934</v>
      </c>
      <c r="N155" s="271"/>
      <c r="O155" s="271"/>
      <c r="P155" s="290">
        <v>151.98</v>
      </c>
      <c r="Q155" s="271"/>
      <c r="R155" s="154"/>
      <c r="S155" s="189" t="s">
        <v>430</v>
      </c>
      <c r="T155" s="304" t="s">
        <v>935</v>
      </c>
      <c r="U155" s="305">
        <v>1055045.88</v>
      </c>
      <c r="V155" s="305">
        <f t="shared" si="10"/>
        <v>94954.1200000001</v>
      </c>
      <c r="W155" s="306">
        <f t="shared" si="11"/>
        <v>1150000</v>
      </c>
      <c r="X155" s="271">
        <f t="shared" si="8"/>
        <v>1055045.88</v>
      </c>
      <c r="Y155" s="271">
        <f t="shared" si="9"/>
        <v>6942</v>
      </c>
      <c r="Z155" s="154"/>
    </row>
    <row r="156" s="243" customFormat="1" ht="22" customHeight="1" outlineLevel="2" spans="1:26">
      <c r="A156" s="154" t="s">
        <v>936</v>
      </c>
      <c r="B156" s="259">
        <v>24</v>
      </c>
      <c r="C156" s="259">
        <v>2</v>
      </c>
      <c r="D156" s="154">
        <v>1</v>
      </c>
      <c r="E156" s="263" t="s">
        <v>937</v>
      </c>
      <c r="F156" s="259" t="s">
        <v>188</v>
      </c>
      <c r="G156" s="154" t="s">
        <v>257</v>
      </c>
      <c r="H156" s="154" t="s">
        <v>427</v>
      </c>
      <c r="I156" s="154" t="s">
        <v>334</v>
      </c>
      <c r="J156" s="269">
        <v>20190003554</v>
      </c>
      <c r="K156" s="288">
        <v>43732</v>
      </c>
      <c r="L156" s="271">
        <v>1068050</v>
      </c>
      <c r="M156" s="289" t="s">
        <v>938</v>
      </c>
      <c r="N156" s="271"/>
      <c r="O156" s="271"/>
      <c r="P156" s="290">
        <v>152.37</v>
      </c>
      <c r="Q156" s="271"/>
      <c r="R156" s="154"/>
      <c r="S156" s="189" t="s">
        <v>430</v>
      </c>
      <c r="T156" s="309" t="s">
        <v>939</v>
      </c>
      <c r="U156" s="305">
        <v>979862.39</v>
      </c>
      <c r="V156" s="305">
        <f t="shared" si="10"/>
        <v>88187.61</v>
      </c>
      <c r="W156" s="306">
        <f t="shared" si="11"/>
        <v>1068050</v>
      </c>
      <c r="X156" s="271">
        <f t="shared" si="8"/>
        <v>979862.39</v>
      </c>
      <c r="Y156" s="271">
        <f t="shared" si="9"/>
        <v>6430.81</v>
      </c>
      <c r="Z156" s="154"/>
    </row>
    <row r="157" s="243" customFormat="1" ht="22" customHeight="1" outlineLevel="2" spans="1:26">
      <c r="A157" s="154" t="s">
        <v>940</v>
      </c>
      <c r="B157" s="259">
        <v>24</v>
      </c>
      <c r="C157" s="259">
        <v>2</v>
      </c>
      <c r="D157" s="154">
        <v>2</v>
      </c>
      <c r="E157" s="263" t="s">
        <v>941</v>
      </c>
      <c r="F157" s="259" t="s">
        <v>188</v>
      </c>
      <c r="G157" s="154" t="s">
        <v>257</v>
      </c>
      <c r="H157" s="154" t="s">
        <v>427</v>
      </c>
      <c r="I157" s="154" t="s">
        <v>334</v>
      </c>
      <c r="J157" s="269">
        <v>20190002549</v>
      </c>
      <c r="K157" s="288">
        <v>43712</v>
      </c>
      <c r="L157" s="271">
        <v>584830</v>
      </c>
      <c r="M157" s="289" t="s">
        <v>942</v>
      </c>
      <c r="N157" s="271"/>
      <c r="O157" s="271"/>
      <c r="P157" s="290">
        <v>151.98</v>
      </c>
      <c r="Q157" s="271"/>
      <c r="R157" s="154"/>
      <c r="S157" s="189" t="s">
        <v>430</v>
      </c>
      <c r="T157" s="309" t="s">
        <v>943</v>
      </c>
      <c r="U157" s="305">
        <v>536541.28</v>
      </c>
      <c r="V157" s="305">
        <f t="shared" si="10"/>
        <v>48288.72</v>
      </c>
      <c r="W157" s="306">
        <f t="shared" si="11"/>
        <v>584830</v>
      </c>
      <c r="X157" s="271">
        <f t="shared" si="8"/>
        <v>536541.28</v>
      </c>
      <c r="Y157" s="271">
        <f t="shared" si="9"/>
        <v>3530.34</v>
      </c>
      <c r="Z157" s="154"/>
    </row>
    <row r="158" s="243" customFormat="1" ht="22" customHeight="1" outlineLevel="2" spans="1:26">
      <c r="A158" s="154" t="s">
        <v>944</v>
      </c>
      <c r="B158" s="259">
        <v>24</v>
      </c>
      <c r="C158" s="259">
        <v>2</v>
      </c>
      <c r="D158" s="154">
        <v>2</v>
      </c>
      <c r="E158" s="263" t="s">
        <v>945</v>
      </c>
      <c r="F158" s="259" t="s">
        <v>188</v>
      </c>
      <c r="G158" s="154" t="s">
        <v>257</v>
      </c>
      <c r="H158" s="154" t="s">
        <v>427</v>
      </c>
      <c r="I158" s="154" t="s">
        <v>334</v>
      </c>
      <c r="J158" s="269">
        <v>20190006396</v>
      </c>
      <c r="K158" s="288">
        <v>43795</v>
      </c>
      <c r="L158" s="271">
        <v>600134</v>
      </c>
      <c r="M158" s="289" t="s">
        <v>946</v>
      </c>
      <c r="N158" s="271"/>
      <c r="O158" s="271"/>
      <c r="P158" s="290">
        <v>152.47</v>
      </c>
      <c r="Q158" s="271"/>
      <c r="R158" s="154"/>
      <c r="S158" s="189" t="s">
        <v>430</v>
      </c>
      <c r="T158" s="309" t="s">
        <v>947</v>
      </c>
      <c r="U158" s="305">
        <v>550581.65</v>
      </c>
      <c r="V158" s="305">
        <f t="shared" si="10"/>
        <v>49552.35</v>
      </c>
      <c r="W158" s="306">
        <f t="shared" si="11"/>
        <v>600134</v>
      </c>
      <c r="X158" s="271">
        <f t="shared" si="8"/>
        <v>550581.65</v>
      </c>
      <c r="Y158" s="271">
        <f t="shared" si="9"/>
        <v>3611.08</v>
      </c>
      <c r="Z158" s="154"/>
    </row>
    <row r="159" s="243" customFormat="1" ht="22" customHeight="1" outlineLevel="2" spans="1:26">
      <c r="A159" s="154" t="s">
        <v>948</v>
      </c>
      <c r="B159" s="259">
        <v>24</v>
      </c>
      <c r="C159" s="259">
        <v>2</v>
      </c>
      <c r="D159" s="154">
        <v>3</v>
      </c>
      <c r="E159" s="263" t="s">
        <v>949</v>
      </c>
      <c r="F159" s="259" t="s">
        <v>188</v>
      </c>
      <c r="G159" s="154" t="s">
        <v>257</v>
      </c>
      <c r="H159" s="154" t="s">
        <v>427</v>
      </c>
      <c r="I159" s="154" t="s">
        <v>334</v>
      </c>
      <c r="J159" s="269">
        <v>20190003332</v>
      </c>
      <c r="K159" s="288">
        <v>43727</v>
      </c>
      <c r="L159" s="271">
        <v>592050</v>
      </c>
      <c r="M159" s="289" t="s">
        <v>950</v>
      </c>
      <c r="N159" s="271"/>
      <c r="O159" s="271"/>
      <c r="P159" s="290">
        <v>151.98</v>
      </c>
      <c r="Q159" s="271"/>
      <c r="R159" s="154"/>
      <c r="S159" s="189" t="s">
        <v>430</v>
      </c>
      <c r="T159" s="308" t="s">
        <v>951</v>
      </c>
      <c r="U159" s="305">
        <v>543165.14</v>
      </c>
      <c r="V159" s="305">
        <f t="shared" si="10"/>
        <v>48884.86</v>
      </c>
      <c r="W159" s="306">
        <f t="shared" si="11"/>
        <v>592050</v>
      </c>
      <c r="X159" s="271">
        <f t="shared" si="8"/>
        <v>543165.14</v>
      </c>
      <c r="Y159" s="271">
        <f t="shared" si="9"/>
        <v>3573.93</v>
      </c>
      <c r="Z159" s="154"/>
    </row>
    <row r="160" s="243" customFormat="1" ht="22" customHeight="1" outlineLevel="2" spans="1:26">
      <c r="A160" s="154" t="s">
        <v>952</v>
      </c>
      <c r="B160" s="259">
        <v>24</v>
      </c>
      <c r="C160" s="259">
        <v>2</v>
      </c>
      <c r="D160" s="154">
        <v>3</v>
      </c>
      <c r="E160" s="263" t="s">
        <v>953</v>
      </c>
      <c r="F160" s="259" t="s">
        <v>188</v>
      </c>
      <c r="G160" s="154" t="s">
        <v>257</v>
      </c>
      <c r="H160" s="154" t="s">
        <v>427</v>
      </c>
      <c r="I160" s="154" t="s">
        <v>334</v>
      </c>
      <c r="J160" s="269" t="s">
        <v>954</v>
      </c>
      <c r="K160" s="288">
        <v>43782</v>
      </c>
      <c r="L160" s="271">
        <v>607521</v>
      </c>
      <c r="M160" s="289" t="s">
        <v>955</v>
      </c>
      <c r="N160" s="271"/>
      <c r="O160" s="271"/>
      <c r="P160" s="290">
        <v>152.47</v>
      </c>
      <c r="Q160" s="271"/>
      <c r="R160" s="154"/>
      <c r="S160" s="189" t="s">
        <v>430</v>
      </c>
      <c r="T160" s="304" t="s">
        <v>956</v>
      </c>
      <c r="U160" s="305">
        <v>557358.72</v>
      </c>
      <c r="V160" s="305">
        <f t="shared" si="10"/>
        <v>50162.28</v>
      </c>
      <c r="W160" s="306">
        <f t="shared" si="11"/>
        <v>607521</v>
      </c>
      <c r="X160" s="271">
        <f t="shared" si="8"/>
        <v>557358.72</v>
      </c>
      <c r="Y160" s="271">
        <f t="shared" si="9"/>
        <v>3655.53</v>
      </c>
      <c r="Z160" s="154"/>
    </row>
    <row r="161" s="243" customFormat="1" ht="22" customHeight="1" outlineLevel="2" spans="1:26">
      <c r="A161" s="154" t="s">
        <v>957</v>
      </c>
      <c r="B161" s="259">
        <v>24</v>
      </c>
      <c r="C161" s="259">
        <v>2</v>
      </c>
      <c r="D161" s="154">
        <v>4</v>
      </c>
      <c r="E161" s="263" t="s">
        <v>958</v>
      </c>
      <c r="F161" s="259" t="s">
        <v>188</v>
      </c>
      <c r="G161" s="154" t="s">
        <v>257</v>
      </c>
      <c r="H161" s="154" t="s">
        <v>427</v>
      </c>
      <c r="I161" s="154" t="s">
        <v>334</v>
      </c>
      <c r="J161" s="269">
        <v>20190003393</v>
      </c>
      <c r="K161" s="288">
        <v>43728</v>
      </c>
      <c r="L161" s="271">
        <v>599414</v>
      </c>
      <c r="M161" s="289" t="s">
        <v>959</v>
      </c>
      <c r="N161" s="271"/>
      <c r="O161" s="271"/>
      <c r="P161" s="290">
        <v>151.98</v>
      </c>
      <c r="Q161" s="271"/>
      <c r="R161" s="154"/>
      <c r="S161" s="189" t="s">
        <v>430</v>
      </c>
      <c r="T161" s="304" t="s">
        <v>960</v>
      </c>
      <c r="U161" s="305">
        <v>549921.1</v>
      </c>
      <c r="V161" s="305">
        <f t="shared" si="10"/>
        <v>49492.9</v>
      </c>
      <c r="W161" s="306">
        <f t="shared" si="11"/>
        <v>599414</v>
      </c>
      <c r="X161" s="271">
        <f t="shared" si="8"/>
        <v>549921.1</v>
      </c>
      <c r="Y161" s="271">
        <f t="shared" si="9"/>
        <v>3618.38</v>
      </c>
      <c r="Z161" s="154"/>
    </row>
    <row r="162" s="243" customFormat="1" ht="22" customHeight="1" outlineLevel="2" spans="1:26">
      <c r="A162" s="154" t="s">
        <v>961</v>
      </c>
      <c r="B162" s="259">
        <v>24</v>
      </c>
      <c r="C162" s="259">
        <v>2</v>
      </c>
      <c r="D162" s="154">
        <v>4</v>
      </c>
      <c r="E162" s="263" t="s">
        <v>962</v>
      </c>
      <c r="F162" s="259" t="s">
        <v>188</v>
      </c>
      <c r="G162" s="154" t="s">
        <v>257</v>
      </c>
      <c r="H162" s="154" t="s">
        <v>427</v>
      </c>
      <c r="I162" s="154" t="s">
        <v>334</v>
      </c>
      <c r="J162" s="269">
        <v>20190004433</v>
      </c>
      <c r="K162" s="288">
        <v>43754</v>
      </c>
      <c r="L162" s="271">
        <v>624488</v>
      </c>
      <c r="M162" s="289" t="s">
        <v>963</v>
      </c>
      <c r="N162" s="271"/>
      <c r="O162" s="271"/>
      <c r="P162" s="290">
        <v>152.47</v>
      </c>
      <c r="Q162" s="271"/>
      <c r="R162" s="154"/>
      <c r="S162" s="189" t="s">
        <v>430</v>
      </c>
      <c r="T162" s="309" t="s">
        <v>964</v>
      </c>
      <c r="U162" s="305">
        <v>572924.77</v>
      </c>
      <c r="V162" s="305">
        <f t="shared" si="10"/>
        <v>51563.23</v>
      </c>
      <c r="W162" s="306">
        <f t="shared" si="11"/>
        <v>624488</v>
      </c>
      <c r="X162" s="271">
        <f t="shared" si="8"/>
        <v>572924.77</v>
      </c>
      <c r="Y162" s="271">
        <f t="shared" si="9"/>
        <v>3757.62</v>
      </c>
      <c r="Z162" s="154"/>
    </row>
    <row r="163" s="243" customFormat="1" ht="22" customHeight="1" outlineLevel="2" spans="1:26">
      <c r="A163" s="154" t="s">
        <v>965</v>
      </c>
      <c r="B163" s="259">
        <v>24</v>
      </c>
      <c r="C163" s="259">
        <v>2</v>
      </c>
      <c r="D163" s="154">
        <v>5</v>
      </c>
      <c r="E163" s="263" t="s">
        <v>966</v>
      </c>
      <c r="F163" s="259" t="s">
        <v>188</v>
      </c>
      <c r="G163" s="154" t="s">
        <v>257</v>
      </c>
      <c r="H163" s="154" t="s">
        <v>427</v>
      </c>
      <c r="I163" s="154" t="s">
        <v>334</v>
      </c>
      <c r="J163" s="269" t="s">
        <v>967</v>
      </c>
      <c r="K163" s="288">
        <v>43768</v>
      </c>
      <c r="L163" s="271">
        <v>620000</v>
      </c>
      <c r="M163" s="289" t="s">
        <v>968</v>
      </c>
      <c r="N163" s="271"/>
      <c r="O163" s="271"/>
      <c r="P163" s="290">
        <v>151.98</v>
      </c>
      <c r="Q163" s="271"/>
      <c r="R163" s="154"/>
      <c r="S163" s="189" t="s">
        <v>430</v>
      </c>
      <c r="T163" s="308" t="s">
        <v>969</v>
      </c>
      <c r="U163" s="305">
        <v>568807.34</v>
      </c>
      <c r="V163" s="305">
        <f t="shared" si="10"/>
        <v>51192.66</v>
      </c>
      <c r="W163" s="306">
        <f t="shared" si="11"/>
        <v>620000</v>
      </c>
      <c r="X163" s="271">
        <f t="shared" si="8"/>
        <v>568807.34</v>
      </c>
      <c r="Y163" s="271">
        <f t="shared" si="9"/>
        <v>3742.65</v>
      </c>
      <c r="Z163" s="154"/>
    </row>
    <row r="164" s="243" customFormat="1" ht="22" customHeight="1" outlineLevel="2" spans="1:26">
      <c r="A164" s="154" t="s">
        <v>970</v>
      </c>
      <c r="B164" s="259">
        <v>24</v>
      </c>
      <c r="C164" s="259">
        <v>2</v>
      </c>
      <c r="D164" s="154">
        <v>5</v>
      </c>
      <c r="E164" s="263" t="s">
        <v>971</v>
      </c>
      <c r="F164" s="259" t="s">
        <v>188</v>
      </c>
      <c r="G164" s="154" t="s">
        <v>257</v>
      </c>
      <c r="H164" s="154" t="s">
        <v>427</v>
      </c>
      <c r="I164" s="154" t="s">
        <v>334</v>
      </c>
      <c r="J164" s="269">
        <v>20190003812</v>
      </c>
      <c r="K164" s="288">
        <v>43736</v>
      </c>
      <c r="L164" s="271">
        <v>630103</v>
      </c>
      <c r="M164" s="289" t="s">
        <v>972</v>
      </c>
      <c r="N164" s="271"/>
      <c r="O164" s="271"/>
      <c r="P164" s="290">
        <v>152.47</v>
      </c>
      <c r="Q164" s="271"/>
      <c r="R164" s="154"/>
      <c r="S164" s="189" t="s">
        <v>430</v>
      </c>
      <c r="T164" s="547" t="s">
        <v>973</v>
      </c>
      <c r="U164" s="305">
        <v>578076.15</v>
      </c>
      <c r="V164" s="305">
        <f t="shared" si="10"/>
        <v>52026.85</v>
      </c>
      <c r="W164" s="306">
        <f t="shared" si="11"/>
        <v>630103</v>
      </c>
      <c r="X164" s="271">
        <f t="shared" si="8"/>
        <v>578076.15</v>
      </c>
      <c r="Y164" s="271">
        <f t="shared" si="9"/>
        <v>3791.41</v>
      </c>
      <c r="Z164" s="154"/>
    </row>
    <row r="165" s="243" customFormat="1" ht="22" customHeight="1" outlineLevel="2" spans="1:26">
      <c r="A165" s="154" t="s">
        <v>974</v>
      </c>
      <c r="B165" s="259">
        <v>24</v>
      </c>
      <c r="C165" s="259">
        <v>2</v>
      </c>
      <c r="D165" s="154">
        <v>6</v>
      </c>
      <c r="E165" s="263" t="s">
        <v>975</v>
      </c>
      <c r="F165" s="259" t="s">
        <v>188</v>
      </c>
      <c r="G165" s="154" t="s">
        <v>257</v>
      </c>
      <c r="H165" s="154" t="s">
        <v>427</v>
      </c>
      <c r="I165" s="154" t="s">
        <v>334</v>
      </c>
      <c r="J165" s="269">
        <v>20190005146</v>
      </c>
      <c r="K165" s="288">
        <v>43769</v>
      </c>
      <c r="L165" s="271">
        <v>629045</v>
      </c>
      <c r="M165" s="289" t="s">
        <v>976</v>
      </c>
      <c r="N165" s="271"/>
      <c r="O165" s="271"/>
      <c r="P165" s="290">
        <v>151.98</v>
      </c>
      <c r="Q165" s="271"/>
      <c r="R165" s="154"/>
      <c r="S165" s="189" t="s">
        <v>430</v>
      </c>
      <c r="T165" s="308" t="s">
        <v>977</v>
      </c>
      <c r="U165" s="305">
        <v>577105.5</v>
      </c>
      <c r="V165" s="305">
        <f t="shared" si="10"/>
        <v>51939.5</v>
      </c>
      <c r="W165" s="306">
        <f t="shared" si="11"/>
        <v>629045</v>
      </c>
      <c r="X165" s="271">
        <f t="shared" si="8"/>
        <v>577105.5</v>
      </c>
      <c r="Y165" s="271">
        <f t="shared" si="9"/>
        <v>3797.25</v>
      </c>
      <c r="Z165" s="154"/>
    </row>
    <row r="166" s="243" customFormat="1" ht="22" customHeight="1" outlineLevel="2" spans="1:26">
      <c r="A166" s="154" t="s">
        <v>978</v>
      </c>
      <c r="B166" s="259">
        <v>24</v>
      </c>
      <c r="C166" s="259">
        <v>2</v>
      </c>
      <c r="D166" s="154">
        <v>6</v>
      </c>
      <c r="E166" s="263" t="s">
        <v>979</v>
      </c>
      <c r="F166" s="259" t="s">
        <v>188</v>
      </c>
      <c r="G166" s="154" t="s">
        <v>257</v>
      </c>
      <c r="H166" s="154" t="s">
        <v>427</v>
      </c>
      <c r="I166" s="154" t="s">
        <v>334</v>
      </c>
      <c r="J166" s="269">
        <v>20190002655</v>
      </c>
      <c r="K166" s="288">
        <v>43715</v>
      </c>
      <c r="L166" s="271">
        <v>629393</v>
      </c>
      <c r="M166" s="289" t="s">
        <v>980</v>
      </c>
      <c r="N166" s="271"/>
      <c r="O166" s="271"/>
      <c r="P166" s="290">
        <v>152.47</v>
      </c>
      <c r="Q166" s="271"/>
      <c r="R166" s="154"/>
      <c r="S166" s="189" t="s">
        <v>430</v>
      </c>
      <c r="T166" s="304" t="s">
        <v>981</v>
      </c>
      <c r="U166" s="305">
        <v>577424.77</v>
      </c>
      <c r="V166" s="305">
        <f t="shared" si="10"/>
        <v>51968.23</v>
      </c>
      <c r="W166" s="306">
        <f t="shared" si="11"/>
        <v>629393</v>
      </c>
      <c r="X166" s="271">
        <f t="shared" si="8"/>
        <v>577424.77</v>
      </c>
      <c r="Y166" s="271">
        <f t="shared" si="9"/>
        <v>3787.14</v>
      </c>
      <c r="Z166" s="154"/>
    </row>
    <row r="167" s="243" customFormat="1" ht="22" customHeight="1" outlineLevel="2" spans="1:26">
      <c r="A167" s="154" t="s">
        <v>982</v>
      </c>
      <c r="B167" s="259">
        <v>24</v>
      </c>
      <c r="C167" s="259">
        <v>2</v>
      </c>
      <c r="D167" s="154">
        <v>7</v>
      </c>
      <c r="E167" s="263" t="s">
        <v>983</v>
      </c>
      <c r="F167" s="259" t="s">
        <v>188</v>
      </c>
      <c r="G167" s="154" t="s">
        <v>257</v>
      </c>
      <c r="H167" s="154" t="s">
        <v>427</v>
      </c>
      <c r="I167" s="154" t="s">
        <v>334</v>
      </c>
      <c r="J167" s="269" t="s">
        <v>984</v>
      </c>
      <c r="K167" s="288">
        <v>43765</v>
      </c>
      <c r="L167" s="271">
        <v>627107</v>
      </c>
      <c r="M167" s="289" t="s">
        <v>985</v>
      </c>
      <c r="N167" s="271"/>
      <c r="O167" s="271"/>
      <c r="P167" s="290">
        <v>151.98</v>
      </c>
      <c r="Q167" s="271"/>
      <c r="R167" s="154"/>
      <c r="S167" s="189" t="s">
        <v>430</v>
      </c>
      <c r="T167" s="304" t="s">
        <v>986</v>
      </c>
      <c r="U167" s="305">
        <v>575327.52</v>
      </c>
      <c r="V167" s="305">
        <f t="shared" si="10"/>
        <v>51779.48</v>
      </c>
      <c r="W167" s="306">
        <f t="shared" si="11"/>
        <v>627107</v>
      </c>
      <c r="X167" s="271">
        <f t="shared" si="8"/>
        <v>575327.52</v>
      </c>
      <c r="Y167" s="271">
        <f t="shared" si="9"/>
        <v>3785.55</v>
      </c>
      <c r="Z167" s="154"/>
    </row>
    <row r="168" s="243" customFormat="1" ht="22" customHeight="1" outlineLevel="2" spans="1:26">
      <c r="A168" s="154" t="s">
        <v>987</v>
      </c>
      <c r="B168" s="259">
        <v>24</v>
      </c>
      <c r="C168" s="259">
        <v>2</v>
      </c>
      <c r="D168" s="154">
        <v>7</v>
      </c>
      <c r="E168" s="263" t="s">
        <v>988</v>
      </c>
      <c r="F168" s="259" t="s">
        <v>188</v>
      </c>
      <c r="G168" s="154" t="s">
        <v>257</v>
      </c>
      <c r="H168" s="154" t="s">
        <v>427</v>
      </c>
      <c r="I168" s="154" t="s">
        <v>334</v>
      </c>
      <c r="J168" s="269" t="s">
        <v>989</v>
      </c>
      <c r="K168" s="288">
        <v>43947</v>
      </c>
      <c r="L168" s="271">
        <v>661720</v>
      </c>
      <c r="M168" s="289" t="s">
        <v>990</v>
      </c>
      <c r="N168" s="271"/>
      <c r="O168" s="271"/>
      <c r="P168" s="290">
        <v>152.47</v>
      </c>
      <c r="Q168" s="271"/>
      <c r="R168" s="154"/>
      <c r="S168" s="189" t="s">
        <v>430</v>
      </c>
      <c r="T168" s="304" t="s">
        <v>991</v>
      </c>
      <c r="U168" s="305">
        <v>607082.57</v>
      </c>
      <c r="V168" s="305">
        <f t="shared" si="10"/>
        <v>54637.4300000001</v>
      </c>
      <c r="W168" s="306">
        <f t="shared" si="11"/>
        <v>661720</v>
      </c>
      <c r="X168" s="271">
        <f t="shared" si="8"/>
        <v>607082.57</v>
      </c>
      <c r="Y168" s="271">
        <f t="shared" si="9"/>
        <v>3981.65</v>
      </c>
      <c r="Z168" s="154"/>
    </row>
    <row r="169" s="243" customFormat="1" ht="22" customHeight="1" outlineLevel="2" spans="1:26">
      <c r="A169" s="154" t="s">
        <v>992</v>
      </c>
      <c r="B169" s="259">
        <v>24</v>
      </c>
      <c r="C169" s="259">
        <v>2</v>
      </c>
      <c r="D169" s="154">
        <v>8</v>
      </c>
      <c r="E169" s="263" t="s">
        <v>993</v>
      </c>
      <c r="F169" s="259" t="s">
        <v>188</v>
      </c>
      <c r="G169" s="154" t="s">
        <v>257</v>
      </c>
      <c r="H169" s="154" t="s">
        <v>427</v>
      </c>
      <c r="I169" s="154" t="s">
        <v>334</v>
      </c>
      <c r="J169" s="269">
        <v>20190003289</v>
      </c>
      <c r="K169" s="288">
        <v>43727</v>
      </c>
      <c r="L169" s="271">
        <v>592050</v>
      </c>
      <c r="M169" s="289" t="s">
        <v>994</v>
      </c>
      <c r="N169" s="271"/>
      <c r="O169" s="271"/>
      <c r="P169" s="290">
        <v>151.98</v>
      </c>
      <c r="Q169" s="271"/>
      <c r="R169" s="154"/>
      <c r="S169" s="189" t="s">
        <v>430</v>
      </c>
      <c r="T169" s="304" t="s">
        <v>995</v>
      </c>
      <c r="U169" s="305">
        <v>543165.14</v>
      </c>
      <c r="V169" s="305">
        <f t="shared" si="10"/>
        <v>48884.86</v>
      </c>
      <c r="W169" s="306">
        <f t="shared" si="11"/>
        <v>592050</v>
      </c>
      <c r="X169" s="271">
        <f t="shared" si="8"/>
        <v>543165.14</v>
      </c>
      <c r="Y169" s="271">
        <f t="shared" si="9"/>
        <v>3573.93</v>
      </c>
      <c r="Z169" s="154"/>
    </row>
    <row r="170" s="243" customFormat="1" ht="22" customHeight="1" outlineLevel="2" spans="1:26">
      <c r="A170" s="154" t="s">
        <v>996</v>
      </c>
      <c r="B170" s="259">
        <v>24</v>
      </c>
      <c r="C170" s="259">
        <v>2</v>
      </c>
      <c r="D170" s="154">
        <v>8</v>
      </c>
      <c r="E170" s="263" t="s">
        <v>997</v>
      </c>
      <c r="F170" s="259" t="s">
        <v>188</v>
      </c>
      <c r="G170" s="154" t="s">
        <v>257</v>
      </c>
      <c r="H170" s="154" t="s">
        <v>427</v>
      </c>
      <c r="I170" s="154" t="s">
        <v>334</v>
      </c>
      <c r="J170" s="269" t="s">
        <v>998</v>
      </c>
      <c r="K170" s="288">
        <v>43716</v>
      </c>
      <c r="L170" s="271">
        <v>607521</v>
      </c>
      <c r="M170" s="289" t="s">
        <v>999</v>
      </c>
      <c r="N170" s="271"/>
      <c r="O170" s="271"/>
      <c r="P170" s="290">
        <v>152.47</v>
      </c>
      <c r="Q170" s="271"/>
      <c r="R170" s="154"/>
      <c r="S170" s="189" t="s">
        <v>430</v>
      </c>
      <c r="T170" s="308" t="s">
        <v>1000</v>
      </c>
      <c r="U170" s="305">
        <v>557358.72</v>
      </c>
      <c r="V170" s="305">
        <f t="shared" si="10"/>
        <v>50162.28</v>
      </c>
      <c r="W170" s="306">
        <f t="shared" si="11"/>
        <v>607521</v>
      </c>
      <c r="X170" s="271">
        <f t="shared" si="8"/>
        <v>557358.72</v>
      </c>
      <c r="Y170" s="271">
        <f t="shared" si="9"/>
        <v>3655.53</v>
      </c>
      <c r="Z170" s="154"/>
    </row>
    <row r="171" s="243" customFormat="1" ht="22" customHeight="1" outlineLevel="2" spans="1:26">
      <c r="A171" s="154" t="s">
        <v>1001</v>
      </c>
      <c r="B171" s="259">
        <v>24</v>
      </c>
      <c r="C171" s="259">
        <v>1</v>
      </c>
      <c r="D171" s="154">
        <v>-1</v>
      </c>
      <c r="E171" s="327" t="s">
        <v>1002</v>
      </c>
      <c r="F171" s="259" t="s">
        <v>188</v>
      </c>
      <c r="G171" s="154" t="s">
        <v>536</v>
      </c>
      <c r="H171" s="154" t="s">
        <v>537</v>
      </c>
      <c r="I171" s="154"/>
      <c r="J171" s="269"/>
      <c r="K171" s="325"/>
      <c r="L171" s="271"/>
      <c r="M171" s="154"/>
      <c r="N171" s="271"/>
      <c r="O171" s="271"/>
      <c r="P171" s="306">
        <v>117.62</v>
      </c>
      <c r="Q171" s="271"/>
      <c r="R171" s="154"/>
      <c r="S171" s="189"/>
      <c r="T171" s="326"/>
      <c r="U171" s="306"/>
      <c r="V171" s="305">
        <f t="shared" si="10"/>
        <v>0</v>
      </c>
      <c r="W171" s="306">
        <f t="shared" si="11"/>
        <v>0</v>
      </c>
      <c r="X171" s="271">
        <f t="shared" si="8"/>
        <v>0</v>
      </c>
      <c r="Y171" s="271">
        <f t="shared" si="9"/>
        <v>0</v>
      </c>
      <c r="Z171" s="154"/>
    </row>
    <row r="172" s="243" customFormat="1" ht="22" customHeight="1" outlineLevel="2" spans="1:26">
      <c r="A172" s="154" t="s">
        <v>1003</v>
      </c>
      <c r="B172" s="259">
        <v>24</v>
      </c>
      <c r="C172" s="259">
        <v>1</v>
      </c>
      <c r="D172" s="154">
        <v>-1</v>
      </c>
      <c r="E172" s="263" t="s">
        <v>1004</v>
      </c>
      <c r="F172" s="259" t="s">
        <v>188</v>
      </c>
      <c r="G172" s="154" t="s">
        <v>536</v>
      </c>
      <c r="H172" s="154" t="s">
        <v>537</v>
      </c>
      <c r="I172" s="154"/>
      <c r="J172" s="269"/>
      <c r="K172" s="90"/>
      <c r="L172" s="271"/>
      <c r="M172" s="289"/>
      <c r="N172" s="271"/>
      <c r="O172" s="271"/>
      <c r="P172" s="290">
        <v>117.62</v>
      </c>
      <c r="Q172" s="271"/>
      <c r="R172" s="154"/>
      <c r="S172" s="189"/>
      <c r="T172" s="308"/>
      <c r="U172" s="305"/>
      <c r="V172" s="305">
        <f t="shared" si="10"/>
        <v>0</v>
      </c>
      <c r="W172" s="306">
        <f t="shared" si="11"/>
        <v>0</v>
      </c>
      <c r="X172" s="271">
        <f t="shared" si="8"/>
        <v>0</v>
      </c>
      <c r="Y172" s="271">
        <f t="shared" si="9"/>
        <v>0</v>
      </c>
      <c r="Z172" s="154"/>
    </row>
    <row r="173" s="243" customFormat="1" ht="22" customHeight="1" outlineLevel="2" spans="1:26">
      <c r="A173" s="154" t="s">
        <v>1005</v>
      </c>
      <c r="B173" s="259">
        <v>24</v>
      </c>
      <c r="C173" s="259">
        <v>2</v>
      </c>
      <c r="D173" s="154">
        <v>-1</v>
      </c>
      <c r="E173" s="263" t="s">
        <v>1006</v>
      </c>
      <c r="F173" s="259" t="s">
        <v>188</v>
      </c>
      <c r="G173" s="154" t="s">
        <v>536</v>
      </c>
      <c r="H173" s="154" t="s">
        <v>537</v>
      </c>
      <c r="I173" s="154"/>
      <c r="J173" s="269"/>
      <c r="K173" s="90"/>
      <c r="L173" s="271"/>
      <c r="M173" s="289"/>
      <c r="N173" s="271"/>
      <c r="O173" s="271"/>
      <c r="P173" s="290">
        <v>117.62</v>
      </c>
      <c r="Q173" s="271"/>
      <c r="R173" s="154"/>
      <c r="S173" s="189"/>
      <c r="T173" s="308"/>
      <c r="U173" s="305"/>
      <c r="V173" s="305">
        <f t="shared" si="10"/>
        <v>0</v>
      </c>
      <c r="W173" s="306">
        <f t="shared" si="11"/>
        <v>0</v>
      </c>
      <c r="X173" s="271">
        <f t="shared" si="8"/>
        <v>0</v>
      </c>
      <c r="Y173" s="271">
        <f t="shared" si="9"/>
        <v>0</v>
      </c>
      <c r="Z173" s="154"/>
    </row>
    <row r="174" s="243" customFormat="1" ht="22" customHeight="1" outlineLevel="2" spans="1:26">
      <c r="A174" s="154" t="s">
        <v>1007</v>
      </c>
      <c r="B174" s="259">
        <v>24</v>
      </c>
      <c r="C174" s="259">
        <v>2</v>
      </c>
      <c r="D174" s="154">
        <v>-1</v>
      </c>
      <c r="E174" s="263" t="s">
        <v>1008</v>
      </c>
      <c r="F174" s="259" t="s">
        <v>188</v>
      </c>
      <c r="G174" s="154" t="s">
        <v>536</v>
      </c>
      <c r="H174" s="154" t="s">
        <v>537</v>
      </c>
      <c r="I174" s="154"/>
      <c r="J174" s="269"/>
      <c r="K174" s="90"/>
      <c r="L174" s="271"/>
      <c r="M174" s="289"/>
      <c r="N174" s="271"/>
      <c r="O174" s="271"/>
      <c r="P174" s="290">
        <v>117.62</v>
      </c>
      <c r="Q174" s="271"/>
      <c r="R174" s="154"/>
      <c r="S174" s="189"/>
      <c r="T174" s="308"/>
      <c r="U174" s="305"/>
      <c r="V174" s="305">
        <f t="shared" si="10"/>
        <v>0</v>
      </c>
      <c r="W174" s="306">
        <f t="shared" si="11"/>
        <v>0</v>
      </c>
      <c r="X174" s="271">
        <f t="shared" si="8"/>
        <v>0</v>
      </c>
      <c r="Y174" s="271">
        <f t="shared" si="9"/>
        <v>0</v>
      </c>
      <c r="Z174" s="154"/>
    </row>
    <row r="175" s="243" customFormat="1" ht="22" customHeight="1" outlineLevel="2" spans="1:26">
      <c r="A175" s="154" t="s">
        <v>1009</v>
      </c>
      <c r="B175" s="259">
        <v>25</v>
      </c>
      <c r="C175" s="259">
        <v>1</v>
      </c>
      <c r="D175" s="154">
        <v>1</v>
      </c>
      <c r="E175" s="263" t="s">
        <v>1010</v>
      </c>
      <c r="F175" s="259"/>
      <c r="G175" s="154" t="s">
        <v>256</v>
      </c>
      <c r="H175" s="154" t="s">
        <v>427</v>
      </c>
      <c r="I175" s="154" t="s">
        <v>334</v>
      </c>
      <c r="J175" s="269" t="s">
        <v>1011</v>
      </c>
      <c r="K175" s="288">
        <v>44094</v>
      </c>
      <c r="L175" s="271">
        <v>916455</v>
      </c>
      <c r="M175" s="289" t="s">
        <v>1012</v>
      </c>
      <c r="N175" s="271">
        <v>139.37</v>
      </c>
      <c r="O175" s="271"/>
      <c r="P175" s="290">
        <v>139.37</v>
      </c>
      <c r="Q175" s="271"/>
      <c r="R175" s="154"/>
      <c r="S175" s="189" t="s">
        <v>430</v>
      </c>
      <c r="T175" s="308" t="s">
        <v>1013</v>
      </c>
      <c r="U175" s="305">
        <v>840784.4</v>
      </c>
      <c r="V175" s="305">
        <f t="shared" si="10"/>
        <v>75670.6</v>
      </c>
      <c r="W175" s="306">
        <f t="shared" si="11"/>
        <v>916455</v>
      </c>
      <c r="X175" s="271">
        <f t="shared" si="8"/>
        <v>840784.4</v>
      </c>
      <c r="Y175" s="271">
        <f t="shared" si="9"/>
        <v>6032.75</v>
      </c>
      <c r="Z175" s="154"/>
    </row>
    <row r="176" s="243" customFormat="1" ht="22" customHeight="1" outlineLevel="2" spans="1:26">
      <c r="A176" s="154" t="s">
        <v>1014</v>
      </c>
      <c r="B176" s="259">
        <v>25</v>
      </c>
      <c r="C176" s="259">
        <v>1</v>
      </c>
      <c r="D176" s="154">
        <v>1</v>
      </c>
      <c r="E176" s="263" t="s">
        <v>1015</v>
      </c>
      <c r="F176" s="259"/>
      <c r="G176" s="154" t="s">
        <v>256</v>
      </c>
      <c r="H176" s="154" t="s">
        <v>427</v>
      </c>
      <c r="I176" s="154" t="s">
        <v>334</v>
      </c>
      <c r="J176" s="269" t="s">
        <v>1016</v>
      </c>
      <c r="K176" s="288">
        <v>43957</v>
      </c>
      <c r="L176" s="271">
        <v>917070</v>
      </c>
      <c r="M176" s="289" t="s">
        <v>1017</v>
      </c>
      <c r="N176" s="271">
        <v>138.95</v>
      </c>
      <c r="O176" s="271"/>
      <c r="P176" s="290">
        <v>138.95</v>
      </c>
      <c r="Q176" s="271"/>
      <c r="R176" s="154"/>
      <c r="S176" s="189" t="s">
        <v>430</v>
      </c>
      <c r="T176" s="308" t="s">
        <v>1018</v>
      </c>
      <c r="U176" s="305">
        <v>841348.62</v>
      </c>
      <c r="V176" s="305">
        <f t="shared" si="10"/>
        <v>75721.38</v>
      </c>
      <c r="W176" s="306">
        <f t="shared" si="11"/>
        <v>917070</v>
      </c>
      <c r="X176" s="271">
        <f t="shared" si="8"/>
        <v>841348.62</v>
      </c>
      <c r="Y176" s="271">
        <f t="shared" si="9"/>
        <v>6055.05</v>
      </c>
      <c r="Z176" s="154"/>
    </row>
    <row r="177" s="243" customFormat="1" ht="22" customHeight="1" outlineLevel="2" spans="1:26">
      <c r="A177" s="154" t="s">
        <v>1019</v>
      </c>
      <c r="B177" s="259">
        <v>25</v>
      </c>
      <c r="C177" s="259">
        <v>1</v>
      </c>
      <c r="D177" s="154">
        <v>2</v>
      </c>
      <c r="E177" s="263" t="s">
        <v>1020</v>
      </c>
      <c r="F177" s="259"/>
      <c r="G177" s="154" t="s">
        <v>256</v>
      </c>
      <c r="H177" s="154" t="s">
        <v>427</v>
      </c>
      <c r="I177" s="154" t="s">
        <v>334</v>
      </c>
      <c r="J177" s="269">
        <v>20190005968</v>
      </c>
      <c r="K177" s="288">
        <v>43788</v>
      </c>
      <c r="L177" s="271">
        <v>570862</v>
      </c>
      <c r="M177" s="289" t="s">
        <v>1021</v>
      </c>
      <c r="N177" s="271">
        <v>139.37</v>
      </c>
      <c r="O177" s="271"/>
      <c r="P177" s="290">
        <v>139.37</v>
      </c>
      <c r="Q177" s="271"/>
      <c r="R177" s="154"/>
      <c r="S177" s="189" t="s">
        <v>430</v>
      </c>
      <c r="T177" s="308" t="s">
        <v>1022</v>
      </c>
      <c r="U177" s="305">
        <v>523726.61</v>
      </c>
      <c r="V177" s="305">
        <f t="shared" si="10"/>
        <v>47135.39</v>
      </c>
      <c r="W177" s="306">
        <f t="shared" si="11"/>
        <v>570862</v>
      </c>
      <c r="X177" s="271">
        <f t="shared" si="8"/>
        <v>523726.61</v>
      </c>
      <c r="Y177" s="271">
        <f t="shared" si="9"/>
        <v>3757.81</v>
      </c>
      <c r="Z177" s="154"/>
    </row>
    <row r="178" s="243" customFormat="1" ht="22" customHeight="1" outlineLevel="2" spans="1:26">
      <c r="A178" s="154" t="s">
        <v>1023</v>
      </c>
      <c r="B178" s="259">
        <v>25</v>
      </c>
      <c r="C178" s="259">
        <v>1</v>
      </c>
      <c r="D178" s="154">
        <v>2</v>
      </c>
      <c r="E178" s="263" t="s">
        <v>1024</v>
      </c>
      <c r="F178" s="259"/>
      <c r="G178" s="154" t="s">
        <v>256</v>
      </c>
      <c r="H178" s="154" t="s">
        <v>427</v>
      </c>
      <c r="I178" s="154" t="s">
        <v>334</v>
      </c>
      <c r="J178" s="269">
        <v>20190006023</v>
      </c>
      <c r="K178" s="288">
        <v>43789</v>
      </c>
      <c r="L178" s="271">
        <v>565956</v>
      </c>
      <c r="M178" s="289" t="s">
        <v>1025</v>
      </c>
      <c r="N178" s="271">
        <v>138.95</v>
      </c>
      <c r="O178" s="271"/>
      <c r="P178" s="290">
        <v>138.95</v>
      </c>
      <c r="Q178" s="271"/>
      <c r="R178" s="154"/>
      <c r="S178" s="189" t="s">
        <v>430</v>
      </c>
      <c r="T178" s="308" t="s">
        <v>1026</v>
      </c>
      <c r="U178" s="305">
        <v>519225.69</v>
      </c>
      <c r="V178" s="305">
        <f t="shared" si="10"/>
        <v>46730.31</v>
      </c>
      <c r="W178" s="306">
        <f t="shared" si="11"/>
        <v>565956</v>
      </c>
      <c r="X178" s="271">
        <f t="shared" si="8"/>
        <v>519225.69</v>
      </c>
      <c r="Y178" s="271">
        <f t="shared" si="9"/>
        <v>3736.78</v>
      </c>
      <c r="Z178" s="154"/>
    </row>
    <row r="179" s="243" customFormat="1" ht="22" customHeight="1" outlineLevel="2" spans="1:26">
      <c r="A179" s="154" t="s">
        <v>1027</v>
      </c>
      <c r="B179" s="259">
        <v>25</v>
      </c>
      <c r="C179" s="259">
        <v>1</v>
      </c>
      <c r="D179" s="154">
        <v>3</v>
      </c>
      <c r="E179" s="263" t="s">
        <v>1028</v>
      </c>
      <c r="F179" s="259"/>
      <c r="G179" s="154" t="s">
        <v>256</v>
      </c>
      <c r="H179" s="154" t="s">
        <v>427</v>
      </c>
      <c r="I179" s="154" t="s">
        <v>334</v>
      </c>
      <c r="J179" s="269">
        <v>20190006286</v>
      </c>
      <c r="K179" s="288">
        <v>43489</v>
      </c>
      <c r="L179" s="271">
        <v>577472</v>
      </c>
      <c r="M179" s="289" t="s">
        <v>1029</v>
      </c>
      <c r="N179" s="271">
        <v>139.37</v>
      </c>
      <c r="O179" s="271"/>
      <c r="P179" s="290">
        <v>139.37</v>
      </c>
      <c r="Q179" s="271"/>
      <c r="R179" s="154"/>
      <c r="S179" s="189" t="s">
        <v>430</v>
      </c>
      <c r="T179" s="308" t="s">
        <v>1030</v>
      </c>
      <c r="U179" s="305">
        <v>529790.83</v>
      </c>
      <c r="V179" s="305">
        <f t="shared" si="10"/>
        <v>47681.17</v>
      </c>
      <c r="W179" s="306">
        <f t="shared" si="11"/>
        <v>577472</v>
      </c>
      <c r="X179" s="271">
        <f t="shared" si="8"/>
        <v>529790.83</v>
      </c>
      <c r="Y179" s="271">
        <f t="shared" si="9"/>
        <v>3801.33</v>
      </c>
      <c r="Z179" s="154"/>
    </row>
    <row r="180" s="243" customFormat="1" ht="22" customHeight="1" outlineLevel="2" spans="1:26">
      <c r="A180" s="154" t="s">
        <v>1031</v>
      </c>
      <c r="B180" s="259">
        <v>25</v>
      </c>
      <c r="C180" s="259">
        <v>1</v>
      </c>
      <c r="D180" s="154">
        <v>3</v>
      </c>
      <c r="E180" s="263" t="s">
        <v>1032</v>
      </c>
      <c r="F180" s="259"/>
      <c r="G180" s="154" t="s">
        <v>256</v>
      </c>
      <c r="H180" s="154" t="s">
        <v>427</v>
      </c>
      <c r="I180" s="154" t="s">
        <v>334</v>
      </c>
      <c r="J180" s="269" t="s">
        <v>1033</v>
      </c>
      <c r="K180" s="288">
        <v>43794</v>
      </c>
      <c r="L180" s="271">
        <v>572676</v>
      </c>
      <c r="M180" s="289" t="s">
        <v>1034</v>
      </c>
      <c r="N180" s="271">
        <v>138.95</v>
      </c>
      <c r="O180" s="271"/>
      <c r="P180" s="290">
        <v>138.95</v>
      </c>
      <c r="Q180" s="271"/>
      <c r="R180" s="154"/>
      <c r="S180" s="189" t="s">
        <v>430</v>
      </c>
      <c r="T180" s="308" t="s">
        <v>1035</v>
      </c>
      <c r="U180" s="305">
        <v>525390.83</v>
      </c>
      <c r="V180" s="305">
        <f t="shared" si="10"/>
        <v>47285.17</v>
      </c>
      <c r="W180" s="306">
        <f t="shared" si="11"/>
        <v>572676</v>
      </c>
      <c r="X180" s="271">
        <f t="shared" si="8"/>
        <v>525390.83</v>
      </c>
      <c r="Y180" s="271">
        <f t="shared" si="9"/>
        <v>3781.15</v>
      </c>
      <c r="Z180" s="154"/>
    </row>
    <row r="181" s="243" customFormat="1" ht="22" customHeight="1" outlineLevel="2" spans="1:26">
      <c r="A181" s="154" t="s">
        <v>1036</v>
      </c>
      <c r="B181" s="259">
        <v>25</v>
      </c>
      <c r="C181" s="259">
        <v>1</v>
      </c>
      <c r="D181" s="154">
        <v>4</v>
      </c>
      <c r="E181" s="263" t="s">
        <v>1037</v>
      </c>
      <c r="F181" s="259"/>
      <c r="G181" s="154" t="s">
        <v>256</v>
      </c>
      <c r="H181" s="154" t="s">
        <v>427</v>
      </c>
      <c r="I181" s="154" t="s">
        <v>334</v>
      </c>
      <c r="J181" s="269" t="s">
        <v>1038</v>
      </c>
      <c r="K181" s="288">
        <v>43792</v>
      </c>
      <c r="L181" s="271">
        <v>584212</v>
      </c>
      <c r="M181" s="289" t="s">
        <v>1039</v>
      </c>
      <c r="N181" s="271">
        <v>139.37</v>
      </c>
      <c r="O181" s="271"/>
      <c r="P181" s="290">
        <v>139.37</v>
      </c>
      <c r="Q181" s="271"/>
      <c r="R181" s="154"/>
      <c r="S181" s="189" t="s">
        <v>430</v>
      </c>
      <c r="T181" s="308" t="s">
        <v>1040</v>
      </c>
      <c r="U181" s="305">
        <v>535974.31</v>
      </c>
      <c r="V181" s="305">
        <f t="shared" si="10"/>
        <v>48237.6899999999</v>
      </c>
      <c r="W181" s="306">
        <f t="shared" si="11"/>
        <v>584212</v>
      </c>
      <c r="X181" s="271">
        <f t="shared" si="8"/>
        <v>535974.31</v>
      </c>
      <c r="Y181" s="271">
        <f t="shared" si="9"/>
        <v>3845.69</v>
      </c>
      <c r="Z181" s="154"/>
    </row>
    <row r="182" s="243" customFormat="1" ht="22" customHeight="1" outlineLevel="2" spans="1:26">
      <c r="A182" s="154" t="s">
        <v>1041</v>
      </c>
      <c r="B182" s="259">
        <v>25</v>
      </c>
      <c r="C182" s="259">
        <v>1</v>
      </c>
      <c r="D182" s="154">
        <v>4</v>
      </c>
      <c r="E182" s="263" t="s">
        <v>1042</v>
      </c>
      <c r="F182" s="259"/>
      <c r="G182" s="154" t="s">
        <v>256</v>
      </c>
      <c r="H182" s="154" t="s">
        <v>427</v>
      </c>
      <c r="I182" s="154" t="s">
        <v>334</v>
      </c>
      <c r="J182" s="269" t="s">
        <v>1043</v>
      </c>
      <c r="K182" s="288">
        <v>43790</v>
      </c>
      <c r="L182" s="271">
        <v>579267</v>
      </c>
      <c r="M182" s="289" t="s">
        <v>1044</v>
      </c>
      <c r="N182" s="271">
        <v>138.95</v>
      </c>
      <c r="O182" s="271"/>
      <c r="P182" s="290">
        <v>138.95</v>
      </c>
      <c r="Q182" s="271"/>
      <c r="R182" s="154"/>
      <c r="S182" s="189" t="s">
        <v>430</v>
      </c>
      <c r="T182" s="308" t="s">
        <v>1045</v>
      </c>
      <c r="U182" s="305">
        <v>531437.61</v>
      </c>
      <c r="V182" s="305">
        <f t="shared" si="10"/>
        <v>47829.39</v>
      </c>
      <c r="W182" s="306">
        <f t="shared" si="11"/>
        <v>579267</v>
      </c>
      <c r="X182" s="271">
        <f t="shared" si="8"/>
        <v>531437.61</v>
      </c>
      <c r="Y182" s="271">
        <f t="shared" si="9"/>
        <v>3824.67</v>
      </c>
      <c r="Z182" s="154"/>
    </row>
    <row r="183" s="243" customFormat="1" ht="22" customHeight="1" outlineLevel="2" spans="1:26">
      <c r="A183" s="154" t="s">
        <v>1046</v>
      </c>
      <c r="B183" s="259">
        <v>25</v>
      </c>
      <c r="C183" s="259">
        <v>1</v>
      </c>
      <c r="D183" s="154">
        <v>5</v>
      </c>
      <c r="E183" s="263" t="s">
        <v>1047</v>
      </c>
      <c r="F183" s="259"/>
      <c r="G183" s="154" t="s">
        <v>256</v>
      </c>
      <c r="H183" s="154" t="s">
        <v>427</v>
      </c>
      <c r="I183" s="154" t="s">
        <v>334</v>
      </c>
      <c r="J183" s="269">
        <v>20190006047</v>
      </c>
      <c r="K183" s="288">
        <v>43789</v>
      </c>
      <c r="L183" s="271">
        <v>590821</v>
      </c>
      <c r="M183" s="289" t="s">
        <v>1048</v>
      </c>
      <c r="N183" s="271">
        <v>139.37</v>
      </c>
      <c r="O183" s="271"/>
      <c r="P183" s="290">
        <v>139.37</v>
      </c>
      <c r="Q183" s="271"/>
      <c r="R183" s="154"/>
      <c r="S183" s="189" t="s">
        <v>430</v>
      </c>
      <c r="T183" s="308" t="s">
        <v>1049</v>
      </c>
      <c r="U183" s="305">
        <v>542037.61</v>
      </c>
      <c r="V183" s="305">
        <f t="shared" si="10"/>
        <v>48783.39</v>
      </c>
      <c r="W183" s="306">
        <f t="shared" si="11"/>
        <v>590821</v>
      </c>
      <c r="X183" s="271">
        <f t="shared" si="8"/>
        <v>542037.61</v>
      </c>
      <c r="Y183" s="271">
        <f t="shared" si="9"/>
        <v>3889.2</v>
      </c>
      <c r="Z183" s="154"/>
    </row>
    <row r="184" s="243" customFormat="1" ht="22" customHeight="1" outlineLevel="2" spans="1:26">
      <c r="A184" s="154" t="s">
        <v>1050</v>
      </c>
      <c r="B184" s="259">
        <v>25</v>
      </c>
      <c r="C184" s="259">
        <v>1</v>
      </c>
      <c r="D184" s="154">
        <v>5</v>
      </c>
      <c r="E184" s="263" t="s">
        <v>1051</v>
      </c>
      <c r="F184" s="259"/>
      <c r="G184" s="154" t="s">
        <v>256</v>
      </c>
      <c r="H184" s="154" t="s">
        <v>427</v>
      </c>
      <c r="I184" s="154" t="s">
        <v>334</v>
      </c>
      <c r="J184" s="269" t="s">
        <v>1052</v>
      </c>
      <c r="K184" s="288">
        <v>43947</v>
      </c>
      <c r="L184" s="271">
        <v>585985</v>
      </c>
      <c r="M184" s="289" t="s">
        <v>1053</v>
      </c>
      <c r="N184" s="271">
        <v>138.95</v>
      </c>
      <c r="O184" s="271"/>
      <c r="P184" s="290">
        <v>138.95</v>
      </c>
      <c r="Q184" s="271"/>
      <c r="R184" s="154"/>
      <c r="S184" s="189" t="s">
        <v>430</v>
      </c>
      <c r="T184" s="308" t="s">
        <v>1054</v>
      </c>
      <c r="U184" s="305">
        <v>537600.92</v>
      </c>
      <c r="V184" s="305">
        <f t="shared" si="10"/>
        <v>48384.08</v>
      </c>
      <c r="W184" s="306">
        <f t="shared" si="11"/>
        <v>585985</v>
      </c>
      <c r="X184" s="271">
        <f t="shared" si="8"/>
        <v>537600.92</v>
      </c>
      <c r="Y184" s="271">
        <f t="shared" si="9"/>
        <v>3869.02</v>
      </c>
      <c r="Z184" s="154"/>
    </row>
    <row r="185" s="243" customFormat="1" ht="22" customHeight="1" outlineLevel="2" spans="1:26">
      <c r="A185" s="154" t="s">
        <v>1055</v>
      </c>
      <c r="B185" s="259">
        <v>25</v>
      </c>
      <c r="C185" s="259">
        <v>1</v>
      </c>
      <c r="D185" s="154">
        <v>6</v>
      </c>
      <c r="E185" s="263" t="s">
        <v>1056</v>
      </c>
      <c r="F185" s="259"/>
      <c r="G185" s="154" t="s">
        <v>256</v>
      </c>
      <c r="H185" s="154" t="s">
        <v>427</v>
      </c>
      <c r="I185" s="154" t="s">
        <v>334</v>
      </c>
      <c r="J185" s="269" t="s">
        <v>1057</v>
      </c>
      <c r="K185" s="288">
        <v>43814</v>
      </c>
      <c r="L185" s="271">
        <v>598729</v>
      </c>
      <c r="M185" s="289" t="s">
        <v>1058</v>
      </c>
      <c r="N185" s="271">
        <v>139.37</v>
      </c>
      <c r="O185" s="271"/>
      <c r="P185" s="290">
        <v>139.37</v>
      </c>
      <c r="Q185" s="271"/>
      <c r="R185" s="154"/>
      <c r="S185" s="189" t="s">
        <v>430</v>
      </c>
      <c r="T185" s="308" t="s">
        <v>1059</v>
      </c>
      <c r="U185" s="305">
        <v>549292.66</v>
      </c>
      <c r="V185" s="305">
        <f t="shared" si="10"/>
        <v>49436.34</v>
      </c>
      <c r="W185" s="306">
        <f t="shared" si="11"/>
        <v>598729</v>
      </c>
      <c r="X185" s="271">
        <f t="shared" si="8"/>
        <v>549292.66</v>
      </c>
      <c r="Y185" s="271">
        <f t="shared" si="9"/>
        <v>3941.25</v>
      </c>
      <c r="Z185" s="154"/>
    </row>
    <row r="186" s="243" customFormat="1" ht="22" customHeight="1" outlineLevel="2" spans="1:26">
      <c r="A186" s="154" t="s">
        <v>1060</v>
      </c>
      <c r="B186" s="259">
        <v>25</v>
      </c>
      <c r="C186" s="259">
        <v>1</v>
      </c>
      <c r="D186" s="154">
        <v>6</v>
      </c>
      <c r="E186" s="263" t="s">
        <v>1061</v>
      </c>
      <c r="F186" s="259"/>
      <c r="G186" s="154" t="s">
        <v>256</v>
      </c>
      <c r="H186" s="154" t="s">
        <v>427</v>
      </c>
      <c r="I186" s="154" t="s">
        <v>334</v>
      </c>
      <c r="J186" s="269">
        <v>20190005453</v>
      </c>
      <c r="K186" s="288">
        <v>43776</v>
      </c>
      <c r="L186" s="271">
        <v>577708</v>
      </c>
      <c r="M186" s="289" t="s">
        <v>1062</v>
      </c>
      <c r="N186" s="271">
        <v>138.95</v>
      </c>
      <c r="O186" s="271"/>
      <c r="P186" s="290">
        <v>138.95</v>
      </c>
      <c r="Q186" s="271"/>
      <c r="R186" s="154"/>
      <c r="S186" s="189" t="s">
        <v>430</v>
      </c>
      <c r="T186" s="308" t="s">
        <v>1063</v>
      </c>
      <c r="U186" s="305">
        <v>530007.34</v>
      </c>
      <c r="V186" s="305">
        <f t="shared" si="10"/>
        <v>47700.66</v>
      </c>
      <c r="W186" s="306">
        <f t="shared" si="11"/>
        <v>577708</v>
      </c>
      <c r="X186" s="271">
        <f t="shared" si="8"/>
        <v>530007.34</v>
      </c>
      <c r="Y186" s="271">
        <f t="shared" si="9"/>
        <v>3814.37</v>
      </c>
      <c r="Z186" s="154"/>
    </row>
    <row r="187" s="243" customFormat="1" ht="22" customHeight="1" outlineLevel="2" spans="1:26">
      <c r="A187" s="154" t="s">
        <v>1064</v>
      </c>
      <c r="B187" s="259">
        <v>25</v>
      </c>
      <c r="C187" s="259">
        <v>1</v>
      </c>
      <c r="D187" s="154">
        <v>7</v>
      </c>
      <c r="E187" s="263" t="s">
        <v>1065</v>
      </c>
      <c r="F187" s="259"/>
      <c r="G187" s="154" t="s">
        <v>257</v>
      </c>
      <c r="H187" s="154" t="s">
        <v>427</v>
      </c>
      <c r="I187" s="154" t="s">
        <v>334</v>
      </c>
      <c r="J187" s="269">
        <v>20190008387</v>
      </c>
      <c r="K187" s="288">
        <v>43826</v>
      </c>
      <c r="L187" s="271">
        <v>878882</v>
      </c>
      <c r="M187" s="289" t="s">
        <v>1066</v>
      </c>
      <c r="N187" s="271">
        <v>209.22</v>
      </c>
      <c r="O187" s="271"/>
      <c r="P187" s="290">
        <v>209.22</v>
      </c>
      <c r="Q187" s="271"/>
      <c r="R187" s="154"/>
      <c r="S187" s="189" t="s">
        <v>430</v>
      </c>
      <c r="T187" s="308" t="s">
        <v>1067</v>
      </c>
      <c r="U187" s="305">
        <v>806313.76</v>
      </c>
      <c r="V187" s="305">
        <f t="shared" si="10"/>
        <v>72568.24</v>
      </c>
      <c r="W187" s="306">
        <f t="shared" si="11"/>
        <v>878882</v>
      </c>
      <c r="X187" s="271">
        <f t="shared" si="8"/>
        <v>806313.76</v>
      </c>
      <c r="Y187" s="271">
        <f t="shared" si="9"/>
        <v>3853.9</v>
      </c>
      <c r="Z187" s="154"/>
    </row>
    <row r="188" s="243" customFormat="1" ht="22" customHeight="1" outlineLevel="2" spans="1:26">
      <c r="A188" s="154" t="s">
        <v>1068</v>
      </c>
      <c r="B188" s="259">
        <v>25</v>
      </c>
      <c r="C188" s="259">
        <v>1</v>
      </c>
      <c r="D188" s="154">
        <v>7</v>
      </c>
      <c r="E188" s="263" t="s">
        <v>1069</v>
      </c>
      <c r="F188" s="259"/>
      <c r="G188" s="154" t="s">
        <v>257</v>
      </c>
      <c r="H188" s="154" t="s">
        <v>427</v>
      </c>
      <c r="I188" s="154" t="s">
        <v>334</v>
      </c>
      <c r="J188" s="269">
        <v>20200004357</v>
      </c>
      <c r="K188" s="288">
        <v>43988</v>
      </c>
      <c r="L188" s="271">
        <v>887521</v>
      </c>
      <c r="M188" s="289" t="s">
        <v>1070</v>
      </c>
      <c r="N188" s="271">
        <v>208.8</v>
      </c>
      <c r="O188" s="271"/>
      <c r="P188" s="290">
        <v>208.8</v>
      </c>
      <c r="Q188" s="271"/>
      <c r="R188" s="154"/>
      <c r="S188" s="189" t="s">
        <v>430</v>
      </c>
      <c r="T188" s="308" t="s">
        <v>1071</v>
      </c>
      <c r="U188" s="305">
        <v>814239.45</v>
      </c>
      <c r="V188" s="305">
        <f t="shared" si="10"/>
        <v>73281.55</v>
      </c>
      <c r="W188" s="306">
        <f t="shared" si="11"/>
        <v>887521</v>
      </c>
      <c r="X188" s="271">
        <f t="shared" si="8"/>
        <v>814239.45</v>
      </c>
      <c r="Y188" s="271">
        <f t="shared" si="9"/>
        <v>3899.61</v>
      </c>
      <c r="Z188" s="154"/>
    </row>
    <row r="189" s="243" customFormat="1" ht="22" customHeight="1" outlineLevel="2" spans="1:26">
      <c r="A189" s="154" t="s">
        <v>1072</v>
      </c>
      <c r="B189" s="259">
        <v>25</v>
      </c>
      <c r="C189" s="259">
        <v>2</v>
      </c>
      <c r="D189" s="154">
        <v>1</v>
      </c>
      <c r="E189" s="263" t="s">
        <v>1073</v>
      </c>
      <c r="F189" s="259"/>
      <c r="G189" s="154" t="s">
        <v>256</v>
      </c>
      <c r="H189" s="154" t="s">
        <v>427</v>
      </c>
      <c r="I189" s="154" t="s">
        <v>334</v>
      </c>
      <c r="J189" s="269" t="s">
        <v>1074</v>
      </c>
      <c r="K189" s="288">
        <v>43814</v>
      </c>
      <c r="L189" s="271">
        <v>901091</v>
      </c>
      <c r="M189" s="289" t="s">
        <v>1075</v>
      </c>
      <c r="N189" s="271">
        <v>138.95</v>
      </c>
      <c r="O189" s="271"/>
      <c r="P189" s="290">
        <v>138.95</v>
      </c>
      <c r="Q189" s="271"/>
      <c r="R189" s="154"/>
      <c r="S189" s="189" t="s">
        <v>430</v>
      </c>
      <c r="T189" s="308" t="s">
        <v>1076</v>
      </c>
      <c r="U189" s="305">
        <v>826688.99</v>
      </c>
      <c r="V189" s="305">
        <f t="shared" si="10"/>
        <v>74402.01</v>
      </c>
      <c r="W189" s="306">
        <f t="shared" si="11"/>
        <v>901091</v>
      </c>
      <c r="X189" s="271">
        <f t="shared" si="8"/>
        <v>826688.99</v>
      </c>
      <c r="Y189" s="271">
        <f t="shared" si="9"/>
        <v>5949.54</v>
      </c>
      <c r="Z189" s="154"/>
    </row>
    <row r="190" s="243" customFormat="1" ht="22" customHeight="1" outlineLevel="2" spans="1:26">
      <c r="A190" s="154" t="s">
        <v>1077</v>
      </c>
      <c r="B190" s="259">
        <v>25</v>
      </c>
      <c r="C190" s="259">
        <v>2</v>
      </c>
      <c r="D190" s="154">
        <v>1</v>
      </c>
      <c r="E190" s="263" t="s">
        <v>1078</v>
      </c>
      <c r="F190" s="259"/>
      <c r="G190" s="154" t="s">
        <v>256</v>
      </c>
      <c r="H190" s="154" t="s">
        <v>427</v>
      </c>
      <c r="I190" s="154" t="s">
        <v>334</v>
      </c>
      <c r="J190" s="269" t="s">
        <v>1079</v>
      </c>
      <c r="K190" s="288">
        <v>44155</v>
      </c>
      <c r="L190" s="271">
        <v>975590</v>
      </c>
      <c r="M190" s="289" t="s">
        <v>1080</v>
      </c>
      <c r="N190" s="271">
        <v>139.37</v>
      </c>
      <c r="O190" s="271"/>
      <c r="P190" s="290">
        <v>139.37</v>
      </c>
      <c r="Q190" s="271"/>
      <c r="R190" s="154"/>
      <c r="S190" s="189" t="s">
        <v>430</v>
      </c>
      <c r="T190" s="308" t="s">
        <v>1081</v>
      </c>
      <c r="U190" s="305">
        <v>895036.7</v>
      </c>
      <c r="V190" s="305">
        <f t="shared" si="10"/>
        <v>80553.3</v>
      </c>
      <c r="W190" s="306">
        <f t="shared" si="11"/>
        <v>975590</v>
      </c>
      <c r="X190" s="271">
        <f t="shared" si="8"/>
        <v>895036.7</v>
      </c>
      <c r="Y190" s="271">
        <f t="shared" si="9"/>
        <v>6422.02</v>
      </c>
      <c r="Z190" s="154"/>
    </row>
    <row r="191" s="243" customFormat="1" ht="22" customHeight="1" outlineLevel="2" spans="1:26">
      <c r="A191" s="154" t="s">
        <v>1082</v>
      </c>
      <c r="B191" s="259">
        <v>25</v>
      </c>
      <c r="C191" s="259">
        <v>2</v>
      </c>
      <c r="D191" s="154">
        <v>2</v>
      </c>
      <c r="E191" s="263" t="s">
        <v>1083</v>
      </c>
      <c r="F191" s="259"/>
      <c r="G191" s="154" t="s">
        <v>256</v>
      </c>
      <c r="H191" s="154" t="s">
        <v>427</v>
      </c>
      <c r="I191" s="154" t="s">
        <v>334</v>
      </c>
      <c r="J191" s="269">
        <v>20190006056</v>
      </c>
      <c r="K191" s="288">
        <v>43789</v>
      </c>
      <c r="L191" s="271">
        <v>565827</v>
      </c>
      <c r="M191" s="289" t="s">
        <v>1084</v>
      </c>
      <c r="N191" s="271">
        <v>138.95</v>
      </c>
      <c r="O191" s="271"/>
      <c r="P191" s="290">
        <v>138.95</v>
      </c>
      <c r="Q191" s="271"/>
      <c r="R191" s="154"/>
      <c r="S191" s="189" t="s">
        <v>430</v>
      </c>
      <c r="T191" s="308" t="s">
        <v>1085</v>
      </c>
      <c r="U191" s="305">
        <v>519107.34</v>
      </c>
      <c r="V191" s="305">
        <f t="shared" si="10"/>
        <v>46719.66</v>
      </c>
      <c r="W191" s="306">
        <f t="shared" si="11"/>
        <v>565827</v>
      </c>
      <c r="X191" s="271">
        <f t="shared" si="8"/>
        <v>519107.34</v>
      </c>
      <c r="Y191" s="271">
        <f t="shared" si="9"/>
        <v>3735.93</v>
      </c>
      <c r="Z191" s="154"/>
    </row>
    <row r="192" s="243" customFormat="1" ht="22" customHeight="1" outlineLevel="2" spans="1:26">
      <c r="A192" s="154" t="s">
        <v>1086</v>
      </c>
      <c r="B192" s="259">
        <v>25</v>
      </c>
      <c r="C192" s="259">
        <v>2</v>
      </c>
      <c r="D192" s="154">
        <v>2</v>
      </c>
      <c r="E192" s="263" t="s">
        <v>1087</v>
      </c>
      <c r="F192" s="259"/>
      <c r="G192" s="154" t="s">
        <v>256</v>
      </c>
      <c r="H192" s="154" t="s">
        <v>427</v>
      </c>
      <c r="I192" s="154" t="s">
        <v>334</v>
      </c>
      <c r="J192" s="269" t="s">
        <v>1088</v>
      </c>
      <c r="K192" s="288">
        <v>43799</v>
      </c>
      <c r="L192" s="271">
        <v>571899</v>
      </c>
      <c r="M192" s="289" t="s">
        <v>1089</v>
      </c>
      <c r="N192" s="271">
        <v>139.37</v>
      </c>
      <c r="O192" s="271"/>
      <c r="P192" s="290">
        <v>139.37</v>
      </c>
      <c r="Q192" s="271"/>
      <c r="R192" s="154"/>
      <c r="S192" s="189" t="s">
        <v>430</v>
      </c>
      <c r="T192" s="308" t="s">
        <v>1090</v>
      </c>
      <c r="U192" s="305">
        <v>524677.98</v>
      </c>
      <c r="V192" s="305">
        <f t="shared" si="10"/>
        <v>47221.02</v>
      </c>
      <c r="W192" s="306">
        <f t="shared" si="11"/>
        <v>571899</v>
      </c>
      <c r="X192" s="271">
        <f t="shared" si="8"/>
        <v>524677.98</v>
      </c>
      <c r="Y192" s="271">
        <f t="shared" si="9"/>
        <v>3764.64</v>
      </c>
      <c r="Z192" s="154"/>
    </row>
    <row r="193" s="243" customFormat="1" ht="22" customHeight="1" outlineLevel="2" spans="1:26">
      <c r="A193" s="154" t="s">
        <v>1091</v>
      </c>
      <c r="B193" s="259">
        <v>25</v>
      </c>
      <c r="C193" s="259">
        <v>2</v>
      </c>
      <c r="D193" s="154">
        <v>3</v>
      </c>
      <c r="E193" s="263" t="s">
        <v>1092</v>
      </c>
      <c r="F193" s="259"/>
      <c r="G193" s="154" t="s">
        <v>256</v>
      </c>
      <c r="H193" s="154" t="s">
        <v>427</v>
      </c>
      <c r="I193" s="154" t="s">
        <v>334</v>
      </c>
      <c r="J193" s="269">
        <v>20190005998</v>
      </c>
      <c r="K193" s="288">
        <v>43788</v>
      </c>
      <c r="L193" s="271">
        <v>572418</v>
      </c>
      <c r="M193" s="289" t="s">
        <v>1093</v>
      </c>
      <c r="N193" s="271">
        <v>138.95</v>
      </c>
      <c r="O193" s="271"/>
      <c r="P193" s="290">
        <v>138.95</v>
      </c>
      <c r="Q193" s="271"/>
      <c r="R193" s="154"/>
      <c r="S193" s="189" t="s">
        <v>430</v>
      </c>
      <c r="T193" s="308" t="s">
        <v>1094</v>
      </c>
      <c r="U193" s="305">
        <v>525154.13</v>
      </c>
      <c r="V193" s="305">
        <f t="shared" si="10"/>
        <v>47263.87</v>
      </c>
      <c r="W193" s="306">
        <f t="shared" si="11"/>
        <v>572418</v>
      </c>
      <c r="X193" s="271">
        <f t="shared" si="8"/>
        <v>525154.13</v>
      </c>
      <c r="Y193" s="271">
        <f t="shared" si="9"/>
        <v>3779.45</v>
      </c>
      <c r="Z193" s="154"/>
    </row>
    <row r="194" s="243" customFormat="1" ht="22" customHeight="1" outlineLevel="2" spans="1:26">
      <c r="A194" s="154" t="s">
        <v>1095</v>
      </c>
      <c r="B194" s="259">
        <v>25</v>
      </c>
      <c r="C194" s="259">
        <v>2</v>
      </c>
      <c r="D194" s="154">
        <v>3</v>
      </c>
      <c r="E194" s="263" t="s">
        <v>1096</v>
      </c>
      <c r="F194" s="259"/>
      <c r="G194" s="154" t="s">
        <v>256</v>
      </c>
      <c r="H194" s="154" t="s">
        <v>427</v>
      </c>
      <c r="I194" s="154" t="s">
        <v>334</v>
      </c>
      <c r="J194" s="269">
        <v>20190006611</v>
      </c>
      <c r="K194" s="288">
        <v>43799</v>
      </c>
      <c r="L194" s="271">
        <v>578638</v>
      </c>
      <c r="M194" s="289" t="s">
        <v>1097</v>
      </c>
      <c r="N194" s="271">
        <v>139.37</v>
      </c>
      <c r="O194" s="271"/>
      <c r="P194" s="290">
        <v>139.37</v>
      </c>
      <c r="Q194" s="271"/>
      <c r="R194" s="154"/>
      <c r="S194" s="189" t="s">
        <v>430</v>
      </c>
      <c r="T194" s="308" t="s">
        <v>1098</v>
      </c>
      <c r="U194" s="305">
        <v>530860.55</v>
      </c>
      <c r="V194" s="305">
        <f t="shared" si="10"/>
        <v>47777.45</v>
      </c>
      <c r="W194" s="306">
        <f t="shared" si="11"/>
        <v>578638</v>
      </c>
      <c r="X194" s="271">
        <f t="shared" si="8"/>
        <v>530860.55</v>
      </c>
      <c r="Y194" s="271">
        <f t="shared" si="9"/>
        <v>3809</v>
      </c>
      <c r="Z194" s="154"/>
    </row>
    <row r="195" s="243" customFormat="1" ht="22" customHeight="1" outlineLevel="2" spans="1:26">
      <c r="A195" s="154" t="s">
        <v>1099</v>
      </c>
      <c r="B195" s="259">
        <v>25</v>
      </c>
      <c r="C195" s="259">
        <v>2</v>
      </c>
      <c r="D195" s="154">
        <v>4</v>
      </c>
      <c r="E195" s="263" t="s">
        <v>1100</v>
      </c>
      <c r="F195" s="259"/>
      <c r="G195" s="154" t="s">
        <v>256</v>
      </c>
      <c r="H195" s="154" t="s">
        <v>427</v>
      </c>
      <c r="I195" s="154" t="s">
        <v>334</v>
      </c>
      <c r="J195" s="269" t="s">
        <v>1101</v>
      </c>
      <c r="K195" s="288">
        <v>43801</v>
      </c>
      <c r="L195" s="271">
        <v>579137</v>
      </c>
      <c r="M195" s="289" t="s">
        <v>1102</v>
      </c>
      <c r="N195" s="271">
        <v>138.95</v>
      </c>
      <c r="O195" s="271"/>
      <c r="P195" s="290">
        <v>138.95</v>
      </c>
      <c r="Q195" s="271"/>
      <c r="R195" s="154"/>
      <c r="S195" s="189" t="s">
        <v>430</v>
      </c>
      <c r="T195" s="308" t="s">
        <v>1103</v>
      </c>
      <c r="U195" s="305">
        <v>531318.35</v>
      </c>
      <c r="V195" s="305">
        <f t="shared" si="10"/>
        <v>47818.65</v>
      </c>
      <c r="W195" s="306">
        <f t="shared" si="11"/>
        <v>579137</v>
      </c>
      <c r="X195" s="271">
        <f t="shared" si="8"/>
        <v>531318.35</v>
      </c>
      <c r="Y195" s="271">
        <f t="shared" si="9"/>
        <v>3823.81</v>
      </c>
      <c r="Z195" s="154"/>
    </row>
    <row r="196" s="243" customFormat="1" ht="22" customHeight="1" outlineLevel="2" spans="1:26">
      <c r="A196" s="154" t="s">
        <v>1104</v>
      </c>
      <c r="B196" s="259">
        <v>25</v>
      </c>
      <c r="C196" s="259">
        <v>2</v>
      </c>
      <c r="D196" s="154">
        <v>4</v>
      </c>
      <c r="E196" s="263" t="s">
        <v>1105</v>
      </c>
      <c r="F196" s="259"/>
      <c r="G196" s="154" t="s">
        <v>256</v>
      </c>
      <c r="H196" s="154" t="s">
        <v>427</v>
      </c>
      <c r="I196" s="154" t="s">
        <v>334</v>
      </c>
      <c r="J196" s="269">
        <v>20190006277</v>
      </c>
      <c r="K196" s="288">
        <v>43793</v>
      </c>
      <c r="L196" s="271">
        <v>585248</v>
      </c>
      <c r="M196" s="289" t="s">
        <v>1106</v>
      </c>
      <c r="N196" s="271">
        <v>139.37</v>
      </c>
      <c r="O196" s="271"/>
      <c r="P196" s="290">
        <v>139.37</v>
      </c>
      <c r="Q196" s="271"/>
      <c r="R196" s="154"/>
      <c r="S196" s="189" t="s">
        <v>430</v>
      </c>
      <c r="T196" s="308" t="s">
        <v>1107</v>
      </c>
      <c r="U196" s="305">
        <v>536924.77</v>
      </c>
      <c r="V196" s="305">
        <f t="shared" si="10"/>
        <v>48323.23</v>
      </c>
      <c r="W196" s="306">
        <f t="shared" si="11"/>
        <v>585248</v>
      </c>
      <c r="X196" s="271">
        <f t="shared" si="8"/>
        <v>536924.77</v>
      </c>
      <c r="Y196" s="271">
        <f t="shared" si="9"/>
        <v>3852.51</v>
      </c>
      <c r="Z196" s="154"/>
    </row>
    <row r="197" s="243" customFormat="1" ht="22" customHeight="1" outlineLevel="2" spans="1:26">
      <c r="A197" s="154" t="s">
        <v>1108</v>
      </c>
      <c r="B197" s="259">
        <v>25</v>
      </c>
      <c r="C197" s="259">
        <v>2</v>
      </c>
      <c r="D197" s="154">
        <v>5</v>
      </c>
      <c r="E197" s="263" t="s">
        <v>1109</v>
      </c>
      <c r="F197" s="259"/>
      <c r="G197" s="154" t="s">
        <v>256</v>
      </c>
      <c r="H197" s="154" t="s">
        <v>427</v>
      </c>
      <c r="I197" s="154" t="s">
        <v>334</v>
      </c>
      <c r="J197" s="269" t="s">
        <v>1110</v>
      </c>
      <c r="K197" s="288">
        <v>43792</v>
      </c>
      <c r="L197" s="271">
        <v>585727</v>
      </c>
      <c r="M197" s="289" t="s">
        <v>1111</v>
      </c>
      <c r="N197" s="271">
        <v>138.95</v>
      </c>
      <c r="O197" s="271"/>
      <c r="P197" s="290">
        <v>138.95</v>
      </c>
      <c r="Q197" s="271"/>
      <c r="R197" s="154"/>
      <c r="S197" s="189" t="s">
        <v>430</v>
      </c>
      <c r="T197" s="308" t="s">
        <v>1112</v>
      </c>
      <c r="U197" s="305">
        <v>537364.22</v>
      </c>
      <c r="V197" s="305">
        <f t="shared" si="10"/>
        <v>48362.78</v>
      </c>
      <c r="W197" s="306">
        <f t="shared" si="11"/>
        <v>585727</v>
      </c>
      <c r="X197" s="271">
        <f t="shared" si="8"/>
        <v>537364.22</v>
      </c>
      <c r="Y197" s="271">
        <f t="shared" si="9"/>
        <v>3867.32</v>
      </c>
      <c r="Z197" s="154"/>
    </row>
    <row r="198" s="243" customFormat="1" ht="22" customHeight="1" outlineLevel="2" spans="1:26">
      <c r="A198" s="154" t="s">
        <v>1113</v>
      </c>
      <c r="B198" s="259">
        <v>25</v>
      </c>
      <c r="C198" s="259">
        <v>2</v>
      </c>
      <c r="D198" s="154">
        <v>5</v>
      </c>
      <c r="E198" s="263" t="s">
        <v>1114</v>
      </c>
      <c r="F198" s="259"/>
      <c r="G198" s="154" t="s">
        <v>256</v>
      </c>
      <c r="H198" s="154" t="s">
        <v>427</v>
      </c>
      <c r="I198" s="154" t="s">
        <v>334</v>
      </c>
      <c r="J198" s="269" t="s">
        <v>1115</v>
      </c>
      <c r="K198" s="288">
        <v>43936</v>
      </c>
      <c r="L198" s="271">
        <v>591988</v>
      </c>
      <c r="M198" s="289" t="s">
        <v>1116</v>
      </c>
      <c r="N198" s="271">
        <v>139.37</v>
      </c>
      <c r="O198" s="271"/>
      <c r="P198" s="290">
        <v>139.37</v>
      </c>
      <c r="Q198" s="271"/>
      <c r="R198" s="154"/>
      <c r="S198" s="189" t="s">
        <v>430</v>
      </c>
      <c r="T198" s="308" t="s">
        <v>1117</v>
      </c>
      <c r="U198" s="305">
        <v>543108.26</v>
      </c>
      <c r="V198" s="305">
        <f t="shared" si="10"/>
        <v>48879.74</v>
      </c>
      <c r="W198" s="306">
        <f t="shared" si="11"/>
        <v>591988</v>
      </c>
      <c r="X198" s="271">
        <f t="shared" si="8"/>
        <v>543108.26</v>
      </c>
      <c r="Y198" s="271">
        <f t="shared" si="9"/>
        <v>3896.88</v>
      </c>
      <c r="Z198" s="154"/>
    </row>
    <row r="199" s="243" customFormat="1" ht="22" customHeight="1" outlineLevel="2" spans="1:26">
      <c r="A199" s="154" t="s">
        <v>1118</v>
      </c>
      <c r="B199" s="259">
        <v>25</v>
      </c>
      <c r="C199" s="259">
        <v>2</v>
      </c>
      <c r="D199" s="154">
        <v>6</v>
      </c>
      <c r="E199" s="263" t="s">
        <v>1119</v>
      </c>
      <c r="F199" s="259"/>
      <c r="G199" s="154" t="s">
        <v>256</v>
      </c>
      <c r="H199" s="154" t="s">
        <v>427</v>
      </c>
      <c r="I199" s="154" t="s">
        <v>334</v>
      </c>
      <c r="J199" s="269">
        <v>20190006263</v>
      </c>
      <c r="K199" s="288">
        <v>43792</v>
      </c>
      <c r="L199" s="271">
        <v>589972</v>
      </c>
      <c r="M199" s="289" t="s">
        <v>1120</v>
      </c>
      <c r="N199" s="271">
        <v>138.95</v>
      </c>
      <c r="O199" s="271"/>
      <c r="P199" s="290">
        <v>138.95</v>
      </c>
      <c r="Q199" s="271"/>
      <c r="R199" s="154"/>
      <c r="S199" s="189" t="s">
        <v>430</v>
      </c>
      <c r="T199" s="308" t="s">
        <v>1121</v>
      </c>
      <c r="U199" s="305">
        <v>541258.72</v>
      </c>
      <c r="V199" s="305">
        <f t="shared" si="10"/>
        <v>48713.28</v>
      </c>
      <c r="W199" s="306">
        <f t="shared" si="11"/>
        <v>589972</v>
      </c>
      <c r="X199" s="271">
        <f t="shared" ref="X199:X262" si="12">U199</f>
        <v>541258.72</v>
      </c>
      <c r="Y199" s="271">
        <f t="shared" ref="Y199:Y262" si="13">ROUND(X199/P199,2)</f>
        <v>3895.35</v>
      </c>
      <c r="Z199" s="154"/>
    </row>
    <row r="200" s="243" customFormat="1" ht="22" customHeight="1" outlineLevel="2" spans="1:26">
      <c r="A200" s="154" t="s">
        <v>1122</v>
      </c>
      <c r="B200" s="259">
        <v>25</v>
      </c>
      <c r="C200" s="259">
        <v>2</v>
      </c>
      <c r="D200" s="154">
        <v>6</v>
      </c>
      <c r="E200" s="263" t="s">
        <v>1123</v>
      </c>
      <c r="F200" s="259"/>
      <c r="G200" s="154" t="s">
        <v>256</v>
      </c>
      <c r="H200" s="154" t="s">
        <v>427</v>
      </c>
      <c r="I200" s="154" t="s">
        <v>334</v>
      </c>
      <c r="J200" s="269">
        <v>20190006379</v>
      </c>
      <c r="K200" s="288">
        <v>43795</v>
      </c>
      <c r="L200" s="271">
        <v>600802</v>
      </c>
      <c r="M200" s="289" t="s">
        <v>1124</v>
      </c>
      <c r="N200" s="271">
        <v>139.37</v>
      </c>
      <c r="O200" s="271"/>
      <c r="P200" s="290">
        <v>139.37</v>
      </c>
      <c r="Q200" s="271"/>
      <c r="R200" s="154"/>
      <c r="S200" s="189" t="s">
        <v>430</v>
      </c>
      <c r="T200" s="308" t="s">
        <v>1125</v>
      </c>
      <c r="U200" s="305">
        <v>551194.5</v>
      </c>
      <c r="V200" s="305">
        <f t="shared" ref="V200:V263" si="14">L200-U200</f>
        <v>49607.5</v>
      </c>
      <c r="W200" s="306">
        <f t="shared" ref="W200:W263" si="15">U200+V200</f>
        <v>600802</v>
      </c>
      <c r="X200" s="271">
        <f t="shared" si="12"/>
        <v>551194.5</v>
      </c>
      <c r="Y200" s="271">
        <f t="shared" si="13"/>
        <v>3954.9</v>
      </c>
      <c r="Z200" s="154"/>
    </row>
    <row r="201" s="243" customFormat="1" ht="22" customHeight="1" outlineLevel="2" spans="1:26">
      <c r="A201" s="154" t="s">
        <v>1126</v>
      </c>
      <c r="B201" s="259">
        <v>25</v>
      </c>
      <c r="C201" s="259">
        <v>2</v>
      </c>
      <c r="D201" s="154">
        <v>7</v>
      </c>
      <c r="E201" s="263" t="s">
        <v>1127</v>
      </c>
      <c r="F201" s="259"/>
      <c r="G201" s="154" t="s">
        <v>257</v>
      </c>
      <c r="H201" s="154" t="s">
        <v>427</v>
      </c>
      <c r="I201" s="154" t="s">
        <v>334</v>
      </c>
      <c r="J201" s="269" t="s">
        <v>1128</v>
      </c>
      <c r="K201" s="288">
        <v>43922</v>
      </c>
      <c r="L201" s="271">
        <v>873566</v>
      </c>
      <c r="M201" s="289" t="s">
        <v>1129</v>
      </c>
      <c r="N201" s="271">
        <v>208.8</v>
      </c>
      <c r="O201" s="271"/>
      <c r="P201" s="290">
        <v>208.8</v>
      </c>
      <c r="Q201" s="271"/>
      <c r="R201" s="154"/>
      <c r="S201" s="189" t="s">
        <v>430</v>
      </c>
      <c r="T201" s="308" t="s">
        <v>1130</v>
      </c>
      <c r="U201" s="305">
        <v>801436.7</v>
      </c>
      <c r="V201" s="305">
        <f t="shared" si="14"/>
        <v>72129.3</v>
      </c>
      <c r="W201" s="306">
        <f t="shared" si="15"/>
        <v>873566</v>
      </c>
      <c r="X201" s="271">
        <f t="shared" si="12"/>
        <v>801436.7</v>
      </c>
      <c r="Y201" s="271">
        <f t="shared" si="13"/>
        <v>3838.3</v>
      </c>
      <c r="Z201" s="154"/>
    </row>
    <row r="202" s="243" customFormat="1" ht="22" customHeight="1" outlineLevel="2" spans="1:26">
      <c r="A202" s="154" t="s">
        <v>1131</v>
      </c>
      <c r="B202" s="259">
        <v>25</v>
      </c>
      <c r="C202" s="259">
        <v>2</v>
      </c>
      <c r="D202" s="154">
        <v>7</v>
      </c>
      <c r="E202" s="263" t="s">
        <v>1132</v>
      </c>
      <c r="F202" s="259"/>
      <c r="G202" s="154" t="s">
        <v>257</v>
      </c>
      <c r="H202" s="154" t="s">
        <v>427</v>
      </c>
      <c r="I202" s="154" t="s">
        <v>334</v>
      </c>
      <c r="J202" s="269">
        <v>20190006591</v>
      </c>
      <c r="K202" s="288">
        <v>43494</v>
      </c>
      <c r="L202" s="271">
        <v>878882</v>
      </c>
      <c r="M202" s="289" t="s">
        <v>1133</v>
      </c>
      <c r="N202" s="271">
        <v>209.22</v>
      </c>
      <c r="O202" s="271"/>
      <c r="P202" s="290">
        <v>209.22</v>
      </c>
      <c r="Q202" s="271"/>
      <c r="R202" s="154"/>
      <c r="S202" s="189" t="s">
        <v>430</v>
      </c>
      <c r="T202" s="308" t="s">
        <v>1134</v>
      </c>
      <c r="U202" s="305">
        <v>806313.76</v>
      </c>
      <c r="V202" s="305">
        <f t="shared" si="14"/>
        <v>72568.24</v>
      </c>
      <c r="W202" s="306">
        <f t="shared" si="15"/>
        <v>878882</v>
      </c>
      <c r="X202" s="271">
        <f t="shared" si="12"/>
        <v>806313.76</v>
      </c>
      <c r="Y202" s="271">
        <f t="shared" si="13"/>
        <v>3853.9</v>
      </c>
      <c r="Z202" s="154"/>
    </row>
    <row r="203" s="243" customFormat="1" ht="22" customHeight="1" outlineLevel="2" spans="1:26">
      <c r="A203" s="154" t="s">
        <v>1135</v>
      </c>
      <c r="B203" s="259">
        <v>25</v>
      </c>
      <c r="C203" s="259">
        <v>1</v>
      </c>
      <c r="D203" s="154">
        <v>7</v>
      </c>
      <c r="E203" s="263" t="s">
        <v>1136</v>
      </c>
      <c r="F203" s="259"/>
      <c r="G203" s="154" t="s">
        <v>536</v>
      </c>
      <c r="H203" s="154" t="s">
        <v>537</v>
      </c>
      <c r="I203" s="154"/>
      <c r="J203" s="269"/>
      <c r="K203" s="288"/>
      <c r="L203" s="271"/>
      <c r="M203" s="289"/>
      <c r="N203" s="271">
        <v>10.3</v>
      </c>
      <c r="O203" s="271"/>
      <c r="P203" s="290">
        <v>10.3</v>
      </c>
      <c r="Q203" s="271"/>
      <c r="R203" s="154"/>
      <c r="S203" s="189"/>
      <c r="T203" s="308"/>
      <c r="U203" s="305"/>
      <c r="V203" s="305">
        <f t="shared" si="14"/>
        <v>0</v>
      </c>
      <c r="W203" s="306">
        <f t="shared" si="15"/>
        <v>0</v>
      </c>
      <c r="X203" s="271">
        <f t="shared" si="12"/>
        <v>0</v>
      </c>
      <c r="Y203" s="271">
        <f t="shared" si="13"/>
        <v>0</v>
      </c>
      <c r="Z203" s="154"/>
    </row>
    <row r="204" s="243" customFormat="1" ht="22" customHeight="1" outlineLevel="2" spans="1:26">
      <c r="A204" s="154" t="s">
        <v>1137</v>
      </c>
      <c r="B204" s="259">
        <v>25</v>
      </c>
      <c r="C204" s="259">
        <v>1</v>
      </c>
      <c r="D204" s="154">
        <v>7</v>
      </c>
      <c r="E204" s="263" t="s">
        <v>1138</v>
      </c>
      <c r="F204" s="259"/>
      <c r="G204" s="154" t="s">
        <v>536</v>
      </c>
      <c r="H204" s="154" t="s">
        <v>537</v>
      </c>
      <c r="I204" s="154"/>
      <c r="J204" s="269"/>
      <c r="K204" s="288"/>
      <c r="L204" s="271"/>
      <c r="M204" s="289"/>
      <c r="N204" s="271">
        <v>8.95</v>
      </c>
      <c r="O204" s="271"/>
      <c r="P204" s="290">
        <v>8.95</v>
      </c>
      <c r="Q204" s="271"/>
      <c r="R204" s="154"/>
      <c r="S204" s="189"/>
      <c r="T204" s="308"/>
      <c r="U204" s="305"/>
      <c r="V204" s="305">
        <f t="shared" si="14"/>
        <v>0</v>
      </c>
      <c r="W204" s="306">
        <f t="shared" si="15"/>
        <v>0</v>
      </c>
      <c r="X204" s="271">
        <f t="shared" si="12"/>
        <v>0</v>
      </c>
      <c r="Y204" s="271">
        <f t="shared" si="13"/>
        <v>0</v>
      </c>
      <c r="Z204" s="154"/>
    </row>
    <row r="205" s="243" customFormat="1" ht="22" customHeight="1" outlineLevel="2" spans="1:26">
      <c r="A205" s="154" t="s">
        <v>1139</v>
      </c>
      <c r="B205" s="259">
        <v>25</v>
      </c>
      <c r="C205" s="259">
        <v>1</v>
      </c>
      <c r="D205" s="154">
        <v>8</v>
      </c>
      <c r="E205" s="263" t="s">
        <v>1140</v>
      </c>
      <c r="F205" s="259"/>
      <c r="G205" s="154" t="s">
        <v>536</v>
      </c>
      <c r="H205" s="154" t="s">
        <v>537</v>
      </c>
      <c r="I205" s="154"/>
      <c r="J205" s="269"/>
      <c r="K205" s="90"/>
      <c r="L205" s="271"/>
      <c r="M205" s="289"/>
      <c r="N205" s="271">
        <v>8.95</v>
      </c>
      <c r="O205" s="271"/>
      <c r="P205" s="290">
        <v>8.95</v>
      </c>
      <c r="Q205" s="271"/>
      <c r="R205" s="154"/>
      <c r="S205" s="189"/>
      <c r="T205" s="308"/>
      <c r="U205" s="305"/>
      <c r="V205" s="305">
        <f t="shared" si="14"/>
        <v>0</v>
      </c>
      <c r="W205" s="306">
        <f t="shared" si="15"/>
        <v>0</v>
      </c>
      <c r="X205" s="271">
        <f t="shared" si="12"/>
        <v>0</v>
      </c>
      <c r="Y205" s="271">
        <f t="shared" si="13"/>
        <v>0</v>
      </c>
      <c r="Z205" s="154"/>
    </row>
    <row r="206" s="243" customFormat="1" ht="22" customHeight="1" outlineLevel="2" spans="1:26">
      <c r="A206" s="154" t="s">
        <v>1141</v>
      </c>
      <c r="B206" s="259">
        <v>25</v>
      </c>
      <c r="C206" s="259">
        <v>1</v>
      </c>
      <c r="D206" s="154">
        <v>8</v>
      </c>
      <c r="E206" s="263" t="s">
        <v>1142</v>
      </c>
      <c r="F206" s="259"/>
      <c r="G206" s="154" t="s">
        <v>536</v>
      </c>
      <c r="H206" s="154" t="s">
        <v>537</v>
      </c>
      <c r="I206" s="154"/>
      <c r="J206" s="269"/>
      <c r="K206" s="90"/>
      <c r="L206" s="271"/>
      <c r="M206" s="289"/>
      <c r="N206" s="271">
        <v>9.4</v>
      </c>
      <c r="O206" s="271"/>
      <c r="P206" s="290">
        <v>9.4</v>
      </c>
      <c r="Q206" s="271"/>
      <c r="R206" s="154"/>
      <c r="S206" s="189"/>
      <c r="T206" s="308"/>
      <c r="U206" s="305"/>
      <c r="V206" s="305">
        <f t="shared" si="14"/>
        <v>0</v>
      </c>
      <c r="W206" s="306">
        <f t="shared" si="15"/>
        <v>0</v>
      </c>
      <c r="X206" s="271">
        <f t="shared" si="12"/>
        <v>0</v>
      </c>
      <c r="Y206" s="271">
        <f t="shared" si="13"/>
        <v>0</v>
      </c>
      <c r="Z206" s="154"/>
    </row>
    <row r="207" s="243" customFormat="1" ht="22" customHeight="1" outlineLevel="2" spans="1:26">
      <c r="A207" s="154" t="s">
        <v>1143</v>
      </c>
      <c r="B207" s="259">
        <v>25</v>
      </c>
      <c r="C207" s="259">
        <v>1</v>
      </c>
      <c r="D207" s="154">
        <v>-1</v>
      </c>
      <c r="E207" s="263" t="s">
        <v>1144</v>
      </c>
      <c r="F207" s="259"/>
      <c r="G207" s="154" t="s">
        <v>536</v>
      </c>
      <c r="H207" s="154" t="s">
        <v>537</v>
      </c>
      <c r="I207" s="154"/>
      <c r="J207" s="269"/>
      <c r="K207" s="90"/>
      <c r="L207" s="271"/>
      <c r="M207" s="289"/>
      <c r="N207" s="271">
        <v>8.22</v>
      </c>
      <c r="O207" s="271"/>
      <c r="P207" s="290">
        <v>8.22</v>
      </c>
      <c r="Q207" s="271"/>
      <c r="R207" s="154"/>
      <c r="S207" s="189"/>
      <c r="T207" s="308"/>
      <c r="U207" s="305"/>
      <c r="V207" s="305">
        <f t="shared" si="14"/>
        <v>0</v>
      </c>
      <c r="W207" s="306">
        <f t="shared" si="15"/>
        <v>0</v>
      </c>
      <c r="X207" s="271">
        <f t="shared" si="12"/>
        <v>0</v>
      </c>
      <c r="Y207" s="271">
        <f t="shared" si="13"/>
        <v>0</v>
      </c>
      <c r="Z207" s="154"/>
    </row>
    <row r="208" s="243" customFormat="1" ht="22" customHeight="1" outlineLevel="2" spans="1:26">
      <c r="A208" s="154" t="s">
        <v>1145</v>
      </c>
      <c r="B208" s="259">
        <v>25</v>
      </c>
      <c r="C208" s="259">
        <v>1</v>
      </c>
      <c r="D208" s="154">
        <v>-1</v>
      </c>
      <c r="E208" s="263" t="s">
        <v>1146</v>
      </c>
      <c r="F208" s="259"/>
      <c r="G208" s="154" t="s">
        <v>536</v>
      </c>
      <c r="H208" s="154" t="s">
        <v>537</v>
      </c>
      <c r="I208" s="154"/>
      <c r="J208" s="269"/>
      <c r="K208" s="90"/>
      <c r="L208" s="271"/>
      <c r="M208" s="289"/>
      <c r="N208" s="271">
        <v>76.79</v>
      </c>
      <c r="O208" s="271"/>
      <c r="P208" s="290">
        <v>76.79</v>
      </c>
      <c r="Q208" s="271"/>
      <c r="R208" s="154"/>
      <c r="S208" s="189"/>
      <c r="T208" s="308"/>
      <c r="U208" s="305"/>
      <c r="V208" s="305">
        <f t="shared" si="14"/>
        <v>0</v>
      </c>
      <c r="W208" s="306">
        <f t="shared" si="15"/>
        <v>0</v>
      </c>
      <c r="X208" s="271">
        <f t="shared" si="12"/>
        <v>0</v>
      </c>
      <c r="Y208" s="271">
        <f t="shared" si="13"/>
        <v>0</v>
      </c>
      <c r="Z208" s="154"/>
    </row>
    <row r="209" s="243" customFormat="1" ht="22" customHeight="1" outlineLevel="2" spans="1:26">
      <c r="A209" s="154" t="s">
        <v>1147</v>
      </c>
      <c r="B209" s="259">
        <v>25</v>
      </c>
      <c r="C209" s="259">
        <v>1</v>
      </c>
      <c r="D209" s="154">
        <v>-1</v>
      </c>
      <c r="E209" s="263" t="s">
        <v>1148</v>
      </c>
      <c r="F209" s="259"/>
      <c r="G209" s="154" t="s">
        <v>536</v>
      </c>
      <c r="H209" s="154" t="s">
        <v>537</v>
      </c>
      <c r="I209" s="154"/>
      <c r="J209" s="269"/>
      <c r="K209" s="90"/>
      <c r="L209" s="271"/>
      <c r="M209" s="289"/>
      <c r="N209" s="271">
        <v>14.58</v>
      </c>
      <c r="O209" s="271"/>
      <c r="P209" s="290">
        <v>14.58</v>
      </c>
      <c r="Q209" s="271"/>
      <c r="R209" s="154"/>
      <c r="S209" s="189"/>
      <c r="T209" s="308"/>
      <c r="U209" s="305"/>
      <c r="V209" s="305">
        <f t="shared" si="14"/>
        <v>0</v>
      </c>
      <c r="W209" s="306">
        <f t="shared" si="15"/>
        <v>0</v>
      </c>
      <c r="X209" s="271">
        <f t="shared" si="12"/>
        <v>0</v>
      </c>
      <c r="Y209" s="271">
        <f t="shared" si="13"/>
        <v>0</v>
      </c>
      <c r="Z209" s="154"/>
    </row>
    <row r="210" s="243" customFormat="1" ht="22" customHeight="1" outlineLevel="2" spans="1:26">
      <c r="A210" s="154" t="s">
        <v>1149</v>
      </c>
      <c r="B210" s="259">
        <v>25</v>
      </c>
      <c r="C210" s="259">
        <v>1</v>
      </c>
      <c r="D210" s="154">
        <v>-1</v>
      </c>
      <c r="E210" s="263" t="s">
        <v>1150</v>
      </c>
      <c r="F210" s="259"/>
      <c r="G210" s="154" t="s">
        <v>536</v>
      </c>
      <c r="H210" s="154" t="s">
        <v>537</v>
      </c>
      <c r="I210" s="154"/>
      <c r="J210" s="269"/>
      <c r="K210" s="90"/>
      <c r="L210" s="271"/>
      <c r="M210" s="289"/>
      <c r="N210" s="271">
        <v>14.58</v>
      </c>
      <c r="O210" s="271"/>
      <c r="P210" s="290">
        <v>14.58</v>
      </c>
      <c r="Q210" s="271"/>
      <c r="R210" s="154"/>
      <c r="S210" s="189"/>
      <c r="T210" s="308"/>
      <c r="U210" s="305"/>
      <c r="V210" s="305">
        <f t="shared" si="14"/>
        <v>0</v>
      </c>
      <c r="W210" s="306">
        <f t="shared" si="15"/>
        <v>0</v>
      </c>
      <c r="X210" s="271">
        <f t="shared" si="12"/>
        <v>0</v>
      </c>
      <c r="Y210" s="271">
        <f t="shared" si="13"/>
        <v>0</v>
      </c>
      <c r="Z210" s="154"/>
    </row>
    <row r="211" s="243" customFormat="1" ht="22" customHeight="1" outlineLevel="2" spans="1:26">
      <c r="A211" s="154" t="s">
        <v>1151</v>
      </c>
      <c r="B211" s="259">
        <v>25</v>
      </c>
      <c r="C211" s="259">
        <v>1</v>
      </c>
      <c r="D211" s="154">
        <v>-1</v>
      </c>
      <c r="E211" s="263" t="s">
        <v>1152</v>
      </c>
      <c r="F211" s="259"/>
      <c r="G211" s="154" t="s">
        <v>536</v>
      </c>
      <c r="H211" s="154" t="s">
        <v>537</v>
      </c>
      <c r="I211" s="154"/>
      <c r="J211" s="269"/>
      <c r="K211" s="90"/>
      <c r="L211" s="271"/>
      <c r="M211" s="289"/>
      <c r="N211" s="271">
        <v>76.79</v>
      </c>
      <c r="O211" s="271"/>
      <c r="P211" s="290">
        <v>76.79</v>
      </c>
      <c r="Q211" s="271"/>
      <c r="R211" s="154"/>
      <c r="S211" s="189"/>
      <c r="T211" s="308"/>
      <c r="U211" s="305"/>
      <c r="V211" s="305">
        <f t="shared" si="14"/>
        <v>0</v>
      </c>
      <c r="W211" s="306">
        <f t="shared" si="15"/>
        <v>0</v>
      </c>
      <c r="X211" s="271">
        <f t="shared" si="12"/>
        <v>0</v>
      </c>
      <c r="Y211" s="271">
        <f t="shared" si="13"/>
        <v>0</v>
      </c>
      <c r="Z211" s="154"/>
    </row>
    <row r="212" s="243" customFormat="1" ht="22" customHeight="1" outlineLevel="2" spans="1:26">
      <c r="A212" s="154" t="s">
        <v>1153</v>
      </c>
      <c r="B212" s="259">
        <v>25</v>
      </c>
      <c r="C212" s="259">
        <v>1</v>
      </c>
      <c r="D212" s="154">
        <v>-1</v>
      </c>
      <c r="E212" s="263" t="s">
        <v>1154</v>
      </c>
      <c r="F212" s="259"/>
      <c r="G212" s="154" t="s">
        <v>536</v>
      </c>
      <c r="H212" s="154" t="s">
        <v>537</v>
      </c>
      <c r="I212" s="154"/>
      <c r="J212" s="269"/>
      <c r="K212" s="90"/>
      <c r="L212" s="271"/>
      <c r="M212" s="289"/>
      <c r="N212" s="271">
        <v>8.22</v>
      </c>
      <c r="O212" s="271"/>
      <c r="P212" s="290">
        <v>8.22</v>
      </c>
      <c r="Q212" s="271"/>
      <c r="R212" s="154"/>
      <c r="S212" s="189"/>
      <c r="T212" s="308"/>
      <c r="U212" s="305"/>
      <c r="V212" s="305">
        <f t="shared" si="14"/>
        <v>0</v>
      </c>
      <c r="W212" s="306">
        <f t="shared" si="15"/>
        <v>0</v>
      </c>
      <c r="X212" s="271">
        <f t="shared" si="12"/>
        <v>0</v>
      </c>
      <c r="Y212" s="271">
        <f t="shared" si="13"/>
        <v>0</v>
      </c>
      <c r="Z212" s="154"/>
    </row>
    <row r="213" s="243" customFormat="1" ht="22" customHeight="1" outlineLevel="2" spans="1:26">
      <c r="A213" s="154" t="s">
        <v>1155</v>
      </c>
      <c r="B213" s="259">
        <v>25</v>
      </c>
      <c r="C213" s="259">
        <v>1</v>
      </c>
      <c r="D213" s="154">
        <v>-1</v>
      </c>
      <c r="E213" s="263" t="s">
        <v>1156</v>
      </c>
      <c r="F213" s="259"/>
      <c r="G213" s="154" t="s">
        <v>536</v>
      </c>
      <c r="H213" s="154" t="s">
        <v>537</v>
      </c>
      <c r="I213" s="154"/>
      <c r="J213" s="269"/>
      <c r="K213" s="90"/>
      <c r="L213" s="271"/>
      <c r="M213" s="289"/>
      <c r="N213" s="271">
        <v>9.4</v>
      </c>
      <c r="O213" s="271"/>
      <c r="P213" s="290">
        <v>9.4</v>
      </c>
      <c r="Q213" s="271"/>
      <c r="R213" s="154"/>
      <c r="S213" s="189"/>
      <c r="T213" s="308"/>
      <c r="U213" s="305"/>
      <c r="V213" s="305">
        <f t="shared" si="14"/>
        <v>0</v>
      </c>
      <c r="W213" s="306">
        <f t="shared" si="15"/>
        <v>0</v>
      </c>
      <c r="X213" s="271">
        <f t="shared" si="12"/>
        <v>0</v>
      </c>
      <c r="Y213" s="271">
        <f t="shared" si="13"/>
        <v>0</v>
      </c>
      <c r="Z213" s="154"/>
    </row>
    <row r="214" s="243" customFormat="1" ht="22" customHeight="1" outlineLevel="2" spans="1:26">
      <c r="A214" s="154" t="s">
        <v>1157</v>
      </c>
      <c r="B214" s="259">
        <v>25</v>
      </c>
      <c r="C214" s="259">
        <v>1</v>
      </c>
      <c r="D214" s="154">
        <v>-1</v>
      </c>
      <c r="E214" s="263" t="s">
        <v>1158</v>
      </c>
      <c r="F214" s="259"/>
      <c r="G214" s="154" t="s">
        <v>536</v>
      </c>
      <c r="H214" s="154" t="s">
        <v>537</v>
      </c>
      <c r="I214" s="154"/>
      <c r="J214" s="269"/>
      <c r="K214" s="90"/>
      <c r="L214" s="271"/>
      <c r="M214" s="289"/>
      <c r="N214" s="271">
        <v>8.95</v>
      </c>
      <c r="O214" s="271"/>
      <c r="P214" s="290">
        <v>8.95</v>
      </c>
      <c r="Q214" s="271"/>
      <c r="R214" s="154"/>
      <c r="S214" s="189"/>
      <c r="T214" s="308"/>
      <c r="U214" s="305"/>
      <c r="V214" s="305">
        <f t="shared" si="14"/>
        <v>0</v>
      </c>
      <c r="W214" s="306">
        <f t="shared" si="15"/>
        <v>0</v>
      </c>
      <c r="X214" s="271">
        <f t="shared" si="12"/>
        <v>0</v>
      </c>
      <c r="Y214" s="271">
        <f t="shared" si="13"/>
        <v>0</v>
      </c>
      <c r="Z214" s="154"/>
    </row>
    <row r="215" s="243" customFormat="1" ht="22" customHeight="1" outlineLevel="2" spans="1:26">
      <c r="A215" s="154" t="s">
        <v>1159</v>
      </c>
      <c r="B215" s="259">
        <v>25</v>
      </c>
      <c r="C215" s="259">
        <v>1</v>
      </c>
      <c r="D215" s="154">
        <v>-1</v>
      </c>
      <c r="E215" s="263" t="s">
        <v>1160</v>
      </c>
      <c r="F215" s="259"/>
      <c r="G215" s="154" t="s">
        <v>536</v>
      </c>
      <c r="H215" s="154" t="s">
        <v>537</v>
      </c>
      <c r="I215" s="154"/>
      <c r="J215" s="269"/>
      <c r="K215" s="90"/>
      <c r="L215" s="271"/>
      <c r="M215" s="289"/>
      <c r="N215" s="271">
        <v>8.95</v>
      </c>
      <c r="O215" s="271"/>
      <c r="P215" s="290">
        <v>8.95</v>
      </c>
      <c r="Q215" s="271"/>
      <c r="R215" s="154"/>
      <c r="S215" s="189"/>
      <c r="T215" s="308"/>
      <c r="U215" s="305"/>
      <c r="V215" s="305">
        <f t="shared" si="14"/>
        <v>0</v>
      </c>
      <c r="W215" s="306">
        <f t="shared" si="15"/>
        <v>0</v>
      </c>
      <c r="X215" s="271">
        <f t="shared" si="12"/>
        <v>0</v>
      </c>
      <c r="Y215" s="271">
        <f t="shared" si="13"/>
        <v>0</v>
      </c>
      <c r="Z215" s="154"/>
    </row>
    <row r="216" s="243" customFormat="1" ht="22" customHeight="1" outlineLevel="2" spans="1:26">
      <c r="A216" s="154" t="s">
        <v>1161</v>
      </c>
      <c r="B216" s="259">
        <v>25</v>
      </c>
      <c r="C216" s="259">
        <v>1</v>
      </c>
      <c r="D216" s="154">
        <v>-1</v>
      </c>
      <c r="E216" s="263" t="s">
        <v>1162</v>
      </c>
      <c r="F216" s="259"/>
      <c r="G216" s="154" t="s">
        <v>536</v>
      </c>
      <c r="H216" s="154" t="s">
        <v>537</v>
      </c>
      <c r="I216" s="154"/>
      <c r="J216" s="269"/>
      <c r="K216" s="90"/>
      <c r="L216" s="271"/>
      <c r="M216" s="289"/>
      <c r="N216" s="271">
        <v>8.95</v>
      </c>
      <c r="O216" s="271"/>
      <c r="P216" s="290">
        <v>8.95</v>
      </c>
      <c r="Q216" s="271"/>
      <c r="R216" s="154"/>
      <c r="S216" s="189"/>
      <c r="T216" s="308"/>
      <c r="U216" s="305"/>
      <c r="V216" s="305">
        <f t="shared" si="14"/>
        <v>0</v>
      </c>
      <c r="W216" s="306">
        <f t="shared" si="15"/>
        <v>0</v>
      </c>
      <c r="X216" s="271">
        <f t="shared" si="12"/>
        <v>0</v>
      </c>
      <c r="Y216" s="271">
        <f t="shared" si="13"/>
        <v>0</v>
      </c>
      <c r="Z216" s="154"/>
    </row>
    <row r="217" s="243" customFormat="1" ht="22" customHeight="1" outlineLevel="2" spans="1:26">
      <c r="A217" s="154" t="s">
        <v>1163</v>
      </c>
      <c r="B217" s="259">
        <v>25</v>
      </c>
      <c r="C217" s="259">
        <v>2</v>
      </c>
      <c r="D217" s="154">
        <v>-1</v>
      </c>
      <c r="E217" s="263" t="s">
        <v>1164</v>
      </c>
      <c r="F217" s="259"/>
      <c r="G217" s="154" t="s">
        <v>536</v>
      </c>
      <c r="H217" s="154" t="s">
        <v>537</v>
      </c>
      <c r="I217" s="154"/>
      <c r="J217" s="269"/>
      <c r="K217" s="90"/>
      <c r="L217" s="271"/>
      <c r="M217" s="289"/>
      <c r="N217" s="271">
        <v>10.3</v>
      </c>
      <c r="O217" s="271"/>
      <c r="P217" s="290">
        <v>10.3</v>
      </c>
      <c r="Q217" s="271"/>
      <c r="R217" s="154"/>
      <c r="S217" s="189"/>
      <c r="T217" s="308"/>
      <c r="U217" s="305"/>
      <c r="V217" s="305">
        <f t="shared" si="14"/>
        <v>0</v>
      </c>
      <c r="W217" s="306">
        <f t="shared" si="15"/>
        <v>0</v>
      </c>
      <c r="X217" s="271">
        <f t="shared" si="12"/>
        <v>0</v>
      </c>
      <c r="Y217" s="271">
        <f t="shared" si="13"/>
        <v>0</v>
      </c>
      <c r="Z217" s="154"/>
    </row>
    <row r="218" s="243" customFormat="1" ht="22" customHeight="1" outlineLevel="2" spans="1:26">
      <c r="A218" s="154" t="s">
        <v>1165</v>
      </c>
      <c r="B218" s="259">
        <v>25</v>
      </c>
      <c r="C218" s="259">
        <v>2</v>
      </c>
      <c r="D218" s="154">
        <v>-1</v>
      </c>
      <c r="E218" s="263" t="s">
        <v>1166</v>
      </c>
      <c r="F218" s="259"/>
      <c r="G218" s="154" t="s">
        <v>536</v>
      </c>
      <c r="H218" s="154" t="s">
        <v>537</v>
      </c>
      <c r="I218" s="154"/>
      <c r="J218" s="269"/>
      <c r="K218" s="90"/>
      <c r="L218" s="271"/>
      <c r="M218" s="289"/>
      <c r="N218" s="271">
        <v>8.95</v>
      </c>
      <c r="O218" s="271"/>
      <c r="P218" s="290">
        <v>8.95</v>
      </c>
      <c r="Q218" s="271"/>
      <c r="R218" s="154"/>
      <c r="S218" s="189"/>
      <c r="T218" s="308"/>
      <c r="U218" s="305"/>
      <c r="V218" s="305">
        <f t="shared" si="14"/>
        <v>0</v>
      </c>
      <c r="W218" s="306">
        <f t="shared" si="15"/>
        <v>0</v>
      </c>
      <c r="X218" s="271">
        <f t="shared" si="12"/>
        <v>0</v>
      </c>
      <c r="Y218" s="271">
        <f t="shared" si="13"/>
        <v>0</v>
      </c>
      <c r="Z218" s="154"/>
    </row>
    <row r="219" s="243" customFormat="1" ht="22" customHeight="1" outlineLevel="2" spans="1:26">
      <c r="A219" s="154" t="s">
        <v>1167</v>
      </c>
      <c r="B219" s="259">
        <v>25</v>
      </c>
      <c r="C219" s="259">
        <v>2</v>
      </c>
      <c r="D219" s="154">
        <v>-1</v>
      </c>
      <c r="E219" s="263" t="s">
        <v>1168</v>
      </c>
      <c r="F219" s="259"/>
      <c r="G219" s="154" t="s">
        <v>536</v>
      </c>
      <c r="H219" s="154" t="s">
        <v>537</v>
      </c>
      <c r="I219" s="154"/>
      <c r="J219" s="269"/>
      <c r="K219" s="90"/>
      <c r="L219" s="271"/>
      <c r="M219" s="289"/>
      <c r="N219" s="271">
        <v>8.95</v>
      </c>
      <c r="O219" s="271"/>
      <c r="P219" s="290">
        <v>8.95</v>
      </c>
      <c r="Q219" s="271"/>
      <c r="R219" s="154"/>
      <c r="S219" s="189"/>
      <c r="T219" s="308"/>
      <c r="U219" s="305"/>
      <c r="V219" s="305">
        <f t="shared" si="14"/>
        <v>0</v>
      </c>
      <c r="W219" s="306">
        <f t="shared" si="15"/>
        <v>0</v>
      </c>
      <c r="X219" s="271">
        <f t="shared" si="12"/>
        <v>0</v>
      </c>
      <c r="Y219" s="271">
        <f t="shared" si="13"/>
        <v>0</v>
      </c>
      <c r="Z219" s="154"/>
    </row>
    <row r="220" s="243" customFormat="1" ht="22" customHeight="1" outlineLevel="2" spans="1:26">
      <c r="A220" s="154" t="s">
        <v>1169</v>
      </c>
      <c r="B220" s="259">
        <v>25</v>
      </c>
      <c r="C220" s="259">
        <v>2</v>
      </c>
      <c r="D220" s="154">
        <v>-1</v>
      </c>
      <c r="E220" s="263" t="s">
        <v>1170</v>
      </c>
      <c r="F220" s="259"/>
      <c r="G220" s="154" t="s">
        <v>536</v>
      </c>
      <c r="H220" s="154" t="s">
        <v>537</v>
      </c>
      <c r="I220" s="154"/>
      <c r="J220" s="269"/>
      <c r="K220" s="90"/>
      <c r="L220" s="271"/>
      <c r="M220" s="289"/>
      <c r="N220" s="271">
        <v>9.4</v>
      </c>
      <c r="O220" s="271"/>
      <c r="P220" s="290">
        <v>9.4</v>
      </c>
      <c r="Q220" s="271"/>
      <c r="R220" s="154"/>
      <c r="S220" s="189"/>
      <c r="T220" s="308"/>
      <c r="U220" s="305"/>
      <c r="V220" s="305">
        <f t="shared" si="14"/>
        <v>0</v>
      </c>
      <c r="W220" s="306">
        <f t="shared" si="15"/>
        <v>0</v>
      </c>
      <c r="X220" s="271">
        <f t="shared" si="12"/>
        <v>0</v>
      </c>
      <c r="Y220" s="271">
        <f t="shared" si="13"/>
        <v>0</v>
      </c>
      <c r="Z220" s="154"/>
    </row>
    <row r="221" s="243" customFormat="1" ht="22" customHeight="1" outlineLevel="2" spans="1:26">
      <c r="A221" s="154" t="s">
        <v>1171</v>
      </c>
      <c r="B221" s="259">
        <v>25</v>
      </c>
      <c r="C221" s="259">
        <v>2</v>
      </c>
      <c r="D221" s="154">
        <v>-1</v>
      </c>
      <c r="E221" s="263" t="s">
        <v>1172</v>
      </c>
      <c r="F221" s="259"/>
      <c r="G221" s="154" t="s">
        <v>536</v>
      </c>
      <c r="H221" s="154" t="s">
        <v>537</v>
      </c>
      <c r="I221" s="154"/>
      <c r="J221" s="269"/>
      <c r="K221" s="90"/>
      <c r="L221" s="271"/>
      <c r="M221" s="289"/>
      <c r="N221" s="271">
        <v>8.22</v>
      </c>
      <c r="O221" s="271"/>
      <c r="P221" s="290">
        <v>8.22</v>
      </c>
      <c r="Q221" s="271"/>
      <c r="R221" s="154"/>
      <c r="S221" s="189"/>
      <c r="T221" s="308"/>
      <c r="U221" s="305"/>
      <c r="V221" s="305">
        <f t="shared" si="14"/>
        <v>0</v>
      </c>
      <c r="W221" s="306">
        <f t="shared" si="15"/>
        <v>0</v>
      </c>
      <c r="X221" s="271">
        <f t="shared" si="12"/>
        <v>0</v>
      </c>
      <c r="Y221" s="271">
        <f t="shared" si="13"/>
        <v>0</v>
      </c>
      <c r="Z221" s="154"/>
    </row>
    <row r="222" s="243" customFormat="1" ht="22" customHeight="1" outlineLevel="2" spans="1:26">
      <c r="A222" s="154" t="s">
        <v>1173</v>
      </c>
      <c r="B222" s="259">
        <v>25</v>
      </c>
      <c r="C222" s="259">
        <v>2</v>
      </c>
      <c r="D222" s="154">
        <v>-1</v>
      </c>
      <c r="E222" s="263" t="s">
        <v>1174</v>
      </c>
      <c r="F222" s="259"/>
      <c r="G222" s="154" t="s">
        <v>536</v>
      </c>
      <c r="H222" s="154" t="s">
        <v>537</v>
      </c>
      <c r="I222" s="154"/>
      <c r="J222" s="269"/>
      <c r="K222" s="90"/>
      <c r="L222" s="271"/>
      <c r="M222" s="289"/>
      <c r="N222" s="271">
        <v>76.79</v>
      </c>
      <c r="O222" s="271"/>
      <c r="P222" s="290">
        <v>76.79</v>
      </c>
      <c r="Q222" s="271"/>
      <c r="R222" s="154"/>
      <c r="S222" s="189"/>
      <c r="T222" s="308"/>
      <c r="U222" s="305"/>
      <c r="V222" s="305">
        <f t="shared" si="14"/>
        <v>0</v>
      </c>
      <c r="W222" s="306">
        <f t="shared" si="15"/>
        <v>0</v>
      </c>
      <c r="X222" s="271">
        <f t="shared" si="12"/>
        <v>0</v>
      </c>
      <c r="Y222" s="271">
        <f t="shared" si="13"/>
        <v>0</v>
      </c>
      <c r="Z222" s="154"/>
    </row>
    <row r="223" s="243" customFormat="1" ht="22" customHeight="1" outlineLevel="2" spans="1:26">
      <c r="A223" s="154" t="s">
        <v>1175</v>
      </c>
      <c r="B223" s="259">
        <v>25</v>
      </c>
      <c r="C223" s="259">
        <v>2</v>
      </c>
      <c r="D223" s="154">
        <v>-1</v>
      </c>
      <c r="E223" s="263" t="s">
        <v>1176</v>
      </c>
      <c r="F223" s="259"/>
      <c r="G223" s="154" t="s">
        <v>536</v>
      </c>
      <c r="H223" s="154" t="s">
        <v>537</v>
      </c>
      <c r="I223" s="154"/>
      <c r="J223" s="269"/>
      <c r="K223" s="90"/>
      <c r="L223" s="271"/>
      <c r="M223" s="289"/>
      <c r="N223" s="271">
        <v>14.58</v>
      </c>
      <c r="O223" s="271"/>
      <c r="P223" s="290">
        <v>14.58</v>
      </c>
      <c r="Q223" s="271"/>
      <c r="R223" s="154"/>
      <c r="S223" s="189"/>
      <c r="T223" s="308"/>
      <c r="U223" s="305"/>
      <c r="V223" s="305">
        <f t="shared" si="14"/>
        <v>0</v>
      </c>
      <c r="W223" s="306">
        <f t="shared" si="15"/>
        <v>0</v>
      </c>
      <c r="X223" s="271">
        <f t="shared" si="12"/>
        <v>0</v>
      </c>
      <c r="Y223" s="271">
        <f t="shared" si="13"/>
        <v>0</v>
      </c>
      <c r="Z223" s="154"/>
    </row>
    <row r="224" s="243" customFormat="1" ht="22" customHeight="1" outlineLevel="2" spans="1:26">
      <c r="A224" s="154" t="s">
        <v>1177</v>
      </c>
      <c r="B224" s="259">
        <v>25</v>
      </c>
      <c r="C224" s="259">
        <v>2</v>
      </c>
      <c r="D224" s="154">
        <v>-1</v>
      </c>
      <c r="E224" s="263" t="s">
        <v>1178</v>
      </c>
      <c r="F224" s="259"/>
      <c r="G224" s="154" t="s">
        <v>536</v>
      </c>
      <c r="H224" s="154" t="s">
        <v>537</v>
      </c>
      <c r="I224" s="154"/>
      <c r="J224" s="269"/>
      <c r="K224" s="90"/>
      <c r="L224" s="271"/>
      <c r="M224" s="289"/>
      <c r="N224" s="271">
        <v>14.58</v>
      </c>
      <c r="O224" s="271"/>
      <c r="P224" s="290">
        <v>14.58</v>
      </c>
      <c r="Q224" s="271"/>
      <c r="R224" s="154"/>
      <c r="S224" s="189"/>
      <c r="T224" s="308"/>
      <c r="U224" s="305"/>
      <c r="V224" s="305">
        <f t="shared" si="14"/>
        <v>0</v>
      </c>
      <c r="W224" s="306">
        <f t="shared" si="15"/>
        <v>0</v>
      </c>
      <c r="X224" s="271">
        <f t="shared" si="12"/>
        <v>0</v>
      </c>
      <c r="Y224" s="271">
        <f t="shared" si="13"/>
        <v>0</v>
      </c>
      <c r="Z224" s="154"/>
    </row>
    <row r="225" s="243" customFormat="1" ht="22" customHeight="1" outlineLevel="2" spans="1:26">
      <c r="A225" s="154" t="s">
        <v>1179</v>
      </c>
      <c r="B225" s="259">
        <v>25</v>
      </c>
      <c r="C225" s="259">
        <v>2</v>
      </c>
      <c r="D225" s="154">
        <v>-1</v>
      </c>
      <c r="E225" s="263" t="s">
        <v>1180</v>
      </c>
      <c r="F225" s="259"/>
      <c r="G225" s="154" t="s">
        <v>536</v>
      </c>
      <c r="H225" s="154" t="s">
        <v>537</v>
      </c>
      <c r="I225" s="154"/>
      <c r="J225" s="269"/>
      <c r="K225" s="90"/>
      <c r="L225" s="271"/>
      <c r="M225" s="289"/>
      <c r="N225" s="271">
        <v>76.79</v>
      </c>
      <c r="O225" s="271"/>
      <c r="P225" s="290">
        <v>76.79</v>
      </c>
      <c r="Q225" s="271"/>
      <c r="R225" s="154"/>
      <c r="S225" s="189"/>
      <c r="T225" s="308"/>
      <c r="U225" s="305"/>
      <c r="V225" s="305">
        <f t="shared" si="14"/>
        <v>0</v>
      </c>
      <c r="W225" s="306">
        <f t="shared" si="15"/>
        <v>0</v>
      </c>
      <c r="X225" s="271">
        <f t="shared" si="12"/>
        <v>0</v>
      </c>
      <c r="Y225" s="271">
        <f t="shared" si="13"/>
        <v>0</v>
      </c>
      <c r="Z225" s="154"/>
    </row>
    <row r="226" s="243" customFormat="1" ht="22" customHeight="1" outlineLevel="2" spans="1:26">
      <c r="A226" s="154" t="s">
        <v>1181</v>
      </c>
      <c r="B226" s="259">
        <v>25</v>
      </c>
      <c r="C226" s="259">
        <v>2</v>
      </c>
      <c r="D226" s="154">
        <v>-1</v>
      </c>
      <c r="E226" s="263" t="s">
        <v>1182</v>
      </c>
      <c r="F226" s="259"/>
      <c r="G226" s="154" t="s">
        <v>536</v>
      </c>
      <c r="H226" s="154" t="s">
        <v>537</v>
      </c>
      <c r="I226" s="154"/>
      <c r="J226" s="269"/>
      <c r="K226" s="90"/>
      <c r="L226" s="271"/>
      <c r="M226" s="289"/>
      <c r="N226" s="271">
        <v>8.22</v>
      </c>
      <c r="O226" s="271"/>
      <c r="P226" s="290">
        <v>8.22</v>
      </c>
      <c r="Q226" s="271"/>
      <c r="R226" s="154"/>
      <c r="S226" s="189"/>
      <c r="T226" s="308"/>
      <c r="U226" s="305"/>
      <c r="V226" s="305">
        <f t="shared" si="14"/>
        <v>0</v>
      </c>
      <c r="W226" s="306">
        <f t="shared" si="15"/>
        <v>0</v>
      </c>
      <c r="X226" s="271">
        <f t="shared" si="12"/>
        <v>0</v>
      </c>
      <c r="Y226" s="271">
        <f t="shared" si="13"/>
        <v>0</v>
      </c>
      <c r="Z226" s="154"/>
    </row>
    <row r="227" s="243" customFormat="1" ht="22" customHeight="1" outlineLevel="2" spans="1:26">
      <c r="A227" s="154" t="s">
        <v>1183</v>
      </c>
      <c r="B227" s="259">
        <v>25</v>
      </c>
      <c r="C227" s="259">
        <v>2</v>
      </c>
      <c r="D227" s="154">
        <v>-1</v>
      </c>
      <c r="E227" s="263" t="s">
        <v>1184</v>
      </c>
      <c r="F227" s="259"/>
      <c r="G227" s="154" t="s">
        <v>536</v>
      </c>
      <c r="H227" s="154" t="s">
        <v>537</v>
      </c>
      <c r="I227" s="154"/>
      <c r="J227" s="269"/>
      <c r="K227" s="90"/>
      <c r="L227" s="271"/>
      <c r="M227" s="289"/>
      <c r="N227" s="271">
        <v>9.4</v>
      </c>
      <c r="O227" s="271"/>
      <c r="P227" s="290">
        <v>9.4</v>
      </c>
      <c r="Q227" s="271"/>
      <c r="R227" s="154"/>
      <c r="S227" s="189"/>
      <c r="T227" s="308"/>
      <c r="U227" s="305"/>
      <c r="V227" s="305">
        <f t="shared" si="14"/>
        <v>0</v>
      </c>
      <c r="W227" s="306">
        <f t="shared" si="15"/>
        <v>0</v>
      </c>
      <c r="X227" s="271">
        <f t="shared" si="12"/>
        <v>0</v>
      </c>
      <c r="Y227" s="271">
        <f t="shared" si="13"/>
        <v>0</v>
      </c>
      <c r="Z227" s="154"/>
    </row>
    <row r="228" s="243" customFormat="1" ht="22" customHeight="1" outlineLevel="2" spans="1:26">
      <c r="A228" s="154" t="s">
        <v>1185</v>
      </c>
      <c r="B228" s="259">
        <v>25</v>
      </c>
      <c r="C228" s="259">
        <v>2</v>
      </c>
      <c r="D228" s="154">
        <v>-1</v>
      </c>
      <c r="E228" s="263" t="s">
        <v>1186</v>
      </c>
      <c r="F228" s="259"/>
      <c r="G228" s="154" t="s">
        <v>536</v>
      </c>
      <c r="H228" s="154" t="s">
        <v>537</v>
      </c>
      <c r="I228" s="154"/>
      <c r="J228" s="269"/>
      <c r="K228" s="90"/>
      <c r="L228" s="271"/>
      <c r="M228" s="289"/>
      <c r="N228" s="271">
        <v>8.95</v>
      </c>
      <c r="O228" s="271"/>
      <c r="P228" s="290">
        <v>8.95</v>
      </c>
      <c r="Q228" s="271"/>
      <c r="R228" s="154"/>
      <c r="S228" s="189"/>
      <c r="T228" s="308"/>
      <c r="U228" s="305"/>
      <c r="V228" s="305">
        <f t="shared" si="14"/>
        <v>0</v>
      </c>
      <c r="W228" s="306">
        <f t="shared" si="15"/>
        <v>0</v>
      </c>
      <c r="X228" s="271">
        <f t="shared" si="12"/>
        <v>0</v>
      </c>
      <c r="Y228" s="271">
        <f t="shared" si="13"/>
        <v>0</v>
      </c>
      <c r="Z228" s="154"/>
    </row>
    <row r="229" s="243" customFormat="1" ht="22" customHeight="1" outlineLevel="2" spans="1:26">
      <c r="A229" s="154" t="s">
        <v>1187</v>
      </c>
      <c r="B229" s="259">
        <v>25</v>
      </c>
      <c r="C229" s="259">
        <v>2</v>
      </c>
      <c r="D229" s="154">
        <v>-1</v>
      </c>
      <c r="E229" s="263" t="s">
        <v>1188</v>
      </c>
      <c r="F229" s="259"/>
      <c r="G229" s="154" t="s">
        <v>536</v>
      </c>
      <c r="H229" s="154" t="s">
        <v>537</v>
      </c>
      <c r="I229" s="154"/>
      <c r="J229" s="269"/>
      <c r="K229" s="90"/>
      <c r="L229" s="271"/>
      <c r="M229" s="289"/>
      <c r="N229" s="271">
        <v>8.95</v>
      </c>
      <c r="O229" s="271"/>
      <c r="P229" s="290">
        <v>8.95</v>
      </c>
      <c r="Q229" s="271"/>
      <c r="R229" s="154"/>
      <c r="S229" s="189"/>
      <c r="T229" s="308"/>
      <c r="U229" s="305"/>
      <c r="V229" s="305">
        <f t="shared" si="14"/>
        <v>0</v>
      </c>
      <c r="W229" s="306">
        <f t="shared" si="15"/>
        <v>0</v>
      </c>
      <c r="X229" s="271">
        <f t="shared" si="12"/>
        <v>0</v>
      </c>
      <c r="Y229" s="271">
        <f t="shared" si="13"/>
        <v>0</v>
      </c>
      <c r="Z229" s="154"/>
    </row>
    <row r="230" s="243" customFormat="1" ht="22" customHeight="1" outlineLevel="2" spans="1:26">
      <c r="A230" s="154" t="s">
        <v>1189</v>
      </c>
      <c r="B230" s="259">
        <v>25</v>
      </c>
      <c r="C230" s="259">
        <v>2</v>
      </c>
      <c r="D230" s="154">
        <v>-1</v>
      </c>
      <c r="E230" s="263" t="s">
        <v>1190</v>
      </c>
      <c r="F230" s="259"/>
      <c r="G230" s="154" t="s">
        <v>536</v>
      </c>
      <c r="H230" s="154" t="s">
        <v>537</v>
      </c>
      <c r="I230" s="154"/>
      <c r="J230" s="269"/>
      <c r="K230" s="90"/>
      <c r="L230" s="271"/>
      <c r="M230" s="289"/>
      <c r="N230" s="271">
        <v>8.95</v>
      </c>
      <c r="O230" s="271"/>
      <c r="P230" s="290">
        <v>8.95</v>
      </c>
      <c r="Q230" s="271"/>
      <c r="R230" s="154"/>
      <c r="S230" s="189"/>
      <c r="T230" s="308"/>
      <c r="U230" s="305"/>
      <c r="V230" s="305">
        <f t="shared" si="14"/>
        <v>0</v>
      </c>
      <c r="W230" s="306">
        <f t="shared" si="15"/>
        <v>0</v>
      </c>
      <c r="X230" s="271">
        <f t="shared" si="12"/>
        <v>0</v>
      </c>
      <c r="Y230" s="271">
        <f t="shared" si="13"/>
        <v>0</v>
      </c>
      <c r="Z230" s="154"/>
    </row>
    <row r="231" s="243" customFormat="1" ht="22" customHeight="1" outlineLevel="2" spans="1:26">
      <c r="A231" s="154" t="s">
        <v>1191</v>
      </c>
      <c r="B231" s="259">
        <v>26</v>
      </c>
      <c r="C231" s="259">
        <v>1</v>
      </c>
      <c r="D231" s="154">
        <v>1</v>
      </c>
      <c r="E231" s="263" t="s">
        <v>1192</v>
      </c>
      <c r="F231" s="259"/>
      <c r="G231" s="154" t="s">
        <v>257</v>
      </c>
      <c r="H231" s="154" t="s">
        <v>427</v>
      </c>
      <c r="I231" s="154" t="s">
        <v>334</v>
      </c>
      <c r="J231" s="269" t="s">
        <v>1193</v>
      </c>
      <c r="K231" s="288">
        <v>43790</v>
      </c>
      <c r="L231" s="271">
        <v>995527</v>
      </c>
      <c r="M231" s="289" t="s">
        <v>1194</v>
      </c>
      <c r="N231" s="271">
        <v>150.86</v>
      </c>
      <c r="O231" s="271"/>
      <c r="P231" s="290">
        <v>150.86</v>
      </c>
      <c r="Q231" s="271"/>
      <c r="R231" s="154"/>
      <c r="S231" s="189" t="s">
        <v>430</v>
      </c>
      <c r="T231" s="308" t="s">
        <v>1195</v>
      </c>
      <c r="U231" s="305">
        <v>913327.52</v>
      </c>
      <c r="V231" s="305">
        <f t="shared" si="14"/>
        <v>82199.48</v>
      </c>
      <c r="W231" s="306">
        <f t="shared" si="15"/>
        <v>995527</v>
      </c>
      <c r="X231" s="271">
        <f t="shared" si="12"/>
        <v>913327.52</v>
      </c>
      <c r="Y231" s="271">
        <f t="shared" si="13"/>
        <v>6054.14</v>
      </c>
      <c r="Z231" s="154"/>
    </row>
    <row r="232" s="243" customFormat="1" ht="22" customHeight="1" outlineLevel="2" spans="1:26">
      <c r="A232" s="154" t="s">
        <v>1196</v>
      </c>
      <c r="B232" s="259">
        <v>26</v>
      </c>
      <c r="C232" s="259">
        <v>1</v>
      </c>
      <c r="D232" s="154">
        <v>1</v>
      </c>
      <c r="E232" s="263" t="s">
        <v>1197</v>
      </c>
      <c r="F232" s="259"/>
      <c r="G232" s="154" t="s">
        <v>257</v>
      </c>
      <c r="H232" s="154" t="s">
        <v>427</v>
      </c>
      <c r="I232" s="154" t="s">
        <v>334</v>
      </c>
      <c r="J232" s="269" t="s">
        <v>1198</v>
      </c>
      <c r="K232" s="288">
        <v>45477</v>
      </c>
      <c r="L232" s="271">
        <v>1090000</v>
      </c>
      <c r="M232" s="289" t="s">
        <v>1199</v>
      </c>
      <c r="N232" s="271">
        <v>150.28</v>
      </c>
      <c r="O232" s="271"/>
      <c r="P232" s="290">
        <v>150.28</v>
      </c>
      <c r="Q232" s="271"/>
      <c r="R232" s="154"/>
      <c r="S232" s="189"/>
      <c r="T232" s="308" t="s">
        <v>1200</v>
      </c>
      <c r="U232" s="305">
        <v>1000000</v>
      </c>
      <c r="V232" s="305">
        <f t="shared" si="14"/>
        <v>90000</v>
      </c>
      <c r="W232" s="306">
        <f t="shared" si="15"/>
        <v>1090000</v>
      </c>
      <c r="X232" s="271">
        <f t="shared" si="12"/>
        <v>1000000</v>
      </c>
      <c r="Y232" s="271">
        <f t="shared" si="13"/>
        <v>6654.25</v>
      </c>
      <c r="Z232" s="154"/>
    </row>
    <row r="233" s="243" customFormat="1" ht="22" customHeight="1" outlineLevel="2" spans="1:26">
      <c r="A233" s="154" t="s">
        <v>1201</v>
      </c>
      <c r="B233" s="259">
        <v>26</v>
      </c>
      <c r="C233" s="259">
        <v>1</v>
      </c>
      <c r="D233" s="154">
        <v>2</v>
      </c>
      <c r="E233" s="263" t="s">
        <v>1202</v>
      </c>
      <c r="F233" s="259"/>
      <c r="G233" s="154" t="s">
        <v>257</v>
      </c>
      <c r="H233" s="154" t="s">
        <v>427</v>
      </c>
      <c r="I233" s="154" t="s">
        <v>334</v>
      </c>
      <c r="J233" s="269" t="s">
        <v>1203</v>
      </c>
      <c r="K233" s="288">
        <v>43923</v>
      </c>
      <c r="L233" s="271">
        <v>608439</v>
      </c>
      <c r="M233" s="289" t="s">
        <v>1204</v>
      </c>
      <c r="N233" s="271">
        <v>150.86</v>
      </c>
      <c r="O233" s="271"/>
      <c r="P233" s="290">
        <v>150.86</v>
      </c>
      <c r="Q233" s="271"/>
      <c r="R233" s="154"/>
      <c r="S233" s="189" t="s">
        <v>430</v>
      </c>
      <c r="T233" s="308" t="s">
        <v>1205</v>
      </c>
      <c r="U233" s="305">
        <v>558200.92</v>
      </c>
      <c r="V233" s="305">
        <f t="shared" si="14"/>
        <v>50238.08</v>
      </c>
      <c r="W233" s="306">
        <f t="shared" si="15"/>
        <v>608439</v>
      </c>
      <c r="X233" s="271">
        <f t="shared" si="12"/>
        <v>558200.92</v>
      </c>
      <c r="Y233" s="271">
        <f t="shared" si="13"/>
        <v>3700.13</v>
      </c>
      <c r="Z233" s="154"/>
    </row>
    <row r="234" s="243" customFormat="1" ht="22" customHeight="1" outlineLevel="2" spans="1:26">
      <c r="A234" s="154" t="s">
        <v>1206</v>
      </c>
      <c r="B234" s="259">
        <v>26</v>
      </c>
      <c r="C234" s="259">
        <v>1</v>
      </c>
      <c r="D234" s="154">
        <v>2</v>
      </c>
      <c r="E234" s="263" t="s">
        <v>1207</v>
      </c>
      <c r="F234" s="259"/>
      <c r="G234" s="154" t="s">
        <v>257</v>
      </c>
      <c r="H234" s="154" t="s">
        <v>427</v>
      </c>
      <c r="I234" s="154" t="s">
        <v>334</v>
      </c>
      <c r="J234" s="269" t="s">
        <v>1208</v>
      </c>
      <c r="K234" s="288">
        <v>43835</v>
      </c>
      <c r="L234" s="271">
        <v>607152</v>
      </c>
      <c r="M234" s="289" t="s">
        <v>1209</v>
      </c>
      <c r="N234" s="271">
        <v>150.38</v>
      </c>
      <c r="O234" s="271"/>
      <c r="P234" s="290">
        <v>150.38</v>
      </c>
      <c r="Q234" s="271"/>
      <c r="R234" s="154"/>
      <c r="S234" s="189" t="s">
        <v>430</v>
      </c>
      <c r="T234" s="308" t="s">
        <v>1210</v>
      </c>
      <c r="U234" s="305">
        <v>557020.18</v>
      </c>
      <c r="V234" s="305">
        <f t="shared" si="14"/>
        <v>50131.8199999999</v>
      </c>
      <c r="W234" s="306">
        <f t="shared" si="15"/>
        <v>607152</v>
      </c>
      <c r="X234" s="271">
        <f t="shared" si="12"/>
        <v>557020.18</v>
      </c>
      <c r="Y234" s="271">
        <f t="shared" si="13"/>
        <v>3704.08</v>
      </c>
      <c r="Z234" s="154"/>
    </row>
    <row r="235" s="243" customFormat="1" ht="22" customHeight="1" outlineLevel="2" spans="1:26">
      <c r="A235" s="154" t="s">
        <v>1211</v>
      </c>
      <c r="B235" s="259">
        <v>26</v>
      </c>
      <c r="C235" s="259">
        <v>1</v>
      </c>
      <c r="D235" s="154">
        <v>3</v>
      </c>
      <c r="E235" s="263" t="s">
        <v>1212</v>
      </c>
      <c r="F235" s="259"/>
      <c r="G235" s="154" t="s">
        <v>257</v>
      </c>
      <c r="H235" s="154" t="s">
        <v>427</v>
      </c>
      <c r="I235" s="154" t="s">
        <v>334</v>
      </c>
      <c r="J235" s="269">
        <v>20190007672</v>
      </c>
      <c r="K235" s="288">
        <v>43816</v>
      </c>
      <c r="L235" s="271">
        <v>638181</v>
      </c>
      <c r="M235" s="289" t="s">
        <v>1213</v>
      </c>
      <c r="N235" s="271">
        <v>150.86</v>
      </c>
      <c r="O235" s="271"/>
      <c r="P235" s="290">
        <v>150.86</v>
      </c>
      <c r="Q235" s="271"/>
      <c r="R235" s="154"/>
      <c r="S235" s="189" t="s">
        <v>430</v>
      </c>
      <c r="T235" s="308" t="s">
        <v>1214</v>
      </c>
      <c r="U235" s="305">
        <v>585487.16</v>
      </c>
      <c r="V235" s="305">
        <f t="shared" si="14"/>
        <v>52693.84</v>
      </c>
      <c r="W235" s="306">
        <f t="shared" si="15"/>
        <v>638181</v>
      </c>
      <c r="X235" s="271">
        <f t="shared" si="12"/>
        <v>585487.16</v>
      </c>
      <c r="Y235" s="271">
        <f t="shared" si="13"/>
        <v>3881</v>
      </c>
      <c r="Z235" s="154"/>
    </row>
    <row r="236" s="243" customFormat="1" ht="22" customHeight="1" outlineLevel="2" spans="1:26">
      <c r="A236" s="154" t="s">
        <v>1215</v>
      </c>
      <c r="B236" s="259">
        <v>26</v>
      </c>
      <c r="C236" s="259">
        <v>1</v>
      </c>
      <c r="D236" s="154">
        <v>3</v>
      </c>
      <c r="E236" s="263" t="s">
        <v>1216</v>
      </c>
      <c r="F236" s="259"/>
      <c r="G236" s="154" t="s">
        <v>257</v>
      </c>
      <c r="H236" s="154" t="s">
        <v>427</v>
      </c>
      <c r="I236" s="154" t="s">
        <v>334</v>
      </c>
      <c r="J236" s="269">
        <v>20190006469</v>
      </c>
      <c r="K236" s="288">
        <v>43796</v>
      </c>
      <c r="L236" s="271">
        <v>607674</v>
      </c>
      <c r="M236" s="289" t="s">
        <v>1217</v>
      </c>
      <c r="N236" s="271">
        <v>150.38</v>
      </c>
      <c r="O236" s="271"/>
      <c r="P236" s="290">
        <v>150.38</v>
      </c>
      <c r="Q236" s="271"/>
      <c r="R236" s="154"/>
      <c r="S236" s="189" t="s">
        <v>430</v>
      </c>
      <c r="T236" s="308" t="s">
        <v>1218</v>
      </c>
      <c r="U236" s="305">
        <v>557499.08</v>
      </c>
      <c r="V236" s="305">
        <f t="shared" si="14"/>
        <v>50174.92</v>
      </c>
      <c r="W236" s="306">
        <f t="shared" si="15"/>
        <v>607674</v>
      </c>
      <c r="X236" s="271">
        <f t="shared" si="12"/>
        <v>557499.08</v>
      </c>
      <c r="Y236" s="271">
        <f t="shared" si="13"/>
        <v>3707.27</v>
      </c>
      <c r="Z236" s="154"/>
    </row>
    <row r="237" s="243" customFormat="1" ht="22" customHeight="1" outlineLevel="2" spans="1:26">
      <c r="A237" s="154" t="s">
        <v>1219</v>
      </c>
      <c r="B237" s="259">
        <v>26</v>
      </c>
      <c r="C237" s="259">
        <v>1</v>
      </c>
      <c r="D237" s="154">
        <v>4</v>
      </c>
      <c r="E237" s="263" t="s">
        <v>1220</v>
      </c>
      <c r="F237" s="259"/>
      <c r="G237" s="154" t="s">
        <v>257</v>
      </c>
      <c r="H237" s="154" t="s">
        <v>427</v>
      </c>
      <c r="I237" s="154" t="s">
        <v>334</v>
      </c>
      <c r="J237" s="269">
        <v>20190007174</v>
      </c>
      <c r="K237" s="288">
        <v>43809</v>
      </c>
      <c r="L237" s="271">
        <v>622890</v>
      </c>
      <c r="M237" s="289" t="s">
        <v>1221</v>
      </c>
      <c r="N237" s="271">
        <v>150.86</v>
      </c>
      <c r="O237" s="271"/>
      <c r="P237" s="290">
        <v>150.86</v>
      </c>
      <c r="Q237" s="271"/>
      <c r="R237" s="154"/>
      <c r="S237" s="189" t="s">
        <v>430</v>
      </c>
      <c r="T237" s="308" t="s">
        <v>1222</v>
      </c>
      <c r="U237" s="305">
        <v>571458.72</v>
      </c>
      <c r="V237" s="305">
        <f t="shared" si="14"/>
        <v>51431.28</v>
      </c>
      <c r="W237" s="306">
        <f t="shared" si="15"/>
        <v>622890</v>
      </c>
      <c r="X237" s="271">
        <f t="shared" si="12"/>
        <v>571458.72</v>
      </c>
      <c r="Y237" s="271">
        <f t="shared" si="13"/>
        <v>3788.01</v>
      </c>
      <c r="Z237" s="154"/>
    </row>
    <row r="238" s="243" customFormat="1" ht="22" customHeight="1" outlineLevel="2" spans="1:26">
      <c r="A238" s="154" t="s">
        <v>1223</v>
      </c>
      <c r="B238" s="259">
        <v>26</v>
      </c>
      <c r="C238" s="259">
        <v>1</v>
      </c>
      <c r="D238" s="154">
        <v>4</v>
      </c>
      <c r="E238" s="263" t="s">
        <v>1224</v>
      </c>
      <c r="F238" s="259"/>
      <c r="G238" s="154" t="s">
        <v>257</v>
      </c>
      <c r="H238" s="154" t="s">
        <v>427</v>
      </c>
      <c r="I238" s="154" t="s">
        <v>334</v>
      </c>
      <c r="J238" s="269" t="s">
        <v>1225</v>
      </c>
      <c r="K238" s="288">
        <v>43843</v>
      </c>
      <c r="L238" s="271">
        <v>614946</v>
      </c>
      <c r="M238" s="289" t="s">
        <v>1226</v>
      </c>
      <c r="N238" s="271">
        <v>150.38</v>
      </c>
      <c r="O238" s="271"/>
      <c r="P238" s="290">
        <v>150.38</v>
      </c>
      <c r="Q238" s="271"/>
      <c r="R238" s="154"/>
      <c r="S238" s="189" t="s">
        <v>430</v>
      </c>
      <c r="T238" s="308" t="s">
        <v>1227</v>
      </c>
      <c r="U238" s="305">
        <v>564170.64</v>
      </c>
      <c r="V238" s="305">
        <f t="shared" si="14"/>
        <v>50775.36</v>
      </c>
      <c r="W238" s="306">
        <f t="shared" si="15"/>
        <v>614946</v>
      </c>
      <c r="X238" s="271">
        <f t="shared" si="12"/>
        <v>564170.64</v>
      </c>
      <c r="Y238" s="271">
        <f t="shared" si="13"/>
        <v>3751.63</v>
      </c>
      <c r="Z238" s="154"/>
    </row>
    <row r="239" s="243" customFormat="1" ht="22" customHeight="1" outlineLevel="2" spans="1:26">
      <c r="A239" s="154" t="s">
        <v>1228</v>
      </c>
      <c r="B239" s="259">
        <v>26</v>
      </c>
      <c r="C239" s="259">
        <v>1</v>
      </c>
      <c r="D239" s="154">
        <v>5</v>
      </c>
      <c r="E239" s="263" t="s">
        <v>1229</v>
      </c>
      <c r="F239" s="259"/>
      <c r="G239" s="154" t="s">
        <v>257</v>
      </c>
      <c r="H239" s="154" t="s">
        <v>427</v>
      </c>
      <c r="I239" s="154" t="s">
        <v>334</v>
      </c>
      <c r="J239" s="269">
        <v>20190006064</v>
      </c>
      <c r="K239" s="288">
        <v>43789</v>
      </c>
      <c r="L239" s="271">
        <v>629063</v>
      </c>
      <c r="M239" s="289" t="s">
        <v>1230</v>
      </c>
      <c r="N239" s="271">
        <v>150.86</v>
      </c>
      <c r="O239" s="271"/>
      <c r="P239" s="290">
        <v>150.86</v>
      </c>
      <c r="Q239" s="271"/>
      <c r="R239" s="154"/>
      <c r="S239" s="189" t="s">
        <v>430</v>
      </c>
      <c r="T239" s="308" t="s">
        <v>1231</v>
      </c>
      <c r="U239" s="305">
        <v>577122.02</v>
      </c>
      <c r="V239" s="305">
        <f t="shared" si="14"/>
        <v>51940.98</v>
      </c>
      <c r="W239" s="306">
        <f t="shared" si="15"/>
        <v>629063</v>
      </c>
      <c r="X239" s="271">
        <f t="shared" si="12"/>
        <v>577122.02</v>
      </c>
      <c r="Y239" s="271">
        <f t="shared" si="13"/>
        <v>3825.55</v>
      </c>
      <c r="Z239" s="154"/>
    </row>
    <row r="240" s="243" customFormat="1" ht="22" customHeight="1" outlineLevel="2" spans="1:26">
      <c r="A240" s="154" t="s">
        <v>1232</v>
      </c>
      <c r="B240" s="259">
        <v>26</v>
      </c>
      <c r="C240" s="259">
        <v>1</v>
      </c>
      <c r="D240" s="154">
        <v>5</v>
      </c>
      <c r="E240" s="263" t="s">
        <v>1233</v>
      </c>
      <c r="F240" s="259"/>
      <c r="G240" s="154" t="s">
        <v>257</v>
      </c>
      <c r="H240" s="154" t="s">
        <v>427</v>
      </c>
      <c r="I240" s="154" t="s">
        <v>334</v>
      </c>
      <c r="J240" s="269">
        <v>20190006623</v>
      </c>
      <c r="K240" s="288">
        <v>43799</v>
      </c>
      <c r="L240" s="271">
        <v>622777</v>
      </c>
      <c r="M240" s="289" t="s">
        <v>1234</v>
      </c>
      <c r="N240" s="271">
        <v>150.38</v>
      </c>
      <c r="O240" s="271"/>
      <c r="P240" s="290">
        <v>150.38</v>
      </c>
      <c r="Q240" s="271"/>
      <c r="R240" s="154"/>
      <c r="S240" s="189" t="s">
        <v>430</v>
      </c>
      <c r="T240" s="308" t="s">
        <v>1235</v>
      </c>
      <c r="U240" s="305">
        <v>571355.05</v>
      </c>
      <c r="V240" s="305">
        <f t="shared" si="14"/>
        <v>51421.95</v>
      </c>
      <c r="W240" s="306">
        <f t="shared" si="15"/>
        <v>622777</v>
      </c>
      <c r="X240" s="271">
        <f t="shared" si="12"/>
        <v>571355.05</v>
      </c>
      <c r="Y240" s="271">
        <f t="shared" si="13"/>
        <v>3799.41</v>
      </c>
      <c r="Z240" s="154"/>
    </row>
    <row r="241" s="243" customFormat="1" ht="22" customHeight="1" outlineLevel="2" spans="1:26">
      <c r="A241" s="154" t="s">
        <v>1236</v>
      </c>
      <c r="B241" s="259">
        <v>26</v>
      </c>
      <c r="C241" s="259">
        <v>1</v>
      </c>
      <c r="D241" s="154">
        <v>6</v>
      </c>
      <c r="E241" s="263" t="s">
        <v>1237</v>
      </c>
      <c r="F241" s="259"/>
      <c r="G241" s="154" t="s">
        <v>257</v>
      </c>
      <c r="H241" s="154" t="s">
        <v>427</v>
      </c>
      <c r="I241" s="154" t="s">
        <v>334</v>
      </c>
      <c r="J241" s="269">
        <v>20190006087</v>
      </c>
      <c r="K241" s="288">
        <v>43790</v>
      </c>
      <c r="L241" s="271">
        <v>636358</v>
      </c>
      <c r="M241" s="289" t="s">
        <v>1238</v>
      </c>
      <c r="N241" s="271">
        <v>150.86</v>
      </c>
      <c r="O241" s="271"/>
      <c r="P241" s="290">
        <v>150.86</v>
      </c>
      <c r="Q241" s="271"/>
      <c r="R241" s="154"/>
      <c r="S241" s="189" t="s">
        <v>430</v>
      </c>
      <c r="T241" s="308" t="s">
        <v>1239</v>
      </c>
      <c r="U241" s="305">
        <v>583814.68</v>
      </c>
      <c r="V241" s="305">
        <f t="shared" si="14"/>
        <v>52543.3199999999</v>
      </c>
      <c r="W241" s="306">
        <f t="shared" si="15"/>
        <v>636358</v>
      </c>
      <c r="X241" s="271">
        <f t="shared" si="12"/>
        <v>583814.68</v>
      </c>
      <c r="Y241" s="271">
        <f t="shared" si="13"/>
        <v>3869.91</v>
      </c>
      <c r="Z241" s="154"/>
    </row>
    <row r="242" s="243" customFormat="1" ht="22" customHeight="1" outlineLevel="2" spans="1:26">
      <c r="A242" s="154" t="s">
        <v>1240</v>
      </c>
      <c r="B242" s="259">
        <v>26</v>
      </c>
      <c r="C242" s="259">
        <v>1</v>
      </c>
      <c r="D242" s="154">
        <v>6</v>
      </c>
      <c r="E242" s="263" t="s">
        <v>1241</v>
      </c>
      <c r="F242" s="259"/>
      <c r="G242" s="154" t="s">
        <v>257</v>
      </c>
      <c r="H242" s="154" t="s">
        <v>427</v>
      </c>
      <c r="I242" s="154" t="s">
        <v>334</v>
      </c>
      <c r="J242" s="269">
        <v>20190006460</v>
      </c>
      <c r="K242" s="288">
        <v>43796</v>
      </c>
      <c r="L242" s="271">
        <v>630610</v>
      </c>
      <c r="M242" s="289" t="s">
        <v>1242</v>
      </c>
      <c r="N242" s="271">
        <v>150.38</v>
      </c>
      <c r="O242" s="271"/>
      <c r="P242" s="290">
        <v>150.38</v>
      </c>
      <c r="Q242" s="271"/>
      <c r="R242" s="154"/>
      <c r="S242" s="189" t="s">
        <v>430</v>
      </c>
      <c r="T242" s="308" t="s">
        <v>1243</v>
      </c>
      <c r="U242" s="305">
        <v>578541.28</v>
      </c>
      <c r="V242" s="305">
        <f t="shared" si="14"/>
        <v>52068.72</v>
      </c>
      <c r="W242" s="306">
        <f t="shared" si="15"/>
        <v>630610</v>
      </c>
      <c r="X242" s="271">
        <f t="shared" si="12"/>
        <v>578541.28</v>
      </c>
      <c r="Y242" s="271">
        <f t="shared" si="13"/>
        <v>3847.2</v>
      </c>
      <c r="Z242" s="154"/>
    </row>
    <row r="243" s="243" customFormat="1" ht="22" customHeight="1" outlineLevel="2" spans="1:26">
      <c r="A243" s="154" t="s">
        <v>1244</v>
      </c>
      <c r="B243" s="259">
        <v>26</v>
      </c>
      <c r="C243" s="259">
        <v>1</v>
      </c>
      <c r="D243" s="154">
        <v>7</v>
      </c>
      <c r="E243" s="263" t="s">
        <v>1245</v>
      </c>
      <c r="F243" s="259"/>
      <c r="G243" s="154" t="s">
        <v>257</v>
      </c>
      <c r="H243" s="154" t="s">
        <v>427</v>
      </c>
      <c r="I243" s="154" t="s">
        <v>334</v>
      </c>
      <c r="J243" s="269">
        <v>20190008187</v>
      </c>
      <c r="K243" s="288">
        <v>43823</v>
      </c>
      <c r="L243" s="271">
        <v>990817</v>
      </c>
      <c r="M243" s="289" t="s">
        <v>1246</v>
      </c>
      <c r="N243" s="271">
        <v>241.63</v>
      </c>
      <c r="O243" s="271"/>
      <c r="P243" s="290">
        <v>241.63</v>
      </c>
      <c r="Q243" s="271"/>
      <c r="R243" s="154"/>
      <c r="S243" s="189" t="s">
        <v>430</v>
      </c>
      <c r="T243" s="308" t="s">
        <v>1247</v>
      </c>
      <c r="U243" s="305">
        <v>909006.42</v>
      </c>
      <c r="V243" s="305">
        <f t="shared" si="14"/>
        <v>81810.58</v>
      </c>
      <c r="W243" s="306">
        <f t="shared" si="15"/>
        <v>990817</v>
      </c>
      <c r="X243" s="271">
        <f t="shared" si="12"/>
        <v>909006.42</v>
      </c>
      <c r="Y243" s="271">
        <f t="shared" si="13"/>
        <v>3761.98</v>
      </c>
      <c r="Z243" s="154"/>
    </row>
    <row r="244" s="243" customFormat="1" ht="22" customHeight="1" outlineLevel="2" spans="1:26">
      <c r="A244" s="154" t="s">
        <v>1248</v>
      </c>
      <c r="B244" s="259">
        <v>26</v>
      </c>
      <c r="C244" s="259">
        <v>1</v>
      </c>
      <c r="D244" s="154">
        <v>7</v>
      </c>
      <c r="E244" s="263" t="s">
        <v>1249</v>
      </c>
      <c r="F244" s="259"/>
      <c r="G244" s="154" t="s">
        <v>257</v>
      </c>
      <c r="H244" s="154" t="s">
        <v>427</v>
      </c>
      <c r="I244" s="154" t="s">
        <v>334</v>
      </c>
      <c r="J244" s="269" t="s">
        <v>1250</v>
      </c>
      <c r="K244" s="288" t="s">
        <v>1251</v>
      </c>
      <c r="L244" s="271">
        <v>1076918</v>
      </c>
      <c r="M244" s="289" t="s">
        <v>1252</v>
      </c>
      <c r="N244" s="271">
        <v>241.15</v>
      </c>
      <c r="O244" s="271"/>
      <c r="P244" s="290">
        <v>241.15</v>
      </c>
      <c r="Q244" s="271"/>
      <c r="R244" s="154"/>
      <c r="S244" s="189" t="s">
        <v>430</v>
      </c>
      <c r="T244" s="308" t="s">
        <v>1253</v>
      </c>
      <c r="U244" s="305">
        <v>987998.17</v>
      </c>
      <c r="V244" s="305">
        <f t="shared" si="14"/>
        <v>88919.83</v>
      </c>
      <c r="W244" s="306">
        <f t="shared" si="15"/>
        <v>1076918</v>
      </c>
      <c r="X244" s="271">
        <f t="shared" si="12"/>
        <v>987998.17</v>
      </c>
      <c r="Y244" s="271">
        <f t="shared" si="13"/>
        <v>4097.03</v>
      </c>
      <c r="Z244" s="154"/>
    </row>
    <row r="245" s="243" customFormat="1" ht="22" customHeight="1" outlineLevel="2" spans="1:26">
      <c r="A245" s="154" t="s">
        <v>1254</v>
      </c>
      <c r="B245" s="259">
        <v>26</v>
      </c>
      <c r="C245" s="259">
        <v>2</v>
      </c>
      <c r="D245" s="154">
        <v>1</v>
      </c>
      <c r="E245" s="263" t="s">
        <v>1255</v>
      </c>
      <c r="F245" s="259"/>
      <c r="G245" s="154" t="s">
        <v>257</v>
      </c>
      <c r="H245" s="154" t="s">
        <v>427</v>
      </c>
      <c r="I245" s="154" t="s">
        <v>334</v>
      </c>
      <c r="J245" s="269" t="s">
        <v>1256</v>
      </c>
      <c r="K245" s="288">
        <v>45108</v>
      </c>
      <c r="L245" s="271">
        <v>1124241</v>
      </c>
      <c r="M245" s="289" t="s">
        <v>1257</v>
      </c>
      <c r="N245" s="271">
        <v>150.38</v>
      </c>
      <c r="O245" s="271"/>
      <c r="P245" s="290">
        <v>150.38</v>
      </c>
      <c r="Q245" s="271"/>
      <c r="R245" s="154"/>
      <c r="S245" s="189" t="s">
        <v>430</v>
      </c>
      <c r="T245" s="308" t="s">
        <v>1258</v>
      </c>
      <c r="U245" s="305">
        <v>1031413.76</v>
      </c>
      <c r="V245" s="305">
        <f t="shared" si="14"/>
        <v>92827.24</v>
      </c>
      <c r="W245" s="306">
        <f t="shared" si="15"/>
        <v>1124241</v>
      </c>
      <c r="X245" s="271">
        <f t="shared" si="12"/>
        <v>1031413.76</v>
      </c>
      <c r="Y245" s="271">
        <f t="shared" si="13"/>
        <v>6858.72</v>
      </c>
      <c r="Z245" s="154"/>
    </row>
    <row r="246" s="243" customFormat="1" ht="22" customHeight="1" outlineLevel="2" spans="1:26">
      <c r="A246" s="154" t="s">
        <v>1259</v>
      </c>
      <c r="B246" s="259">
        <v>26</v>
      </c>
      <c r="C246" s="259">
        <v>2</v>
      </c>
      <c r="D246" s="154">
        <v>1</v>
      </c>
      <c r="E246" s="263" t="s">
        <v>1260</v>
      </c>
      <c r="F246" s="259"/>
      <c r="G246" s="154" t="s">
        <v>257</v>
      </c>
      <c r="H246" s="154" t="s">
        <v>427</v>
      </c>
      <c r="I246" s="154" t="s">
        <v>334</v>
      </c>
      <c r="J246" s="269" t="s">
        <v>1261</v>
      </c>
      <c r="K246" s="288">
        <v>44427</v>
      </c>
      <c r="L246" s="271">
        <v>1000000</v>
      </c>
      <c r="M246" s="289" t="s">
        <v>1262</v>
      </c>
      <c r="N246" s="271">
        <v>150.76</v>
      </c>
      <c r="O246" s="271"/>
      <c r="P246" s="290">
        <v>150.76</v>
      </c>
      <c r="Q246" s="271"/>
      <c r="R246" s="154"/>
      <c r="S246" s="189" t="s">
        <v>430</v>
      </c>
      <c r="T246" s="308" t="s">
        <v>1263</v>
      </c>
      <c r="U246" s="305">
        <v>917431.19</v>
      </c>
      <c r="V246" s="305">
        <f t="shared" si="14"/>
        <v>82568.8100000001</v>
      </c>
      <c r="W246" s="306">
        <f t="shared" si="15"/>
        <v>1000000</v>
      </c>
      <c r="X246" s="271">
        <f t="shared" si="12"/>
        <v>917431.19</v>
      </c>
      <c r="Y246" s="271">
        <f t="shared" si="13"/>
        <v>6085.38</v>
      </c>
      <c r="Z246" s="154"/>
    </row>
    <row r="247" s="243" customFormat="1" ht="22" customHeight="1" outlineLevel="2" spans="1:26">
      <c r="A247" s="154" t="s">
        <v>1264</v>
      </c>
      <c r="B247" s="259">
        <v>26</v>
      </c>
      <c r="C247" s="259">
        <v>2</v>
      </c>
      <c r="D247" s="154">
        <v>2</v>
      </c>
      <c r="E247" s="263" t="s">
        <v>1265</v>
      </c>
      <c r="F247" s="259"/>
      <c r="G247" s="154" t="s">
        <v>257</v>
      </c>
      <c r="H247" s="154" t="s">
        <v>427</v>
      </c>
      <c r="I247" s="154" t="s">
        <v>334</v>
      </c>
      <c r="J247" s="269" t="s">
        <v>1266</v>
      </c>
      <c r="K247" s="288">
        <v>43852</v>
      </c>
      <c r="L247" s="271">
        <v>630092</v>
      </c>
      <c r="M247" s="289" t="s">
        <v>1267</v>
      </c>
      <c r="N247" s="271">
        <v>150.38</v>
      </c>
      <c r="O247" s="271"/>
      <c r="P247" s="290">
        <v>150.38</v>
      </c>
      <c r="Q247" s="271"/>
      <c r="R247" s="154"/>
      <c r="S247" s="189" t="s">
        <v>430</v>
      </c>
      <c r="T247" s="308" t="s">
        <v>1268</v>
      </c>
      <c r="U247" s="305">
        <v>578066.06</v>
      </c>
      <c r="V247" s="305">
        <f t="shared" si="14"/>
        <v>52025.9399999999</v>
      </c>
      <c r="W247" s="306">
        <f t="shared" si="15"/>
        <v>630092</v>
      </c>
      <c r="X247" s="271">
        <f t="shared" si="12"/>
        <v>578066.06</v>
      </c>
      <c r="Y247" s="271">
        <f t="shared" si="13"/>
        <v>3844.04</v>
      </c>
      <c r="Z247" s="154"/>
    </row>
    <row r="248" s="243" customFormat="1" ht="22" customHeight="1" outlineLevel="2" spans="1:26">
      <c r="A248" s="154" t="s">
        <v>1269</v>
      </c>
      <c r="B248" s="259">
        <v>26</v>
      </c>
      <c r="C248" s="259">
        <v>2</v>
      </c>
      <c r="D248" s="154">
        <v>2</v>
      </c>
      <c r="E248" s="263" t="s">
        <v>1270</v>
      </c>
      <c r="F248" s="259"/>
      <c r="G248" s="154" t="s">
        <v>257</v>
      </c>
      <c r="H248" s="154" t="s">
        <v>427</v>
      </c>
      <c r="I248" s="154" t="s">
        <v>334</v>
      </c>
      <c r="J248" s="269">
        <v>20190008655</v>
      </c>
      <c r="K248" s="288">
        <v>43830</v>
      </c>
      <c r="L248" s="271">
        <v>607157</v>
      </c>
      <c r="M248" s="289" t="s">
        <v>1271</v>
      </c>
      <c r="N248" s="271">
        <v>150.86</v>
      </c>
      <c r="O248" s="271"/>
      <c r="P248" s="290">
        <v>150.86</v>
      </c>
      <c r="Q248" s="271"/>
      <c r="R248" s="154"/>
      <c r="S248" s="189" t="s">
        <v>430</v>
      </c>
      <c r="T248" s="308" t="s">
        <v>1272</v>
      </c>
      <c r="U248" s="305">
        <v>557024.77</v>
      </c>
      <c r="V248" s="305">
        <f t="shared" si="14"/>
        <v>50132.23</v>
      </c>
      <c r="W248" s="306">
        <f t="shared" si="15"/>
        <v>607157</v>
      </c>
      <c r="X248" s="271">
        <f t="shared" si="12"/>
        <v>557024.77</v>
      </c>
      <c r="Y248" s="271">
        <f t="shared" si="13"/>
        <v>3692.33</v>
      </c>
      <c r="Z248" s="154"/>
    </row>
    <row r="249" s="243" customFormat="1" ht="22" customHeight="1" outlineLevel="2" spans="1:26">
      <c r="A249" s="154" t="s">
        <v>1273</v>
      </c>
      <c r="B249" s="259">
        <v>26</v>
      </c>
      <c r="C249" s="259">
        <v>2</v>
      </c>
      <c r="D249" s="154">
        <v>3</v>
      </c>
      <c r="E249" s="263" t="s">
        <v>1274</v>
      </c>
      <c r="F249" s="259"/>
      <c r="G249" s="154" t="s">
        <v>257</v>
      </c>
      <c r="H249" s="154" t="s">
        <v>427</v>
      </c>
      <c r="I249" s="154" t="s">
        <v>334</v>
      </c>
      <c r="J249" s="269" t="s">
        <v>1275</v>
      </c>
      <c r="K249" s="288">
        <v>43799</v>
      </c>
      <c r="L249" s="271">
        <v>607953</v>
      </c>
      <c r="M249" s="289" t="s">
        <v>1276</v>
      </c>
      <c r="N249" s="271">
        <v>150.38</v>
      </c>
      <c r="O249" s="271"/>
      <c r="P249" s="290">
        <v>150.38</v>
      </c>
      <c r="Q249" s="271"/>
      <c r="R249" s="154"/>
      <c r="S249" s="189" t="s">
        <v>430</v>
      </c>
      <c r="T249" s="308" t="s">
        <v>1277</v>
      </c>
      <c r="U249" s="305">
        <v>557755.05</v>
      </c>
      <c r="V249" s="305">
        <f t="shared" si="14"/>
        <v>50197.95</v>
      </c>
      <c r="W249" s="306">
        <f t="shared" si="15"/>
        <v>607953</v>
      </c>
      <c r="X249" s="271">
        <f t="shared" si="12"/>
        <v>557755.05</v>
      </c>
      <c r="Y249" s="271">
        <f t="shared" si="13"/>
        <v>3708.97</v>
      </c>
      <c r="Z249" s="154"/>
    </row>
    <row r="250" s="243" customFormat="1" ht="22" customHeight="1" outlineLevel="2" spans="1:26">
      <c r="A250" s="154" t="s">
        <v>1278</v>
      </c>
      <c r="B250" s="259">
        <v>26</v>
      </c>
      <c r="C250" s="259">
        <v>2</v>
      </c>
      <c r="D250" s="154">
        <v>3</v>
      </c>
      <c r="E250" s="263" t="s">
        <v>1279</v>
      </c>
      <c r="F250" s="259"/>
      <c r="G250" s="154" t="s">
        <v>257</v>
      </c>
      <c r="H250" s="154" t="s">
        <v>427</v>
      </c>
      <c r="I250" s="154" t="s">
        <v>334</v>
      </c>
      <c r="J250" s="269" t="s">
        <v>1280</v>
      </c>
      <c r="K250" s="288">
        <v>43797</v>
      </c>
      <c r="L250" s="271">
        <v>611806</v>
      </c>
      <c r="M250" s="289" t="s">
        <v>1281</v>
      </c>
      <c r="N250" s="271">
        <v>150.86</v>
      </c>
      <c r="O250" s="271"/>
      <c r="P250" s="290">
        <v>150.86</v>
      </c>
      <c r="Q250" s="271"/>
      <c r="R250" s="154"/>
      <c r="S250" s="189" t="s">
        <v>430</v>
      </c>
      <c r="T250" s="308" t="s">
        <v>1282</v>
      </c>
      <c r="U250" s="305">
        <v>561289.91</v>
      </c>
      <c r="V250" s="305">
        <f t="shared" si="14"/>
        <v>50516.09</v>
      </c>
      <c r="W250" s="306">
        <f t="shared" si="15"/>
        <v>611806</v>
      </c>
      <c r="X250" s="271">
        <f t="shared" si="12"/>
        <v>561289.91</v>
      </c>
      <c r="Y250" s="271">
        <f t="shared" si="13"/>
        <v>3720.6</v>
      </c>
      <c r="Z250" s="154"/>
    </row>
    <row r="251" s="243" customFormat="1" ht="22" customHeight="1" outlineLevel="2" spans="1:26">
      <c r="A251" s="154" t="s">
        <v>1283</v>
      </c>
      <c r="B251" s="259">
        <v>26</v>
      </c>
      <c r="C251" s="259">
        <v>2</v>
      </c>
      <c r="D251" s="154">
        <v>4</v>
      </c>
      <c r="E251" s="263" t="s">
        <v>1284</v>
      </c>
      <c r="F251" s="259"/>
      <c r="G251" s="154" t="s">
        <v>257</v>
      </c>
      <c r="H251" s="154" t="s">
        <v>427</v>
      </c>
      <c r="I251" s="154" t="s">
        <v>334</v>
      </c>
      <c r="J251" s="269" t="s">
        <v>1285</v>
      </c>
      <c r="K251" s="288">
        <v>43800</v>
      </c>
      <c r="L251" s="271">
        <v>612235</v>
      </c>
      <c r="M251" s="289" t="s">
        <v>1286</v>
      </c>
      <c r="N251" s="271">
        <v>150.38</v>
      </c>
      <c r="O251" s="271"/>
      <c r="P251" s="290">
        <v>150.38</v>
      </c>
      <c r="Q251" s="271"/>
      <c r="R251" s="154"/>
      <c r="S251" s="189" t="s">
        <v>430</v>
      </c>
      <c r="T251" s="308" t="s">
        <v>1287</v>
      </c>
      <c r="U251" s="305">
        <v>561683.49</v>
      </c>
      <c r="V251" s="305">
        <f t="shared" si="14"/>
        <v>50551.51</v>
      </c>
      <c r="W251" s="306">
        <f t="shared" si="15"/>
        <v>612235</v>
      </c>
      <c r="X251" s="271">
        <f t="shared" si="12"/>
        <v>561683.49</v>
      </c>
      <c r="Y251" s="271">
        <f t="shared" si="13"/>
        <v>3735.09</v>
      </c>
      <c r="Z251" s="154"/>
    </row>
    <row r="252" s="243" customFormat="1" ht="22" customHeight="1" outlineLevel="2" spans="1:26">
      <c r="A252" s="154" t="s">
        <v>1288</v>
      </c>
      <c r="B252" s="259">
        <v>26</v>
      </c>
      <c r="C252" s="259">
        <v>2</v>
      </c>
      <c r="D252" s="154">
        <v>4</v>
      </c>
      <c r="E252" s="263" t="s">
        <v>1289</v>
      </c>
      <c r="F252" s="259"/>
      <c r="G252" s="154" t="s">
        <v>257</v>
      </c>
      <c r="H252" s="154" t="s">
        <v>427</v>
      </c>
      <c r="I252" s="154" t="s">
        <v>334</v>
      </c>
      <c r="J252" s="269" t="s">
        <v>1290</v>
      </c>
      <c r="K252" s="288">
        <v>43796</v>
      </c>
      <c r="L252" s="271">
        <v>618962</v>
      </c>
      <c r="M252" s="289" t="s">
        <v>1291</v>
      </c>
      <c r="N252" s="271">
        <v>150.86</v>
      </c>
      <c r="O252" s="271"/>
      <c r="P252" s="290">
        <v>150.86</v>
      </c>
      <c r="Q252" s="271"/>
      <c r="R252" s="154"/>
      <c r="S252" s="189" t="s">
        <v>430</v>
      </c>
      <c r="T252" s="308" t="s">
        <v>1292</v>
      </c>
      <c r="U252" s="305">
        <v>567855.05</v>
      </c>
      <c r="V252" s="305">
        <f t="shared" si="14"/>
        <v>51106.95</v>
      </c>
      <c r="W252" s="306">
        <f t="shared" si="15"/>
        <v>618962</v>
      </c>
      <c r="X252" s="271">
        <f t="shared" si="12"/>
        <v>567855.05</v>
      </c>
      <c r="Y252" s="271">
        <f t="shared" si="13"/>
        <v>3764.12</v>
      </c>
      <c r="Z252" s="154"/>
    </row>
    <row r="253" s="243" customFormat="1" ht="22" customHeight="1" outlineLevel="2" spans="1:26">
      <c r="A253" s="154" t="s">
        <v>1293</v>
      </c>
      <c r="B253" s="259">
        <v>26</v>
      </c>
      <c r="C253" s="259">
        <v>2</v>
      </c>
      <c r="D253" s="154">
        <v>5</v>
      </c>
      <c r="E253" s="263" t="s">
        <v>1294</v>
      </c>
      <c r="F253" s="259"/>
      <c r="G253" s="154" t="s">
        <v>257</v>
      </c>
      <c r="H253" s="154" t="s">
        <v>427</v>
      </c>
      <c r="I253" s="154" t="s">
        <v>334</v>
      </c>
      <c r="J253" s="269" t="s">
        <v>1295</v>
      </c>
      <c r="K253" s="288">
        <v>43814</v>
      </c>
      <c r="L253" s="271">
        <v>623057</v>
      </c>
      <c r="M253" s="289" t="s">
        <v>1296</v>
      </c>
      <c r="N253" s="271">
        <v>150.38</v>
      </c>
      <c r="O253" s="271"/>
      <c r="P253" s="290">
        <v>150.38</v>
      </c>
      <c r="Q253" s="271"/>
      <c r="R253" s="154"/>
      <c r="S253" s="189" t="s">
        <v>430</v>
      </c>
      <c r="T253" s="308" t="s">
        <v>1297</v>
      </c>
      <c r="U253" s="305">
        <v>571611.93</v>
      </c>
      <c r="V253" s="305">
        <f t="shared" si="14"/>
        <v>51445.0699999999</v>
      </c>
      <c r="W253" s="306">
        <f t="shared" si="15"/>
        <v>623057</v>
      </c>
      <c r="X253" s="271">
        <f t="shared" si="12"/>
        <v>571611.93</v>
      </c>
      <c r="Y253" s="271">
        <f t="shared" si="13"/>
        <v>3801.12</v>
      </c>
      <c r="Z253" s="154"/>
    </row>
    <row r="254" s="243" customFormat="1" ht="22" customHeight="1" outlineLevel="2" spans="1:26">
      <c r="A254" s="154" t="s">
        <v>1298</v>
      </c>
      <c r="B254" s="259">
        <v>26</v>
      </c>
      <c r="C254" s="259">
        <v>2</v>
      </c>
      <c r="D254" s="154">
        <v>5</v>
      </c>
      <c r="E254" s="263" t="s">
        <v>1299</v>
      </c>
      <c r="F254" s="259"/>
      <c r="G254" s="154" t="s">
        <v>257</v>
      </c>
      <c r="H254" s="154" t="s">
        <v>427</v>
      </c>
      <c r="I254" s="154" t="s">
        <v>334</v>
      </c>
      <c r="J254" s="269">
        <v>20190006329</v>
      </c>
      <c r="K254" s="288">
        <v>43794</v>
      </c>
      <c r="L254" s="271">
        <v>626117</v>
      </c>
      <c r="M254" s="289" t="s">
        <v>1300</v>
      </c>
      <c r="N254" s="271">
        <v>150.86</v>
      </c>
      <c r="O254" s="271"/>
      <c r="P254" s="290">
        <v>150.86</v>
      </c>
      <c r="Q254" s="271"/>
      <c r="R254" s="154"/>
      <c r="S254" s="189" t="s">
        <v>430</v>
      </c>
      <c r="T254" s="308" t="s">
        <v>1301</v>
      </c>
      <c r="U254" s="305">
        <v>574419.27</v>
      </c>
      <c r="V254" s="305">
        <f t="shared" si="14"/>
        <v>51697.73</v>
      </c>
      <c r="W254" s="306">
        <f t="shared" si="15"/>
        <v>626117</v>
      </c>
      <c r="X254" s="271">
        <f t="shared" si="12"/>
        <v>574419.27</v>
      </c>
      <c r="Y254" s="271">
        <f t="shared" si="13"/>
        <v>3807.63</v>
      </c>
      <c r="Z254" s="154"/>
    </row>
    <row r="255" s="243" customFormat="1" ht="22" customHeight="1" outlineLevel="2" spans="1:26">
      <c r="A255" s="154" t="s">
        <v>1302</v>
      </c>
      <c r="B255" s="259">
        <v>26</v>
      </c>
      <c r="C255" s="259">
        <v>2</v>
      </c>
      <c r="D255" s="154">
        <v>6</v>
      </c>
      <c r="E255" s="263" t="s">
        <v>1303</v>
      </c>
      <c r="F255" s="259"/>
      <c r="G255" s="154" t="s">
        <v>257</v>
      </c>
      <c r="H255" s="154" t="s">
        <v>427</v>
      </c>
      <c r="I255" s="154" t="s">
        <v>334</v>
      </c>
      <c r="J255" s="269">
        <v>20190006205</v>
      </c>
      <c r="K255" s="288">
        <v>43791</v>
      </c>
      <c r="L255" s="271">
        <v>630889</v>
      </c>
      <c r="M255" s="289" t="s">
        <v>1304</v>
      </c>
      <c r="N255" s="271">
        <v>150.38</v>
      </c>
      <c r="O255" s="271"/>
      <c r="P255" s="290">
        <v>150.38</v>
      </c>
      <c r="Q255" s="271"/>
      <c r="R255" s="154"/>
      <c r="S255" s="189" t="s">
        <v>430</v>
      </c>
      <c r="T255" s="308" t="s">
        <v>1305</v>
      </c>
      <c r="U255" s="305">
        <v>578797.25</v>
      </c>
      <c r="V255" s="305">
        <f t="shared" si="14"/>
        <v>52091.75</v>
      </c>
      <c r="W255" s="306">
        <f t="shared" si="15"/>
        <v>630889</v>
      </c>
      <c r="X255" s="271">
        <f t="shared" si="12"/>
        <v>578797.25</v>
      </c>
      <c r="Y255" s="271">
        <f t="shared" si="13"/>
        <v>3848.9</v>
      </c>
      <c r="Z255" s="154"/>
    </row>
    <row r="256" s="243" customFormat="1" ht="22" customHeight="1" outlineLevel="2" spans="1:26">
      <c r="A256" s="154" t="s">
        <v>1306</v>
      </c>
      <c r="B256" s="259">
        <v>26</v>
      </c>
      <c r="C256" s="259">
        <v>2</v>
      </c>
      <c r="D256" s="154">
        <v>6</v>
      </c>
      <c r="E256" s="263" t="s">
        <v>1307</v>
      </c>
      <c r="F256" s="259"/>
      <c r="G256" s="154" t="s">
        <v>257</v>
      </c>
      <c r="H256" s="154" t="s">
        <v>427</v>
      </c>
      <c r="I256" s="154" t="s">
        <v>334</v>
      </c>
      <c r="J256" s="269" t="s">
        <v>1308</v>
      </c>
      <c r="K256" s="288">
        <v>43946</v>
      </c>
      <c r="L256" s="271">
        <v>633834</v>
      </c>
      <c r="M256" s="289" t="s">
        <v>1309</v>
      </c>
      <c r="N256" s="271">
        <v>150.86</v>
      </c>
      <c r="O256" s="271"/>
      <c r="P256" s="290">
        <v>150.86</v>
      </c>
      <c r="Q256" s="271"/>
      <c r="R256" s="154"/>
      <c r="S256" s="189" t="s">
        <v>430</v>
      </c>
      <c r="T256" s="308" t="s">
        <v>1310</v>
      </c>
      <c r="U256" s="305">
        <v>581499.08</v>
      </c>
      <c r="V256" s="305">
        <f t="shared" si="14"/>
        <v>52334.92</v>
      </c>
      <c r="W256" s="306">
        <f t="shared" si="15"/>
        <v>633834</v>
      </c>
      <c r="X256" s="271">
        <f t="shared" si="12"/>
        <v>581499.08</v>
      </c>
      <c r="Y256" s="271">
        <f t="shared" si="13"/>
        <v>3854.56</v>
      </c>
      <c r="Z256" s="154"/>
    </row>
    <row r="257" s="243" customFormat="1" ht="22" customHeight="1" outlineLevel="2" spans="1:26">
      <c r="A257" s="154" t="s">
        <v>1311</v>
      </c>
      <c r="B257" s="259">
        <v>26</v>
      </c>
      <c r="C257" s="259">
        <v>2</v>
      </c>
      <c r="D257" s="154">
        <v>7</v>
      </c>
      <c r="E257" s="263" t="s">
        <v>1312</v>
      </c>
      <c r="F257" s="259"/>
      <c r="G257" s="154" t="s">
        <v>257</v>
      </c>
      <c r="H257" s="154" t="s">
        <v>427</v>
      </c>
      <c r="I257" s="154" t="s">
        <v>334</v>
      </c>
      <c r="J257" s="269">
        <v>20190006208</v>
      </c>
      <c r="K257" s="288">
        <v>43791</v>
      </c>
      <c r="L257" s="271">
        <v>979374</v>
      </c>
      <c r="M257" s="289" t="s">
        <v>1313</v>
      </c>
      <c r="N257" s="271">
        <v>241.15</v>
      </c>
      <c r="O257" s="271"/>
      <c r="P257" s="290">
        <v>241.15</v>
      </c>
      <c r="Q257" s="271"/>
      <c r="R257" s="154"/>
      <c r="S257" s="189" t="s">
        <v>430</v>
      </c>
      <c r="T257" s="308" t="s">
        <v>1314</v>
      </c>
      <c r="U257" s="305">
        <v>898508.26</v>
      </c>
      <c r="V257" s="305">
        <f t="shared" si="14"/>
        <v>80865.74</v>
      </c>
      <c r="W257" s="306">
        <f t="shared" si="15"/>
        <v>979374</v>
      </c>
      <c r="X257" s="271">
        <f t="shared" si="12"/>
        <v>898508.26</v>
      </c>
      <c r="Y257" s="271">
        <f t="shared" si="13"/>
        <v>3725.93</v>
      </c>
      <c r="Z257" s="154"/>
    </row>
    <row r="258" s="243" customFormat="1" ht="22" customHeight="1" outlineLevel="2" spans="1:26">
      <c r="A258" s="154" t="s">
        <v>1315</v>
      </c>
      <c r="B258" s="259">
        <v>26</v>
      </c>
      <c r="C258" s="259">
        <v>2</v>
      </c>
      <c r="D258" s="154">
        <v>7</v>
      </c>
      <c r="E258" s="263" t="s">
        <v>1316</v>
      </c>
      <c r="F258" s="259"/>
      <c r="G258" s="154" t="s">
        <v>257</v>
      </c>
      <c r="H258" s="154" t="s">
        <v>427</v>
      </c>
      <c r="I258" s="154" t="s">
        <v>334</v>
      </c>
      <c r="J258" s="269">
        <v>20190006214</v>
      </c>
      <c r="K258" s="288">
        <v>43791</v>
      </c>
      <c r="L258" s="271">
        <v>990817</v>
      </c>
      <c r="M258" s="289" t="s">
        <v>1317</v>
      </c>
      <c r="N258" s="271">
        <v>241.63</v>
      </c>
      <c r="O258" s="271"/>
      <c r="P258" s="290">
        <v>241.63</v>
      </c>
      <c r="Q258" s="271"/>
      <c r="R258" s="154"/>
      <c r="S258" s="189" t="s">
        <v>430</v>
      </c>
      <c r="T258" s="308" t="s">
        <v>1318</v>
      </c>
      <c r="U258" s="305">
        <v>909006.42</v>
      </c>
      <c r="V258" s="305">
        <f t="shared" si="14"/>
        <v>81810.58</v>
      </c>
      <c r="W258" s="306">
        <f t="shared" si="15"/>
        <v>990817</v>
      </c>
      <c r="X258" s="271">
        <f t="shared" si="12"/>
        <v>909006.42</v>
      </c>
      <c r="Y258" s="271">
        <f t="shared" si="13"/>
        <v>3761.98</v>
      </c>
      <c r="Z258" s="154"/>
    </row>
    <row r="259" s="243" customFormat="1" ht="22" customHeight="1" outlineLevel="2" spans="1:26">
      <c r="A259" s="154" t="s">
        <v>1319</v>
      </c>
      <c r="B259" s="259">
        <v>26</v>
      </c>
      <c r="C259" s="259">
        <v>1</v>
      </c>
      <c r="D259" s="154">
        <v>-1</v>
      </c>
      <c r="E259" s="263" t="s">
        <v>1320</v>
      </c>
      <c r="F259" s="259"/>
      <c r="G259" s="154" t="s">
        <v>536</v>
      </c>
      <c r="H259" s="154" t="s">
        <v>537</v>
      </c>
      <c r="I259" s="154"/>
      <c r="J259" s="269"/>
      <c r="K259" s="90"/>
      <c r="L259" s="271"/>
      <c r="M259" s="289"/>
      <c r="N259" s="271">
        <v>12.34</v>
      </c>
      <c r="O259" s="271"/>
      <c r="P259" s="290">
        <v>12.34</v>
      </c>
      <c r="Q259" s="271"/>
      <c r="R259" s="154"/>
      <c r="S259" s="189"/>
      <c r="T259" s="308"/>
      <c r="U259" s="305">
        <v>0</v>
      </c>
      <c r="V259" s="305">
        <f t="shared" si="14"/>
        <v>0</v>
      </c>
      <c r="W259" s="306">
        <f t="shared" si="15"/>
        <v>0</v>
      </c>
      <c r="X259" s="271">
        <f t="shared" si="12"/>
        <v>0</v>
      </c>
      <c r="Y259" s="271">
        <f t="shared" si="13"/>
        <v>0</v>
      </c>
      <c r="Z259" s="154"/>
    </row>
    <row r="260" s="243" customFormat="1" ht="22" customHeight="1" outlineLevel="2" spans="1:26">
      <c r="A260" s="154" t="s">
        <v>1321</v>
      </c>
      <c r="B260" s="259">
        <v>26</v>
      </c>
      <c r="C260" s="259">
        <v>1</v>
      </c>
      <c r="D260" s="154">
        <v>-1</v>
      </c>
      <c r="E260" s="263" t="s">
        <v>1322</v>
      </c>
      <c r="F260" s="259"/>
      <c r="G260" s="154" t="s">
        <v>536</v>
      </c>
      <c r="H260" s="154" t="s">
        <v>537</v>
      </c>
      <c r="I260" s="154"/>
      <c r="J260" s="269"/>
      <c r="K260" s="90"/>
      <c r="L260" s="271"/>
      <c r="M260" s="289"/>
      <c r="N260" s="271">
        <v>10.97</v>
      </c>
      <c r="O260" s="271"/>
      <c r="P260" s="290">
        <v>10.97</v>
      </c>
      <c r="Q260" s="271"/>
      <c r="R260" s="154"/>
      <c r="S260" s="189"/>
      <c r="T260" s="308"/>
      <c r="U260" s="305">
        <v>0</v>
      </c>
      <c r="V260" s="305">
        <f t="shared" si="14"/>
        <v>0</v>
      </c>
      <c r="W260" s="306">
        <f t="shared" si="15"/>
        <v>0</v>
      </c>
      <c r="X260" s="271">
        <f t="shared" si="12"/>
        <v>0</v>
      </c>
      <c r="Y260" s="271">
        <f t="shared" si="13"/>
        <v>0</v>
      </c>
      <c r="Z260" s="154"/>
    </row>
    <row r="261" s="243" customFormat="1" ht="22" customHeight="1" outlineLevel="2" spans="1:26">
      <c r="A261" s="154" t="s">
        <v>1323</v>
      </c>
      <c r="B261" s="259">
        <v>26</v>
      </c>
      <c r="C261" s="259">
        <v>1</v>
      </c>
      <c r="D261" s="154">
        <v>-1</v>
      </c>
      <c r="E261" s="263" t="s">
        <v>1324</v>
      </c>
      <c r="F261" s="259"/>
      <c r="G261" s="154" t="s">
        <v>536</v>
      </c>
      <c r="H261" s="154" t="s">
        <v>537</v>
      </c>
      <c r="I261" s="154"/>
      <c r="J261" s="269"/>
      <c r="K261" s="90"/>
      <c r="L261" s="271"/>
      <c r="M261" s="289"/>
      <c r="N261" s="271">
        <v>9.14</v>
      </c>
      <c r="O261" s="271"/>
      <c r="P261" s="290">
        <v>9.14</v>
      </c>
      <c r="Q261" s="271"/>
      <c r="R261" s="154"/>
      <c r="S261" s="189"/>
      <c r="T261" s="308"/>
      <c r="U261" s="305">
        <v>0</v>
      </c>
      <c r="V261" s="305">
        <f t="shared" si="14"/>
        <v>0</v>
      </c>
      <c r="W261" s="306">
        <f t="shared" si="15"/>
        <v>0</v>
      </c>
      <c r="X261" s="271">
        <f t="shared" si="12"/>
        <v>0</v>
      </c>
      <c r="Y261" s="271">
        <f t="shared" si="13"/>
        <v>0</v>
      </c>
      <c r="Z261" s="154"/>
    </row>
    <row r="262" s="243" customFormat="1" ht="22" customHeight="1" outlineLevel="2" spans="1:26">
      <c r="A262" s="154" t="s">
        <v>1325</v>
      </c>
      <c r="B262" s="259">
        <v>26</v>
      </c>
      <c r="C262" s="259">
        <v>1</v>
      </c>
      <c r="D262" s="154">
        <v>-1</v>
      </c>
      <c r="E262" s="263" t="s">
        <v>1326</v>
      </c>
      <c r="F262" s="259"/>
      <c r="G262" s="154" t="s">
        <v>536</v>
      </c>
      <c r="H262" s="154" t="s">
        <v>537</v>
      </c>
      <c r="I262" s="154"/>
      <c r="J262" s="269"/>
      <c r="K262" s="90"/>
      <c r="L262" s="271"/>
      <c r="M262" s="289"/>
      <c r="N262" s="271">
        <v>14.63</v>
      </c>
      <c r="O262" s="271"/>
      <c r="P262" s="290">
        <v>14.63</v>
      </c>
      <c r="Q262" s="271"/>
      <c r="R262" s="154"/>
      <c r="S262" s="189"/>
      <c r="T262" s="308"/>
      <c r="U262" s="305">
        <v>0</v>
      </c>
      <c r="V262" s="305">
        <f t="shared" si="14"/>
        <v>0</v>
      </c>
      <c r="W262" s="306">
        <f t="shared" si="15"/>
        <v>0</v>
      </c>
      <c r="X262" s="271">
        <f t="shared" si="12"/>
        <v>0</v>
      </c>
      <c r="Y262" s="271">
        <f t="shared" si="13"/>
        <v>0</v>
      </c>
      <c r="Z262" s="154"/>
    </row>
    <row r="263" s="243" customFormat="1" ht="22" customHeight="1" outlineLevel="2" spans="1:26">
      <c r="A263" s="154" t="s">
        <v>1327</v>
      </c>
      <c r="B263" s="259">
        <v>26</v>
      </c>
      <c r="C263" s="259">
        <v>1</v>
      </c>
      <c r="D263" s="154">
        <v>-1</v>
      </c>
      <c r="E263" s="263" t="s">
        <v>1328</v>
      </c>
      <c r="F263" s="259"/>
      <c r="G263" s="154" t="s">
        <v>536</v>
      </c>
      <c r="H263" s="154" t="s">
        <v>537</v>
      </c>
      <c r="I263" s="154"/>
      <c r="J263" s="269"/>
      <c r="K263" s="90"/>
      <c r="L263" s="271"/>
      <c r="M263" s="289"/>
      <c r="N263" s="271">
        <v>8.69</v>
      </c>
      <c r="O263" s="271"/>
      <c r="P263" s="290">
        <v>8.69</v>
      </c>
      <c r="Q263" s="271"/>
      <c r="R263" s="154"/>
      <c r="S263" s="189"/>
      <c r="T263" s="308"/>
      <c r="U263" s="305">
        <v>0</v>
      </c>
      <c r="V263" s="305">
        <f t="shared" si="14"/>
        <v>0</v>
      </c>
      <c r="W263" s="306">
        <f t="shared" si="15"/>
        <v>0</v>
      </c>
      <c r="X263" s="271">
        <f t="shared" ref="X263:X326" si="16">U263</f>
        <v>0</v>
      </c>
      <c r="Y263" s="271">
        <f t="shared" ref="Y263:Y326" si="17">ROUND(X263/P263,2)</f>
        <v>0</v>
      </c>
      <c r="Z263" s="154"/>
    </row>
    <row r="264" s="243" customFormat="1" ht="22" customHeight="1" outlineLevel="2" spans="1:26">
      <c r="A264" s="154" t="s">
        <v>1329</v>
      </c>
      <c r="B264" s="259">
        <v>26</v>
      </c>
      <c r="C264" s="259">
        <v>1</v>
      </c>
      <c r="D264" s="154">
        <v>-1</v>
      </c>
      <c r="E264" s="263" t="s">
        <v>1330</v>
      </c>
      <c r="F264" s="259"/>
      <c r="G264" s="154" t="s">
        <v>536</v>
      </c>
      <c r="H264" s="154" t="s">
        <v>537</v>
      </c>
      <c r="I264" s="154"/>
      <c r="J264" s="269"/>
      <c r="K264" s="90"/>
      <c r="L264" s="271"/>
      <c r="M264" s="289"/>
      <c r="N264" s="271">
        <v>75.77</v>
      </c>
      <c r="O264" s="271"/>
      <c r="P264" s="290">
        <v>75.77</v>
      </c>
      <c r="Q264" s="271"/>
      <c r="R264" s="154"/>
      <c r="S264" s="189"/>
      <c r="T264" s="308"/>
      <c r="U264" s="305">
        <v>0</v>
      </c>
      <c r="V264" s="305">
        <f t="shared" ref="V264:V327" si="18">L264-U264</f>
        <v>0</v>
      </c>
      <c r="W264" s="306">
        <f t="shared" ref="W264:W327" si="19">U264+V264</f>
        <v>0</v>
      </c>
      <c r="X264" s="271">
        <f t="shared" si="16"/>
        <v>0</v>
      </c>
      <c r="Y264" s="271">
        <f t="shared" si="17"/>
        <v>0</v>
      </c>
      <c r="Z264" s="154"/>
    </row>
    <row r="265" s="243" customFormat="1" ht="22" customHeight="1" outlineLevel="2" spans="1:26">
      <c r="A265" s="154" t="s">
        <v>1331</v>
      </c>
      <c r="B265" s="259">
        <v>26</v>
      </c>
      <c r="C265" s="259">
        <v>1</v>
      </c>
      <c r="D265" s="154">
        <v>-1</v>
      </c>
      <c r="E265" s="263" t="s">
        <v>1332</v>
      </c>
      <c r="F265" s="259"/>
      <c r="G265" s="154" t="s">
        <v>536</v>
      </c>
      <c r="H265" s="154" t="s">
        <v>537</v>
      </c>
      <c r="I265" s="154"/>
      <c r="J265" s="269"/>
      <c r="K265" s="90"/>
      <c r="L265" s="271"/>
      <c r="M265" s="289"/>
      <c r="N265" s="271">
        <v>16.7</v>
      </c>
      <c r="O265" s="271"/>
      <c r="P265" s="290">
        <v>16.7</v>
      </c>
      <c r="Q265" s="271"/>
      <c r="R265" s="154"/>
      <c r="S265" s="189"/>
      <c r="T265" s="308"/>
      <c r="U265" s="305">
        <v>0</v>
      </c>
      <c r="V265" s="305">
        <f t="shared" si="18"/>
        <v>0</v>
      </c>
      <c r="W265" s="306">
        <f t="shared" si="19"/>
        <v>0</v>
      </c>
      <c r="X265" s="271">
        <f t="shared" si="16"/>
        <v>0</v>
      </c>
      <c r="Y265" s="271">
        <f t="shared" si="17"/>
        <v>0</v>
      </c>
      <c r="Z265" s="154"/>
    </row>
    <row r="266" s="243" customFormat="1" ht="22" customHeight="1" outlineLevel="2" spans="1:26">
      <c r="A266" s="154" t="s">
        <v>1333</v>
      </c>
      <c r="B266" s="259">
        <v>26</v>
      </c>
      <c r="C266" s="259">
        <v>1</v>
      </c>
      <c r="D266" s="154">
        <v>-1</v>
      </c>
      <c r="E266" s="263" t="s">
        <v>1334</v>
      </c>
      <c r="F266" s="259"/>
      <c r="G266" s="154" t="s">
        <v>536</v>
      </c>
      <c r="H266" s="154" t="s">
        <v>537</v>
      </c>
      <c r="I266" s="154"/>
      <c r="J266" s="269"/>
      <c r="K266" s="90"/>
      <c r="L266" s="271"/>
      <c r="M266" s="289"/>
      <c r="N266" s="271">
        <v>16.7</v>
      </c>
      <c r="O266" s="271"/>
      <c r="P266" s="290">
        <v>16.7</v>
      </c>
      <c r="Q266" s="271"/>
      <c r="R266" s="154"/>
      <c r="S266" s="189"/>
      <c r="T266" s="308"/>
      <c r="U266" s="305">
        <v>0</v>
      </c>
      <c r="V266" s="305">
        <f t="shared" si="18"/>
        <v>0</v>
      </c>
      <c r="W266" s="306">
        <f t="shared" si="19"/>
        <v>0</v>
      </c>
      <c r="X266" s="271">
        <f t="shared" si="16"/>
        <v>0</v>
      </c>
      <c r="Y266" s="271">
        <f t="shared" si="17"/>
        <v>0</v>
      </c>
      <c r="Z266" s="154"/>
    </row>
    <row r="267" s="243" customFormat="1" ht="22" customHeight="1" outlineLevel="2" spans="1:26">
      <c r="A267" s="154" t="s">
        <v>1335</v>
      </c>
      <c r="B267" s="259">
        <v>26</v>
      </c>
      <c r="C267" s="259">
        <v>1</v>
      </c>
      <c r="D267" s="154">
        <v>-1</v>
      </c>
      <c r="E267" s="263" t="s">
        <v>1336</v>
      </c>
      <c r="F267" s="259"/>
      <c r="G267" s="154" t="s">
        <v>536</v>
      </c>
      <c r="H267" s="154" t="s">
        <v>537</v>
      </c>
      <c r="I267" s="154"/>
      <c r="J267" s="269"/>
      <c r="K267" s="90"/>
      <c r="L267" s="271"/>
      <c r="M267" s="289"/>
      <c r="N267" s="271">
        <v>78.62</v>
      </c>
      <c r="O267" s="271"/>
      <c r="P267" s="290">
        <v>78.62</v>
      </c>
      <c r="Q267" s="271"/>
      <c r="R267" s="154"/>
      <c r="S267" s="189"/>
      <c r="T267" s="308"/>
      <c r="U267" s="305">
        <v>0</v>
      </c>
      <c r="V267" s="305">
        <f t="shared" si="18"/>
        <v>0</v>
      </c>
      <c r="W267" s="306">
        <f t="shared" si="19"/>
        <v>0</v>
      </c>
      <c r="X267" s="271">
        <f t="shared" si="16"/>
        <v>0</v>
      </c>
      <c r="Y267" s="271">
        <f t="shared" si="17"/>
        <v>0</v>
      </c>
      <c r="Z267" s="154"/>
    </row>
    <row r="268" s="243" customFormat="1" ht="22" customHeight="1" outlineLevel="2" spans="1:26">
      <c r="A268" s="154" t="s">
        <v>1337</v>
      </c>
      <c r="B268" s="259">
        <v>26</v>
      </c>
      <c r="C268" s="259">
        <v>1</v>
      </c>
      <c r="D268" s="154">
        <v>-1</v>
      </c>
      <c r="E268" s="263" t="s">
        <v>1338</v>
      </c>
      <c r="F268" s="259"/>
      <c r="G268" s="154" t="s">
        <v>536</v>
      </c>
      <c r="H268" s="154" t="s">
        <v>537</v>
      </c>
      <c r="I268" s="154"/>
      <c r="J268" s="269"/>
      <c r="K268" s="90"/>
      <c r="L268" s="271"/>
      <c r="M268" s="289"/>
      <c r="N268" s="271">
        <v>8.69</v>
      </c>
      <c r="O268" s="271"/>
      <c r="P268" s="290">
        <v>8.69</v>
      </c>
      <c r="Q268" s="271"/>
      <c r="R268" s="154"/>
      <c r="S268" s="189"/>
      <c r="T268" s="308"/>
      <c r="U268" s="305">
        <v>0</v>
      </c>
      <c r="V268" s="305">
        <f t="shared" si="18"/>
        <v>0</v>
      </c>
      <c r="W268" s="306">
        <f t="shared" si="19"/>
        <v>0</v>
      </c>
      <c r="X268" s="271">
        <f t="shared" si="16"/>
        <v>0</v>
      </c>
      <c r="Y268" s="271">
        <f t="shared" si="17"/>
        <v>0</v>
      </c>
      <c r="Z268" s="154"/>
    </row>
    <row r="269" s="243" customFormat="1" ht="22" customHeight="1" outlineLevel="2" spans="1:26">
      <c r="A269" s="154" t="s">
        <v>1339</v>
      </c>
      <c r="B269" s="259">
        <v>26</v>
      </c>
      <c r="C269" s="259">
        <v>1</v>
      </c>
      <c r="D269" s="154">
        <v>-1</v>
      </c>
      <c r="E269" s="263" t="s">
        <v>1340</v>
      </c>
      <c r="F269" s="259"/>
      <c r="G269" s="154" t="s">
        <v>536</v>
      </c>
      <c r="H269" s="154" t="s">
        <v>537</v>
      </c>
      <c r="I269" s="154"/>
      <c r="J269" s="269"/>
      <c r="K269" s="90"/>
      <c r="L269" s="271"/>
      <c r="M269" s="289"/>
      <c r="N269" s="271">
        <v>14.63</v>
      </c>
      <c r="O269" s="271"/>
      <c r="P269" s="290">
        <v>14.63</v>
      </c>
      <c r="Q269" s="271"/>
      <c r="R269" s="154"/>
      <c r="S269" s="189"/>
      <c r="T269" s="308"/>
      <c r="U269" s="305">
        <v>0</v>
      </c>
      <c r="V269" s="305">
        <f t="shared" si="18"/>
        <v>0</v>
      </c>
      <c r="W269" s="306">
        <f t="shared" si="19"/>
        <v>0</v>
      </c>
      <c r="X269" s="271">
        <f t="shared" si="16"/>
        <v>0</v>
      </c>
      <c r="Y269" s="271">
        <f t="shared" si="17"/>
        <v>0</v>
      </c>
      <c r="Z269" s="154"/>
    </row>
    <row r="270" s="243" customFormat="1" ht="22" customHeight="1" outlineLevel="2" spans="1:26">
      <c r="A270" s="154" t="s">
        <v>1341</v>
      </c>
      <c r="B270" s="259">
        <v>26</v>
      </c>
      <c r="C270" s="259">
        <v>1</v>
      </c>
      <c r="D270" s="154">
        <v>-1</v>
      </c>
      <c r="E270" s="263" t="s">
        <v>1342</v>
      </c>
      <c r="F270" s="259"/>
      <c r="G270" s="154" t="s">
        <v>536</v>
      </c>
      <c r="H270" s="154" t="s">
        <v>537</v>
      </c>
      <c r="I270" s="154"/>
      <c r="J270" s="269"/>
      <c r="K270" s="90"/>
      <c r="L270" s="271"/>
      <c r="M270" s="289"/>
      <c r="N270" s="271">
        <v>9.14</v>
      </c>
      <c r="O270" s="271"/>
      <c r="P270" s="290">
        <v>9.14</v>
      </c>
      <c r="Q270" s="271"/>
      <c r="R270" s="154"/>
      <c r="S270" s="189"/>
      <c r="T270" s="308"/>
      <c r="U270" s="305">
        <v>0</v>
      </c>
      <c r="V270" s="305">
        <f t="shared" si="18"/>
        <v>0</v>
      </c>
      <c r="W270" s="306">
        <f t="shared" si="19"/>
        <v>0</v>
      </c>
      <c r="X270" s="271">
        <f t="shared" si="16"/>
        <v>0</v>
      </c>
      <c r="Y270" s="271">
        <f t="shared" si="17"/>
        <v>0</v>
      </c>
      <c r="Z270" s="154"/>
    </row>
    <row r="271" s="243" customFormat="1" ht="22" customHeight="1" outlineLevel="2" spans="1:26">
      <c r="A271" s="154" t="s">
        <v>1343</v>
      </c>
      <c r="B271" s="259">
        <v>26</v>
      </c>
      <c r="C271" s="259">
        <v>1</v>
      </c>
      <c r="D271" s="154">
        <v>-1</v>
      </c>
      <c r="E271" s="263" t="s">
        <v>1344</v>
      </c>
      <c r="F271" s="259"/>
      <c r="G271" s="154" t="s">
        <v>536</v>
      </c>
      <c r="H271" s="154" t="s">
        <v>537</v>
      </c>
      <c r="I271" s="154"/>
      <c r="J271" s="269"/>
      <c r="K271" s="90"/>
      <c r="L271" s="271"/>
      <c r="M271" s="289"/>
      <c r="N271" s="271">
        <v>10.97</v>
      </c>
      <c r="O271" s="271"/>
      <c r="P271" s="290">
        <v>10.97</v>
      </c>
      <c r="Q271" s="271"/>
      <c r="R271" s="154"/>
      <c r="S271" s="189"/>
      <c r="T271" s="308"/>
      <c r="U271" s="305">
        <v>0</v>
      </c>
      <c r="V271" s="305">
        <f t="shared" si="18"/>
        <v>0</v>
      </c>
      <c r="W271" s="306">
        <f t="shared" si="19"/>
        <v>0</v>
      </c>
      <c r="X271" s="271">
        <f t="shared" si="16"/>
        <v>0</v>
      </c>
      <c r="Y271" s="271">
        <f t="shared" si="17"/>
        <v>0</v>
      </c>
      <c r="Z271" s="154"/>
    </row>
    <row r="272" s="243" customFormat="1" ht="22" customHeight="1" outlineLevel="2" spans="1:26">
      <c r="A272" s="154" t="s">
        <v>1345</v>
      </c>
      <c r="B272" s="259">
        <v>26</v>
      </c>
      <c r="C272" s="259">
        <v>1</v>
      </c>
      <c r="D272" s="154">
        <v>-1</v>
      </c>
      <c r="E272" s="263" t="s">
        <v>1346</v>
      </c>
      <c r="F272" s="259"/>
      <c r="G272" s="154" t="s">
        <v>536</v>
      </c>
      <c r="H272" s="154" t="s">
        <v>537</v>
      </c>
      <c r="I272" s="154"/>
      <c r="J272" s="269"/>
      <c r="K272" s="90"/>
      <c r="L272" s="271"/>
      <c r="M272" s="289"/>
      <c r="N272" s="271">
        <v>12.34</v>
      </c>
      <c r="O272" s="271"/>
      <c r="P272" s="290">
        <v>12.34</v>
      </c>
      <c r="Q272" s="271"/>
      <c r="R272" s="154"/>
      <c r="S272" s="189"/>
      <c r="T272" s="308"/>
      <c r="U272" s="305">
        <v>0</v>
      </c>
      <c r="V272" s="305">
        <f t="shared" si="18"/>
        <v>0</v>
      </c>
      <c r="W272" s="306">
        <f t="shared" si="19"/>
        <v>0</v>
      </c>
      <c r="X272" s="271">
        <f t="shared" si="16"/>
        <v>0</v>
      </c>
      <c r="Y272" s="271">
        <f t="shared" si="17"/>
        <v>0</v>
      </c>
      <c r="Z272" s="154"/>
    </row>
    <row r="273" s="243" customFormat="1" ht="22" customHeight="1" outlineLevel="2" spans="1:26">
      <c r="A273" s="154" t="s">
        <v>1347</v>
      </c>
      <c r="B273" s="259">
        <v>26</v>
      </c>
      <c r="C273" s="259">
        <v>2</v>
      </c>
      <c r="D273" s="154">
        <v>-1</v>
      </c>
      <c r="E273" s="263" t="s">
        <v>1348</v>
      </c>
      <c r="F273" s="259"/>
      <c r="G273" s="154" t="s">
        <v>536</v>
      </c>
      <c r="H273" s="154" t="s">
        <v>537</v>
      </c>
      <c r="I273" s="154"/>
      <c r="J273" s="269"/>
      <c r="K273" s="90"/>
      <c r="L273" s="271"/>
      <c r="M273" s="289"/>
      <c r="N273" s="271">
        <v>12.34</v>
      </c>
      <c r="O273" s="271"/>
      <c r="P273" s="290">
        <v>12.34</v>
      </c>
      <c r="Q273" s="271"/>
      <c r="R273" s="154"/>
      <c r="S273" s="189"/>
      <c r="T273" s="308"/>
      <c r="U273" s="305">
        <v>0</v>
      </c>
      <c r="V273" s="305">
        <f t="shared" si="18"/>
        <v>0</v>
      </c>
      <c r="W273" s="306">
        <f t="shared" si="19"/>
        <v>0</v>
      </c>
      <c r="X273" s="271">
        <f t="shared" si="16"/>
        <v>0</v>
      </c>
      <c r="Y273" s="271">
        <f t="shared" si="17"/>
        <v>0</v>
      </c>
      <c r="Z273" s="154"/>
    </row>
    <row r="274" s="243" customFormat="1" ht="22" customHeight="1" outlineLevel="2" spans="1:26">
      <c r="A274" s="154" t="s">
        <v>1349</v>
      </c>
      <c r="B274" s="259">
        <v>26</v>
      </c>
      <c r="C274" s="259">
        <v>2</v>
      </c>
      <c r="D274" s="154">
        <v>-1</v>
      </c>
      <c r="E274" s="263" t="s">
        <v>1350</v>
      </c>
      <c r="F274" s="259"/>
      <c r="G274" s="154" t="s">
        <v>536</v>
      </c>
      <c r="H274" s="154" t="s">
        <v>537</v>
      </c>
      <c r="I274" s="154"/>
      <c r="J274" s="269"/>
      <c r="K274" s="90"/>
      <c r="L274" s="271"/>
      <c r="M274" s="289"/>
      <c r="N274" s="271">
        <v>10.97</v>
      </c>
      <c r="O274" s="271"/>
      <c r="P274" s="290">
        <v>10.97</v>
      </c>
      <c r="Q274" s="271"/>
      <c r="R274" s="154"/>
      <c r="S274" s="189"/>
      <c r="T274" s="308"/>
      <c r="U274" s="305">
        <v>0</v>
      </c>
      <c r="V274" s="305">
        <f t="shared" si="18"/>
        <v>0</v>
      </c>
      <c r="W274" s="306">
        <f t="shared" si="19"/>
        <v>0</v>
      </c>
      <c r="X274" s="271">
        <f t="shared" si="16"/>
        <v>0</v>
      </c>
      <c r="Y274" s="271">
        <f t="shared" si="17"/>
        <v>0</v>
      </c>
      <c r="Z274" s="154"/>
    </row>
    <row r="275" s="243" customFormat="1" ht="22" customHeight="1" outlineLevel="2" spans="1:26">
      <c r="A275" s="154" t="s">
        <v>1351</v>
      </c>
      <c r="B275" s="259">
        <v>26</v>
      </c>
      <c r="C275" s="259">
        <v>2</v>
      </c>
      <c r="D275" s="154">
        <v>-1</v>
      </c>
      <c r="E275" s="263" t="s">
        <v>1352</v>
      </c>
      <c r="F275" s="259"/>
      <c r="G275" s="154" t="s">
        <v>536</v>
      </c>
      <c r="H275" s="154" t="s">
        <v>537</v>
      </c>
      <c r="I275" s="154"/>
      <c r="J275" s="269"/>
      <c r="K275" s="90"/>
      <c r="L275" s="271"/>
      <c r="M275" s="289"/>
      <c r="N275" s="271">
        <v>9.14</v>
      </c>
      <c r="O275" s="271"/>
      <c r="P275" s="290">
        <v>9.14</v>
      </c>
      <c r="Q275" s="271"/>
      <c r="R275" s="154"/>
      <c r="S275" s="189"/>
      <c r="T275" s="308"/>
      <c r="U275" s="305">
        <v>0</v>
      </c>
      <c r="V275" s="305">
        <f t="shared" si="18"/>
        <v>0</v>
      </c>
      <c r="W275" s="306">
        <f t="shared" si="19"/>
        <v>0</v>
      </c>
      <c r="X275" s="271">
        <f t="shared" si="16"/>
        <v>0</v>
      </c>
      <c r="Y275" s="271">
        <f t="shared" si="17"/>
        <v>0</v>
      </c>
      <c r="Z275" s="154"/>
    </row>
    <row r="276" s="243" customFormat="1" ht="22" customHeight="1" outlineLevel="2" spans="1:26">
      <c r="A276" s="154" t="s">
        <v>1353</v>
      </c>
      <c r="B276" s="259">
        <v>26</v>
      </c>
      <c r="C276" s="259">
        <v>2</v>
      </c>
      <c r="D276" s="154">
        <v>-1</v>
      </c>
      <c r="E276" s="263" t="s">
        <v>1354</v>
      </c>
      <c r="F276" s="259"/>
      <c r="G276" s="154" t="s">
        <v>536</v>
      </c>
      <c r="H276" s="154" t="s">
        <v>537</v>
      </c>
      <c r="I276" s="154"/>
      <c r="J276" s="269"/>
      <c r="K276" s="90"/>
      <c r="L276" s="271"/>
      <c r="M276" s="289"/>
      <c r="N276" s="271">
        <v>14.63</v>
      </c>
      <c r="O276" s="271"/>
      <c r="P276" s="290">
        <v>14.63</v>
      </c>
      <c r="Q276" s="271"/>
      <c r="R276" s="154"/>
      <c r="S276" s="189"/>
      <c r="T276" s="308"/>
      <c r="U276" s="305">
        <v>0</v>
      </c>
      <c r="V276" s="305">
        <f t="shared" si="18"/>
        <v>0</v>
      </c>
      <c r="W276" s="306">
        <f t="shared" si="19"/>
        <v>0</v>
      </c>
      <c r="X276" s="271">
        <f t="shared" si="16"/>
        <v>0</v>
      </c>
      <c r="Y276" s="271">
        <f t="shared" si="17"/>
        <v>0</v>
      </c>
      <c r="Z276" s="154"/>
    </row>
    <row r="277" s="243" customFormat="1" ht="22" customHeight="1" outlineLevel="2" spans="1:26">
      <c r="A277" s="154" t="s">
        <v>1355</v>
      </c>
      <c r="B277" s="259">
        <v>26</v>
      </c>
      <c r="C277" s="259">
        <v>2</v>
      </c>
      <c r="D277" s="154">
        <v>-1</v>
      </c>
      <c r="E277" s="263" t="s">
        <v>1356</v>
      </c>
      <c r="F277" s="259"/>
      <c r="G277" s="154" t="s">
        <v>536</v>
      </c>
      <c r="H277" s="154" t="s">
        <v>537</v>
      </c>
      <c r="I277" s="154"/>
      <c r="J277" s="269"/>
      <c r="K277" s="90"/>
      <c r="L277" s="271"/>
      <c r="M277" s="289"/>
      <c r="N277" s="271">
        <v>8.69</v>
      </c>
      <c r="O277" s="271"/>
      <c r="P277" s="290">
        <v>8.69</v>
      </c>
      <c r="Q277" s="271"/>
      <c r="R277" s="154"/>
      <c r="S277" s="189"/>
      <c r="T277" s="308"/>
      <c r="U277" s="305">
        <v>0</v>
      </c>
      <c r="V277" s="305">
        <f t="shared" si="18"/>
        <v>0</v>
      </c>
      <c r="W277" s="306">
        <f t="shared" si="19"/>
        <v>0</v>
      </c>
      <c r="X277" s="271">
        <f t="shared" si="16"/>
        <v>0</v>
      </c>
      <c r="Y277" s="271">
        <f t="shared" si="17"/>
        <v>0</v>
      </c>
      <c r="Z277" s="154"/>
    </row>
    <row r="278" s="243" customFormat="1" ht="22" customHeight="1" outlineLevel="2" spans="1:26">
      <c r="A278" s="154" t="s">
        <v>1357</v>
      </c>
      <c r="B278" s="259">
        <v>26</v>
      </c>
      <c r="C278" s="259">
        <v>2</v>
      </c>
      <c r="D278" s="154">
        <v>-1</v>
      </c>
      <c r="E278" s="263" t="s">
        <v>1358</v>
      </c>
      <c r="F278" s="259"/>
      <c r="G278" s="154" t="s">
        <v>536</v>
      </c>
      <c r="H278" s="154" t="s">
        <v>537</v>
      </c>
      <c r="I278" s="154"/>
      <c r="J278" s="269"/>
      <c r="K278" s="90"/>
      <c r="L278" s="271"/>
      <c r="M278" s="289"/>
      <c r="N278" s="271">
        <v>78.62</v>
      </c>
      <c r="O278" s="271"/>
      <c r="P278" s="290">
        <v>78.62</v>
      </c>
      <c r="Q278" s="271"/>
      <c r="R278" s="154"/>
      <c r="S278" s="189"/>
      <c r="T278" s="308"/>
      <c r="U278" s="305">
        <v>0</v>
      </c>
      <c r="V278" s="305">
        <f t="shared" si="18"/>
        <v>0</v>
      </c>
      <c r="W278" s="306">
        <f t="shared" si="19"/>
        <v>0</v>
      </c>
      <c r="X278" s="271">
        <f t="shared" si="16"/>
        <v>0</v>
      </c>
      <c r="Y278" s="271">
        <f t="shared" si="17"/>
        <v>0</v>
      </c>
      <c r="Z278" s="154"/>
    </row>
    <row r="279" s="243" customFormat="1" ht="22" customHeight="1" outlineLevel="2" spans="1:26">
      <c r="A279" s="154" t="s">
        <v>1359</v>
      </c>
      <c r="B279" s="259">
        <v>26</v>
      </c>
      <c r="C279" s="259">
        <v>2</v>
      </c>
      <c r="D279" s="154">
        <v>-1</v>
      </c>
      <c r="E279" s="263" t="s">
        <v>1360</v>
      </c>
      <c r="F279" s="259"/>
      <c r="G279" s="154" t="s">
        <v>536</v>
      </c>
      <c r="H279" s="154" t="s">
        <v>537</v>
      </c>
      <c r="I279" s="154"/>
      <c r="J279" s="269"/>
      <c r="K279" s="90"/>
      <c r="L279" s="271"/>
      <c r="M279" s="289"/>
      <c r="N279" s="271">
        <v>16.7</v>
      </c>
      <c r="O279" s="271"/>
      <c r="P279" s="290">
        <v>16.7</v>
      </c>
      <c r="Q279" s="271"/>
      <c r="R279" s="154"/>
      <c r="S279" s="189"/>
      <c r="T279" s="308"/>
      <c r="U279" s="305">
        <v>0</v>
      </c>
      <c r="V279" s="305">
        <f t="shared" si="18"/>
        <v>0</v>
      </c>
      <c r="W279" s="306">
        <f t="shared" si="19"/>
        <v>0</v>
      </c>
      <c r="X279" s="271">
        <f t="shared" si="16"/>
        <v>0</v>
      </c>
      <c r="Y279" s="271">
        <f t="shared" si="17"/>
        <v>0</v>
      </c>
      <c r="Z279" s="154"/>
    </row>
    <row r="280" s="243" customFormat="1" ht="22" customHeight="1" outlineLevel="2" spans="1:26">
      <c r="A280" s="154" t="s">
        <v>1361</v>
      </c>
      <c r="B280" s="259">
        <v>26</v>
      </c>
      <c r="C280" s="259">
        <v>2</v>
      </c>
      <c r="D280" s="154">
        <v>-1</v>
      </c>
      <c r="E280" s="263" t="s">
        <v>1362</v>
      </c>
      <c r="F280" s="259"/>
      <c r="G280" s="154" t="s">
        <v>536</v>
      </c>
      <c r="H280" s="154" t="s">
        <v>537</v>
      </c>
      <c r="I280" s="154"/>
      <c r="J280" s="269"/>
      <c r="K280" s="90"/>
      <c r="L280" s="271"/>
      <c r="M280" s="289"/>
      <c r="N280" s="271">
        <v>16.7</v>
      </c>
      <c r="O280" s="271"/>
      <c r="P280" s="290">
        <v>16.7</v>
      </c>
      <c r="Q280" s="271"/>
      <c r="R280" s="154"/>
      <c r="S280" s="189"/>
      <c r="T280" s="308"/>
      <c r="U280" s="305">
        <v>0</v>
      </c>
      <c r="V280" s="305">
        <f t="shared" si="18"/>
        <v>0</v>
      </c>
      <c r="W280" s="306">
        <f t="shared" si="19"/>
        <v>0</v>
      </c>
      <c r="X280" s="271">
        <f t="shared" si="16"/>
        <v>0</v>
      </c>
      <c r="Y280" s="271">
        <f t="shared" si="17"/>
        <v>0</v>
      </c>
      <c r="Z280" s="154"/>
    </row>
    <row r="281" s="243" customFormat="1" ht="22" customHeight="1" outlineLevel="2" spans="1:26">
      <c r="A281" s="154" t="s">
        <v>1363</v>
      </c>
      <c r="B281" s="259">
        <v>26</v>
      </c>
      <c r="C281" s="259">
        <v>2</v>
      </c>
      <c r="D281" s="154">
        <v>-1</v>
      </c>
      <c r="E281" s="263" t="s">
        <v>1364</v>
      </c>
      <c r="F281" s="259"/>
      <c r="G281" s="154" t="s">
        <v>536</v>
      </c>
      <c r="H281" s="154" t="s">
        <v>537</v>
      </c>
      <c r="I281" s="154"/>
      <c r="J281" s="269"/>
      <c r="K281" s="90"/>
      <c r="L281" s="271"/>
      <c r="M281" s="289"/>
      <c r="N281" s="271">
        <v>75.77</v>
      </c>
      <c r="O281" s="271"/>
      <c r="P281" s="290">
        <v>75.77</v>
      </c>
      <c r="Q281" s="271"/>
      <c r="R281" s="154"/>
      <c r="S281" s="189"/>
      <c r="T281" s="308"/>
      <c r="U281" s="305">
        <v>0</v>
      </c>
      <c r="V281" s="305">
        <f t="shared" si="18"/>
        <v>0</v>
      </c>
      <c r="W281" s="306">
        <f t="shared" si="19"/>
        <v>0</v>
      </c>
      <c r="X281" s="271">
        <f t="shared" si="16"/>
        <v>0</v>
      </c>
      <c r="Y281" s="271">
        <f t="shared" si="17"/>
        <v>0</v>
      </c>
      <c r="Z281" s="154"/>
    </row>
    <row r="282" s="243" customFormat="1" ht="22" customHeight="1" outlineLevel="2" spans="1:26">
      <c r="A282" s="154" t="s">
        <v>1365</v>
      </c>
      <c r="B282" s="259">
        <v>26</v>
      </c>
      <c r="C282" s="259">
        <v>2</v>
      </c>
      <c r="D282" s="154">
        <v>-1</v>
      </c>
      <c r="E282" s="263" t="s">
        <v>1366</v>
      </c>
      <c r="F282" s="259"/>
      <c r="G282" s="154" t="s">
        <v>536</v>
      </c>
      <c r="H282" s="154" t="s">
        <v>537</v>
      </c>
      <c r="I282" s="154"/>
      <c r="J282" s="269"/>
      <c r="K282" s="90"/>
      <c r="L282" s="271"/>
      <c r="M282" s="289"/>
      <c r="N282" s="271">
        <v>8.69</v>
      </c>
      <c r="O282" s="271"/>
      <c r="P282" s="290">
        <v>8.69</v>
      </c>
      <c r="Q282" s="271"/>
      <c r="R282" s="154"/>
      <c r="S282" s="189"/>
      <c r="T282" s="308"/>
      <c r="U282" s="305">
        <v>0</v>
      </c>
      <c r="V282" s="305">
        <f t="shared" si="18"/>
        <v>0</v>
      </c>
      <c r="W282" s="306">
        <f t="shared" si="19"/>
        <v>0</v>
      </c>
      <c r="X282" s="271">
        <f t="shared" si="16"/>
        <v>0</v>
      </c>
      <c r="Y282" s="271">
        <f t="shared" si="17"/>
        <v>0</v>
      </c>
      <c r="Z282" s="154"/>
    </row>
    <row r="283" s="243" customFormat="1" ht="22" customHeight="1" outlineLevel="2" spans="1:26">
      <c r="A283" s="154" t="s">
        <v>1367</v>
      </c>
      <c r="B283" s="259">
        <v>26</v>
      </c>
      <c r="C283" s="259">
        <v>2</v>
      </c>
      <c r="D283" s="154">
        <v>-1</v>
      </c>
      <c r="E283" s="263" t="s">
        <v>1368</v>
      </c>
      <c r="F283" s="259"/>
      <c r="G283" s="154" t="s">
        <v>536</v>
      </c>
      <c r="H283" s="154" t="s">
        <v>537</v>
      </c>
      <c r="I283" s="154"/>
      <c r="J283" s="269"/>
      <c r="K283" s="90"/>
      <c r="L283" s="271"/>
      <c r="M283" s="289"/>
      <c r="N283" s="271">
        <v>14.63</v>
      </c>
      <c r="O283" s="271"/>
      <c r="P283" s="290">
        <v>14.63</v>
      </c>
      <c r="Q283" s="271"/>
      <c r="R283" s="154"/>
      <c r="S283" s="189"/>
      <c r="T283" s="308"/>
      <c r="U283" s="305">
        <v>0</v>
      </c>
      <c r="V283" s="305">
        <f t="shared" si="18"/>
        <v>0</v>
      </c>
      <c r="W283" s="306">
        <f t="shared" si="19"/>
        <v>0</v>
      </c>
      <c r="X283" s="271">
        <f t="shared" si="16"/>
        <v>0</v>
      </c>
      <c r="Y283" s="271">
        <f t="shared" si="17"/>
        <v>0</v>
      </c>
      <c r="Z283" s="154"/>
    </row>
    <row r="284" s="243" customFormat="1" ht="22" customHeight="1" outlineLevel="2" spans="1:26">
      <c r="A284" s="154" t="s">
        <v>1369</v>
      </c>
      <c r="B284" s="259">
        <v>26</v>
      </c>
      <c r="C284" s="259">
        <v>2</v>
      </c>
      <c r="D284" s="154">
        <v>-1</v>
      </c>
      <c r="E284" s="263" t="s">
        <v>1370</v>
      </c>
      <c r="F284" s="259"/>
      <c r="G284" s="154" t="s">
        <v>536</v>
      </c>
      <c r="H284" s="154" t="s">
        <v>537</v>
      </c>
      <c r="I284" s="154"/>
      <c r="J284" s="269"/>
      <c r="K284" s="90"/>
      <c r="L284" s="271"/>
      <c r="M284" s="289"/>
      <c r="N284" s="271">
        <v>9.14</v>
      </c>
      <c r="O284" s="271"/>
      <c r="P284" s="290">
        <v>9.14</v>
      </c>
      <c r="Q284" s="271"/>
      <c r="R284" s="154"/>
      <c r="S284" s="189"/>
      <c r="T284" s="308"/>
      <c r="U284" s="305">
        <v>0</v>
      </c>
      <c r="V284" s="305">
        <f t="shared" si="18"/>
        <v>0</v>
      </c>
      <c r="W284" s="306">
        <f t="shared" si="19"/>
        <v>0</v>
      </c>
      <c r="X284" s="271">
        <f t="shared" si="16"/>
        <v>0</v>
      </c>
      <c r="Y284" s="271">
        <f t="shared" si="17"/>
        <v>0</v>
      </c>
      <c r="Z284" s="154"/>
    </row>
    <row r="285" s="243" customFormat="1" ht="22" customHeight="1" outlineLevel="2" spans="1:26">
      <c r="A285" s="154" t="s">
        <v>1371</v>
      </c>
      <c r="B285" s="259">
        <v>26</v>
      </c>
      <c r="C285" s="259">
        <v>2</v>
      </c>
      <c r="D285" s="154">
        <v>-1</v>
      </c>
      <c r="E285" s="263" t="s">
        <v>1372</v>
      </c>
      <c r="F285" s="259"/>
      <c r="G285" s="154" t="s">
        <v>536</v>
      </c>
      <c r="H285" s="154" t="s">
        <v>537</v>
      </c>
      <c r="I285" s="154"/>
      <c r="J285" s="269"/>
      <c r="K285" s="90"/>
      <c r="L285" s="271"/>
      <c r="M285" s="289"/>
      <c r="N285" s="271">
        <v>10.97</v>
      </c>
      <c r="O285" s="271"/>
      <c r="P285" s="290">
        <v>10.97</v>
      </c>
      <c r="Q285" s="271"/>
      <c r="R285" s="154"/>
      <c r="S285" s="189"/>
      <c r="T285" s="308"/>
      <c r="U285" s="305">
        <v>0</v>
      </c>
      <c r="V285" s="305">
        <f t="shared" si="18"/>
        <v>0</v>
      </c>
      <c r="W285" s="306">
        <f t="shared" si="19"/>
        <v>0</v>
      </c>
      <c r="X285" s="271">
        <f t="shared" si="16"/>
        <v>0</v>
      </c>
      <c r="Y285" s="271">
        <f t="shared" si="17"/>
        <v>0</v>
      </c>
      <c r="Z285" s="154"/>
    </row>
    <row r="286" s="243" customFormat="1" ht="22" customHeight="1" outlineLevel="2" spans="1:26">
      <c r="A286" s="154" t="s">
        <v>1373</v>
      </c>
      <c r="B286" s="259">
        <v>26</v>
      </c>
      <c r="C286" s="259">
        <v>2</v>
      </c>
      <c r="D286" s="154">
        <v>-1</v>
      </c>
      <c r="E286" s="263" t="s">
        <v>1374</v>
      </c>
      <c r="F286" s="259"/>
      <c r="G286" s="154" t="s">
        <v>536</v>
      </c>
      <c r="H286" s="154" t="s">
        <v>537</v>
      </c>
      <c r="I286" s="154"/>
      <c r="J286" s="269"/>
      <c r="K286" s="90"/>
      <c r="L286" s="271"/>
      <c r="M286" s="289"/>
      <c r="N286" s="271">
        <v>12.34</v>
      </c>
      <c r="O286" s="271"/>
      <c r="P286" s="290">
        <v>12.34</v>
      </c>
      <c r="Q286" s="271"/>
      <c r="R286" s="154"/>
      <c r="S286" s="189"/>
      <c r="T286" s="308"/>
      <c r="U286" s="305">
        <v>0</v>
      </c>
      <c r="V286" s="305">
        <f t="shared" si="18"/>
        <v>0</v>
      </c>
      <c r="W286" s="306">
        <f t="shared" si="19"/>
        <v>0</v>
      </c>
      <c r="X286" s="271">
        <f t="shared" si="16"/>
        <v>0</v>
      </c>
      <c r="Y286" s="271">
        <f t="shared" si="17"/>
        <v>0</v>
      </c>
      <c r="Z286" s="154"/>
    </row>
    <row r="287" s="243" customFormat="1" ht="22" customHeight="1" outlineLevel="2" spans="1:26">
      <c r="A287" s="154" t="s">
        <v>1375</v>
      </c>
      <c r="B287" s="259">
        <v>27</v>
      </c>
      <c r="C287" s="259">
        <v>1</v>
      </c>
      <c r="D287" s="154">
        <v>1</v>
      </c>
      <c r="E287" s="263" t="s">
        <v>1376</v>
      </c>
      <c r="F287" s="259"/>
      <c r="G287" s="154" t="s">
        <v>256</v>
      </c>
      <c r="H287" s="154" t="s">
        <v>427</v>
      </c>
      <c r="I287" s="154" t="s">
        <v>334</v>
      </c>
      <c r="J287" s="269"/>
      <c r="K287" s="288">
        <v>45534</v>
      </c>
      <c r="L287" s="271">
        <v>962816.6</v>
      </c>
      <c r="M287" s="289" t="s">
        <v>1377</v>
      </c>
      <c r="N287" s="271">
        <v>125.22</v>
      </c>
      <c r="O287" s="271"/>
      <c r="P287" s="290">
        <v>125.22</v>
      </c>
      <c r="Q287" s="271"/>
      <c r="R287" s="154"/>
      <c r="S287" s="189"/>
      <c r="T287" s="308" t="s">
        <v>1378</v>
      </c>
      <c r="U287" s="305">
        <v>883317.98</v>
      </c>
      <c r="V287" s="305">
        <f t="shared" si="18"/>
        <v>79498.62</v>
      </c>
      <c r="W287" s="306">
        <f t="shared" si="19"/>
        <v>962816.6</v>
      </c>
      <c r="X287" s="271">
        <f t="shared" si="16"/>
        <v>883317.98</v>
      </c>
      <c r="Y287" s="271">
        <f t="shared" si="17"/>
        <v>7054.13</v>
      </c>
      <c r="Z287" s="154"/>
    </row>
    <row r="288" s="243" customFormat="1" ht="22" customHeight="1" outlineLevel="2" spans="1:26">
      <c r="A288" s="154" t="s">
        <v>1379</v>
      </c>
      <c r="B288" s="259">
        <v>27</v>
      </c>
      <c r="C288" s="259">
        <v>1</v>
      </c>
      <c r="D288" s="154">
        <v>1</v>
      </c>
      <c r="E288" s="263" t="s">
        <v>1380</v>
      </c>
      <c r="F288" s="259"/>
      <c r="G288" s="154" t="s">
        <v>256</v>
      </c>
      <c r="H288" s="154" t="s">
        <v>427</v>
      </c>
      <c r="I288" s="154" t="s">
        <v>334</v>
      </c>
      <c r="J288" s="269" t="s">
        <v>1381</v>
      </c>
      <c r="K288" s="288">
        <v>44034</v>
      </c>
      <c r="L288" s="271">
        <v>823284</v>
      </c>
      <c r="M288" s="289" t="s">
        <v>1382</v>
      </c>
      <c r="N288" s="271">
        <v>124.74</v>
      </c>
      <c r="O288" s="271"/>
      <c r="P288" s="290">
        <v>124.74</v>
      </c>
      <c r="Q288" s="271"/>
      <c r="R288" s="154"/>
      <c r="S288" s="189" t="s">
        <v>430</v>
      </c>
      <c r="T288" s="308" t="s">
        <v>1383</v>
      </c>
      <c r="U288" s="305">
        <v>755306.42</v>
      </c>
      <c r="V288" s="305">
        <f t="shared" si="18"/>
        <v>67977.58</v>
      </c>
      <c r="W288" s="306">
        <f t="shared" si="19"/>
        <v>823284</v>
      </c>
      <c r="X288" s="271">
        <f t="shared" si="16"/>
        <v>755306.42</v>
      </c>
      <c r="Y288" s="271">
        <f t="shared" si="17"/>
        <v>6055.05</v>
      </c>
      <c r="Z288" s="154"/>
    </row>
    <row r="289" s="243" customFormat="1" ht="22" customHeight="1" outlineLevel="2" spans="1:26">
      <c r="A289" s="154" t="s">
        <v>1384</v>
      </c>
      <c r="B289" s="259">
        <v>27</v>
      </c>
      <c r="C289" s="259">
        <v>1</v>
      </c>
      <c r="D289" s="154">
        <v>2</v>
      </c>
      <c r="E289" s="263" t="s">
        <v>1385</v>
      </c>
      <c r="F289" s="259"/>
      <c r="G289" s="154" t="s">
        <v>256</v>
      </c>
      <c r="H289" s="154" t="s">
        <v>427</v>
      </c>
      <c r="I289" s="154" t="s">
        <v>334</v>
      </c>
      <c r="J289" s="269" t="s">
        <v>1386</v>
      </c>
      <c r="K289" s="288">
        <v>43997</v>
      </c>
      <c r="L289" s="271">
        <v>504098</v>
      </c>
      <c r="M289" s="289" t="s">
        <v>1387</v>
      </c>
      <c r="N289" s="271">
        <v>125.22</v>
      </c>
      <c r="O289" s="271"/>
      <c r="P289" s="290">
        <v>125.22</v>
      </c>
      <c r="Q289" s="271"/>
      <c r="R289" s="154"/>
      <c r="S289" s="189" t="s">
        <v>430</v>
      </c>
      <c r="T289" s="308" t="s">
        <v>1388</v>
      </c>
      <c r="U289" s="305">
        <v>462475.23</v>
      </c>
      <c r="V289" s="305">
        <f t="shared" si="18"/>
        <v>41622.77</v>
      </c>
      <c r="W289" s="306">
        <f t="shared" si="19"/>
        <v>504098</v>
      </c>
      <c r="X289" s="271">
        <f t="shared" si="16"/>
        <v>462475.23</v>
      </c>
      <c r="Y289" s="271">
        <f t="shared" si="17"/>
        <v>3693.3</v>
      </c>
      <c r="Z289" s="154"/>
    </row>
    <row r="290" s="243" customFormat="1" ht="22" customHeight="1" outlineLevel="2" spans="1:26">
      <c r="A290" s="154" t="s">
        <v>1389</v>
      </c>
      <c r="B290" s="259">
        <v>27</v>
      </c>
      <c r="C290" s="259">
        <v>1</v>
      </c>
      <c r="D290" s="154">
        <v>2</v>
      </c>
      <c r="E290" s="263" t="s">
        <v>1390</v>
      </c>
      <c r="F290" s="259"/>
      <c r="G290" s="154" t="s">
        <v>256</v>
      </c>
      <c r="H290" s="154" t="s">
        <v>427</v>
      </c>
      <c r="I290" s="154" t="s">
        <v>334</v>
      </c>
      <c r="J290" s="269">
        <v>20190005583</v>
      </c>
      <c r="K290" s="288">
        <v>43780</v>
      </c>
      <c r="L290" s="271">
        <v>493116</v>
      </c>
      <c r="M290" s="289" t="s">
        <v>1391</v>
      </c>
      <c r="N290" s="271">
        <v>124.84</v>
      </c>
      <c r="O290" s="271"/>
      <c r="P290" s="290">
        <v>124.84</v>
      </c>
      <c r="Q290" s="271"/>
      <c r="R290" s="154"/>
      <c r="S290" s="189" t="s">
        <v>430</v>
      </c>
      <c r="T290" s="308" t="s">
        <v>1392</v>
      </c>
      <c r="U290" s="305">
        <v>452400</v>
      </c>
      <c r="V290" s="305">
        <f t="shared" si="18"/>
        <v>40716</v>
      </c>
      <c r="W290" s="306">
        <f t="shared" si="19"/>
        <v>493116</v>
      </c>
      <c r="X290" s="271">
        <f t="shared" si="16"/>
        <v>452400</v>
      </c>
      <c r="Y290" s="271">
        <f t="shared" si="17"/>
        <v>3623.84</v>
      </c>
      <c r="Z290" s="154"/>
    </row>
    <row r="291" s="243" customFormat="1" ht="22" customHeight="1" outlineLevel="2" spans="1:26">
      <c r="A291" s="154" t="s">
        <v>1393</v>
      </c>
      <c r="B291" s="259">
        <v>27</v>
      </c>
      <c r="C291" s="259">
        <v>1</v>
      </c>
      <c r="D291" s="154">
        <v>3</v>
      </c>
      <c r="E291" s="263" t="s">
        <v>1394</v>
      </c>
      <c r="F291" s="259"/>
      <c r="G291" s="154" t="s">
        <v>256</v>
      </c>
      <c r="H291" s="154" t="s">
        <v>427</v>
      </c>
      <c r="I291" s="154" t="s">
        <v>334</v>
      </c>
      <c r="J291" s="269">
        <v>20190006382</v>
      </c>
      <c r="K291" s="288">
        <v>43825</v>
      </c>
      <c r="L291" s="271">
        <v>519794</v>
      </c>
      <c r="M291" s="289" t="s">
        <v>1395</v>
      </c>
      <c r="N291" s="271">
        <v>125.22</v>
      </c>
      <c r="O291" s="271"/>
      <c r="P291" s="290">
        <v>125.22</v>
      </c>
      <c r="Q291" s="271"/>
      <c r="R291" s="154"/>
      <c r="S291" s="189" t="s">
        <v>430</v>
      </c>
      <c r="T291" s="308" t="s">
        <v>1396</v>
      </c>
      <c r="U291" s="305">
        <v>476875.23</v>
      </c>
      <c r="V291" s="305">
        <f t="shared" si="18"/>
        <v>42918.77</v>
      </c>
      <c r="W291" s="306">
        <f t="shared" si="19"/>
        <v>519794</v>
      </c>
      <c r="X291" s="271">
        <f t="shared" si="16"/>
        <v>476875.23</v>
      </c>
      <c r="Y291" s="271">
        <f t="shared" si="17"/>
        <v>3808.3</v>
      </c>
      <c r="Z291" s="154"/>
    </row>
    <row r="292" s="243" customFormat="1" ht="22" customHeight="1" outlineLevel="2" spans="1:26">
      <c r="A292" s="154" t="s">
        <v>1397</v>
      </c>
      <c r="B292" s="259">
        <v>27</v>
      </c>
      <c r="C292" s="259">
        <v>1</v>
      </c>
      <c r="D292" s="154">
        <v>3</v>
      </c>
      <c r="E292" s="263" t="s">
        <v>1398</v>
      </c>
      <c r="F292" s="259"/>
      <c r="G292" s="154" t="s">
        <v>256</v>
      </c>
      <c r="H292" s="154" t="s">
        <v>427</v>
      </c>
      <c r="I292" s="154" t="s">
        <v>334</v>
      </c>
      <c r="J292" s="269" t="s">
        <v>1399</v>
      </c>
      <c r="K292" s="288">
        <v>43824</v>
      </c>
      <c r="L292" s="271">
        <v>519328</v>
      </c>
      <c r="M292" s="289" t="s">
        <v>1400</v>
      </c>
      <c r="N292" s="271">
        <v>124.84</v>
      </c>
      <c r="O292" s="271"/>
      <c r="P292" s="290">
        <v>124.84</v>
      </c>
      <c r="Q292" s="271"/>
      <c r="R292" s="154"/>
      <c r="S292" s="189" t="s">
        <v>430</v>
      </c>
      <c r="T292" s="308" t="s">
        <v>1401</v>
      </c>
      <c r="U292" s="305">
        <v>476447.71</v>
      </c>
      <c r="V292" s="305">
        <f t="shared" si="18"/>
        <v>42880.29</v>
      </c>
      <c r="W292" s="306">
        <f t="shared" si="19"/>
        <v>519328</v>
      </c>
      <c r="X292" s="271">
        <f t="shared" si="16"/>
        <v>476447.71</v>
      </c>
      <c r="Y292" s="271">
        <f t="shared" si="17"/>
        <v>3816.47</v>
      </c>
      <c r="Z292" s="154"/>
    </row>
    <row r="293" s="243" customFormat="1" ht="22" customHeight="1" outlineLevel="2" spans="1:26">
      <c r="A293" s="154" t="s">
        <v>1402</v>
      </c>
      <c r="B293" s="259">
        <v>27</v>
      </c>
      <c r="C293" s="259">
        <v>1</v>
      </c>
      <c r="D293" s="154">
        <v>4</v>
      </c>
      <c r="E293" s="263" t="s">
        <v>1403</v>
      </c>
      <c r="F293" s="259"/>
      <c r="G293" s="154" t="s">
        <v>256</v>
      </c>
      <c r="H293" s="154" t="s">
        <v>427</v>
      </c>
      <c r="I293" s="154" t="s">
        <v>334</v>
      </c>
      <c r="J293" s="269">
        <v>20190005934</v>
      </c>
      <c r="K293" s="288">
        <v>43787</v>
      </c>
      <c r="L293" s="271">
        <v>516113</v>
      </c>
      <c r="M293" s="289" t="s">
        <v>1404</v>
      </c>
      <c r="N293" s="271">
        <v>125.22</v>
      </c>
      <c r="O293" s="271"/>
      <c r="P293" s="290">
        <v>125.22</v>
      </c>
      <c r="Q293" s="271"/>
      <c r="R293" s="154"/>
      <c r="S293" s="189" t="s">
        <v>430</v>
      </c>
      <c r="T293" s="308" t="s">
        <v>1405</v>
      </c>
      <c r="U293" s="305">
        <v>473498.17</v>
      </c>
      <c r="V293" s="305">
        <f t="shared" si="18"/>
        <v>42614.83</v>
      </c>
      <c r="W293" s="306">
        <f t="shared" si="19"/>
        <v>516113</v>
      </c>
      <c r="X293" s="271">
        <f t="shared" si="16"/>
        <v>473498.17</v>
      </c>
      <c r="Y293" s="271">
        <f t="shared" si="17"/>
        <v>3781.33</v>
      </c>
      <c r="Z293" s="154"/>
    </row>
    <row r="294" s="243" customFormat="1" ht="22" customHeight="1" outlineLevel="2" spans="1:26">
      <c r="A294" s="154" t="s">
        <v>1406</v>
      </c>
      <c r="B294" s="259">
        <v>27</v>
      </c>
      <c r="C294" s="259">
        <v>1</v>
      </c>
      <c r="D294" s="154">
        <v>4</v>
      </c>
      <c r="E294" s="263" t="s">
        <v>1407</v>
      </c>
      <c r="F294" s="259"/>
      <c r="G294" s="154" t="s">
        <v>256</v>
      </c>
      <c r="H294" s="154" t="s">
        <v>427</v>
      </c>
      <c r="I294" s="154" t="s">
        <v>334</v>
      </c>
      <c r="J294" s="269">
        <v>20190005302</v>
      </c>
      <c r="K294" s="288">
        <v>43773</v>
      </c>
      <c r="L294" s="271">
        <v>505093</v>
      </c>
      <c r="M294" s="289" t="s">
        <v>1408</v>
      </c>
      <c r="N294" s="271">
        <v>124.84</v>
      </c>
      <c r="O294" s="271"/>
      <c r="P294" s="290">
        <v>124.84</v>
      </c>
      <c r="Q294" s="271"/>
      <c r="R294" s="154"/>
      <c r="S294" s="189" t="s">
        <v>430</v>
      </c>
      <c r="T294" s="308" t="s">
        <v>1409</v>
      </c>
      <c r="U294" s="305">
        <v>463388.07</v>
      </c>
      <c r="V294" s="305">
        <f t="shared" si="18"/>
        <v>41704.93</v>
      </c>
      <c r="W294" s="306">
        <f t="shared" si="19"/>
        <v>505093</v>
      </c>
      <c r="X294" s="271">
        <f t="shared" si="16"/>
        <v>463388.07</v>
      </c>
      <c r="Y294" s="271">
        <f t="shared" si="17"/>
        <v>3711.86</v>
      </c>
      <c r="Z294" s="154"/>
    </row>
    <row r="295" s="243" customFormat="1" ht="22" customHeight="1" outlineLevel="2" spans="1:26">
      <c r="A295" s="154" t="s">
        <v>1410</v>
      </c>
      <c r="B295" s="259">
        <v>27</v>
      </c>
      <c r="C295" s="259">
        <v>1</v>
      </c>
      <c r="D295" s="154">
        <v>5</v>
      </c>
      <c r="E295" s="263" t="s">
        <v>1411</v>
      </c>
      <c r="F295" s="259"/>
      <c r="G295" s="154" t="s">
        <v>256</v>
      </c>
      <c r="H295" s="154" t="s">
        <v>427</v>
      </c>
      <c r="I295" s="154" t="s">
        <v>334</v>
      </c>
      <c r="J295" s="269">
        <v>20190005834</v>
      </c>
      <c r="K295" s="288">
        <v>43778</v>
      </c>
      <c r="L295" s="271">
        <v>522061</v>
      </c>
      <c r="M295" s="289" t="s">
        <v>1412</v>
      </c>
      <c r="N295" s="271">
        <v>125.22</v>
      </c>
      <c r="O295" s="271"/>
      <c r="P295" s="290">
        <v>125.22</v>
      </c>
      <c r="Q295" s="271"/>
      <c r="R295" s="154"/>
      <c r="S295" s="189" t="s">
        <v>430</v>
      </c>
      <c r="T295" s="308" t="s">
        <v>1413</v>
      </c>
      <c r="U295" s="305">
        <v>478955.05</v>
      </c>
      <c r="V295" s="305">
        <f t="shared" si="18"/>
        <v>43105.95</v>
      </c>
      <c r="W295" s="306">
        <f t="shared" si="19"/>
        <v>522061</v>
      </c>
      <c r="X295" s="271">
        <f t="shared" si="16"/>
        <v>478955.05</v>
      </c>
      <c r="Y295" s="271">
        <f t="shared" si="17"/>
        <v>3824.91</v>
      </c>
      <c r="Z295" s="154"/>
    </row>
    <row r="296" s="243" customFormat="1" ht="22" customHeight="1" outlineLevel="2" spans="1:26">
      <c r="A296" s="154" t="s">
        <v>1414</v>
      </c>
      <c r="B296" s="259">
        <v>27</v>
      </c>
      <c r="C296" s="259">
        <v>1</v>
      </c>
      <c r="D296" s="154">
        <v>5</v>
      </c>
      <c r="E296" s="263" t="s">
        <v>1415</v>
      </c>
      <c r="F296" s="259"/>
      <c r="G296" s="154" t="s">
        <v>256</v>
      </c>
      <c r="H296" s="154" t="s">
        <v>427</v>
      </c>
      <c r="I296" s="154" t="s">
        <v>334</v>
      </c>
      <c r="J296" s="269">
        <v>20190005520</v>
      </c>
      <c r="K296" s="288">
        <v>43474</v>
      </c>
      <c r="L296" s="271">
        <v>511023</v>
      </c>
      <c r="M296" s="289" t="s">
        <v>1416</v>
      </c>
      <c r="N296" s="271">
        <v>124.84</v>
      </c>
      <c r="O296" s="271"/>
      <c r="P296" s="290">
        <v>124.84</v>
      </c>
      <c r="Q296" s="271"/>
      <c r="R296" s="154"/>
      <c r="S296" s="189" t="s">
        <v>430</v>
      </c>
      <c r="T296" s="308" t="s">
        <v>1417</v>
      </c>
      <c r="U296" s="305">
        <v>468828.44</v>
      </c>
      <c r="V296" s="305">
        <f t="shared" si="18"/>
        <v>42194.56</v>
      </c>
      <c r="W296" s="306">
        <f t="shared" si="19"/>
        <v>511023</v>
      </c>
      <c r="X296" s="271">
        <f t="shared" si="16"/>
        <v>468828.44</v>
      </c>
      <c r="Y296" s="271">
        <f t="shared" si="17"/>
        <v>3755.43</v>
      </c>
      <c r="Z296" s="154"/>
    </row>
    <row r="297" s="243" customFormat="1" ht="22" customHeight="1" outlineLevel="2" spans="1:26">
      <c r="A297" s="154" t="s">
        <v>1418</v>
      </c>
      <c r="B297" s="259">
        <v>27</v>
      </c>
      <c r="C297" s="259">
        <v>1</v>
      </c>
      <c r="D297" s="154">
        <v>6</v>
      </c>
      <c r="E297" s="263" t="s">
        <v>1419</v>
      </c>
      <c r="F297" s="259"/>
      <c r="G297" s="154" t="s">
        <v>256</v>
      </c>
      <c r="H297" s="154" t="s">
        <v>427</v>
      </c>
      <c r="I297" s="154" t="s">
        <v>334</v>
      </c>
      <c r="J297" s="269">
        <v>20190005525</v>
      </c>
      <c r="K297" s="288">
        <v>43474</v>
      </c>
      <c r="L297" s="271">
        <v>528129</v>
      </c>
      <c r="M297" s="289" t="s">
        <v>1420</v>
      </c>
      <c r="N297" s="271">
        <v>125.22</v>
      </c>
      <c r="O297" s="271"/>
      <c r="P297" s="290">
        <v>125.22</v>
      </c>
      <c r="Q297" s="271"/>
      <c r="R297" s="154"/>
      <c r="S297" s="189" t="s">
        <v>430</v>
      </c>
      <c r="T297" s="308" t="s">
        <v>1421</v>
      </c>
      <c r="U297" s="305">
        <v>484522.02</v>
      </c>
      <c r="V297" s="305">
        <f t="shared" si="18"/>
        <v>43606.98</v>
      </c>
      <c r="W297" s="306">
        <f t="shared" si="19"/>
        <v>528129</v>
      </c>
      <c r="X297" s="271">
        <f t="shared" si="16"/>
        <v>484522.02</v>
      </c>
      <c r="Y297" s="271">
        <f t="shared" si="17"/>
        <v>3869.37</v>
      </c>
      <c r="Z297" s="154"/>
    </row>
    <row r="298" s="243" customFormat="1" ht="22" customHeight="1" outlineLevel="2" spans="1:26">
      <c r="A298" s="154" t="s">
        <v>1422</v>
      </c>
      <c r="B298" s="259">
        <v>27</v>
      </c>
      <c r="C298" s="259">
        <v>1</v>
      </c>
      <c r="D298" s="154">
        <v>6</v>
      </c>
      <c r="E298" s="263" t="s">
        <v>1423</v>
      </c>
      <c r="F298" s="259"/>
      <c r="G298" s="154" t="s">
        <v>256</v>
      </c>
      <c r="H298" s="154" t="s">
        <v>427</v>
      </c>
      <c r="I298" s="154" t="s">
        <v>334</v>
      </c>
      <c r="J298" s="269">
        <v>20190006040</v>
      </c>
      <c r="K298" s="288">
        <v>43789</v>
      </c>
      <c r="L298" s="271">
        <v>531824</v>
      </c>
      <c r="M298" s="289" t="s">
        <v>1424</v>
      </c>
      <c r="N298" s="271">
        <v>124.84</v>
      </c>
      <c r="O298" s="271"/>
      <c r="P298" s="290">
        <v>124.84</v>
      </c>
      <c r="Q298" s="271"/>
      <c r="R298" s="154"/>
      <c r="S298" s="189" t="s">
        <v>430</v>
      </c>
      <c r="T298" s="308" t="s">
        <v>1425</v>
      </c>
      <c r="U298" s="305">
        <v>487911.93</v>
      </c>
      <c r="V298" s="305">
        <f t="shared" si="18"/>
        <v>43912.07</v>
      </c>
      <c r="W298" s="306">
        <f t="shared" si="19"/>
        <v>531824</v>
      </c>
      <c r="X298" s="271">
        <f t="shared" si="16"/>
        <v>487911.93</v>
      </c>
      <c r="Y298" s="271">
        <f t="shared" si="17"/>
        <v>3908.3</v>
      </c>
      <c r="Z298" s="154"/>
    </row>
    <row r="299" s="243" customFormat="1" ht="22" customHeight="1" outlineLevel="2" spans="1:26">
      <c r="A299" s="154" t="s">
        <v>1426</v>
      </c>
      <c r="B299" s="259">
        <v>27</v>
      </c>
      <c r="C299" s="259">
        <v>1</v>
      </c>
      <c r="D299" s="154">
        <v>7</v>
      </c>
      <c r="E299" s="263" t="s">
        <v>1427</v>
      </c>
      <c r="F299" s="259"/>
      <c r="G299" s="154" t="s">
        <v>257</v>
      </c>
      <c r="H299" s="154" t="s">
        <v>427</v>
      </c>
      <c r="I299" s="154" t="s">
        <v>334</v>
      </c>
      <c r="J299" s="269">
        <v>20190007813</v>
      </c>
      <c r="K299" s="288">
        <v>43818</v>
      </c>
      <c r="L299" s="271">
        <v>776049</v>
      </c>
      <c r="M299" s="289" t="s">
        <v>1428</v>
      </c>
      <c r="N299" s="271">
        <v>185.86</v>
      </c>
      <c r="O299" s="271"/>
      <c r="P299" s="290">
        <v>185.86</v>
      </c>
      <c r="Q299" s="271"/>
      <c r="R299" s="154"/>
      <c r="S299" s="189" t="s">
        <v>430</v>
      </c>
      <c r="T299" s="308" t="s">
        <v>1429</v>
      </c>
      <c r="U299" s="305">
        <v>711971.56</v>
      </c>
      <c r="V299" s="305">
        <f t="shared" si="18"/>
        <v>64077.4399999999</v>
      </c>
      <c r="W299" s="306">
        <f t="shared" si="19"/>
        <v>776049</v>
      </c>
      <c r="X299" s="271">
        <f t="shared" si="16"/>
        <v>711971.56</v>
      </c>
      <c r="Y299" s="271">
        <f t="shared" si="17"/>
        <v>3830.69</v>
      </c>
      <c r="Z299" s="154"/>
    </row>
    <row r="300" s="243" customFormat="1" ht="22" customHeight="1" outlineLevel="2" spans="1:26">
      <c r="A300" s="154" t="s">
        <v>1430</v>
      </c>
      <c r="B300" s="259">
        <v>27</v>
      </c>
      <c r="C300" s="259">
        <v>1</v>
      </c>
      <c r="D300" s="154">
        <v>7</v>
      </c>
      <c r="E300" s="263" t="s">
        <v>1431</v>
      </c>
      <c r="F300" s="259"/>
      <c r="G300" s="154" t="s">
        <v>257</v>
      </c>
      <c r="H300" s="154" t="s">
        <v>427</v>
      </c>
      <c r="I300" s="154" t="s">
        <v>334</v>
      </c>
      <c r="J300" s="269" t="s">
        <v>1432</v>
      </c>
      <c r="K300" s="288">
        <v>43806</v>
      </c>
      <c r="L300" s="271">
        <v>774038</v>
      </c>
      <c r="M300" s="289" t="s">
        <v>1433</v>
      </c>
      <c r="N300" s="271">
        <v>185.48</v>
      </c>
      <c r="O300" s="271"/>
      <c r="P300" s="290">
        <v>185.48</v>
      </c>
      <c r="Q300" s="271"/>
      <c r="R300" s="154"/>
      <c r="S300" s="189" t="s">
        <v>430</v>
      </c>
      <c r="T300" s="308" t="s">
        <v>1434</v>
      </c>
      <c r="U300" s="305">
        <v>710126.61</v>
      </c>
      <c r="V300" s="305">
        <f t="shared" si="18"/>
        <v>63911.39</v>
      </c>
      <c r="W300" s="306">
        <f t="shared" si="19"/>
        <v>774038</v>
      </c>
      <c r="X300" s="271">
        <f t="shared" si="16"/>
        <v>710126.61</v>
      </c>
      <c r="Y300" s="271">
        <f t="shared" si="17"/>
        <v>3828.59</v>
      </c>
      <c r="Z300" s="154"/>
    </row>
    <row r="301" s="243" customFormat="1" ht="22" customHeight="1" outlineLevel="2" spans="1:26">
      <c r="A301" s="154" t="s">
        <v>1435</v>
      </c>
      <c r="B301" s="259">
        <v>27</v>
      </c>
      <c r="C301" s="259">
        <v>2</v>
      </c>
      <c r="D301" s="154">
        <v>1</v>
      </c>
      <c r="E301" s="263" t="s">
        <v>1436</v>
      </c>
      <c r="F301" s="259"/>
      <c r="G301" s="154" t="s">
        <v>256</v>
      </c>
      <c r="H301" s="154" t="s">
        <v>427</v>
      </c>
      <c r="I301" s="154" t="s">
        <v>334</v>
      </c>
      <c r="J301" s="269">
        <v>20220000104</v>
      </c>
      <c r="K301" s="288">
        <v>44567</v>
      </c>
      <c r="L301" s="271">
        <v>873460</v>
      </c>
      <c r="M301" s="289" t="s">
        <v>1437</v>
      </c>
      <c r="N301" s="271">
        <v>124.78</v>
      </c>
      <c r="O301" s="271"/>
      <c r="P301" s="290">
        <v>124.78</v>
      </c>
      <c r="Q301" s="271"/>
      <c r="R301" s="154"/>
      <c r="S301" s="189" t="s">
        <v>430</v>
      </c>
      <c r="T301" s="308" t="s">
        <v>1438</v>
      </c>
      <c r="U301" s="305">
        <v>801339.45</v>
      </c>
      <c r="V301" s="305">
        <f t="shared" si="18"/>
        <v>72120.55</v>
      </c>
      <c r="W301" s="306">
        <f t="shared" si="19"/>
        <v>873460</v>
      </c>
      <c r="X301" s="271">
        <f t="shared" si="16"/>
        <v>801339.45</v>
      </c>
      <c r="Y301" s="271">
        <f t="shared" si="17"/>
        <v>6422.02</v>
      </c>
      <c r="Z301" s="154"/>
    </row>
    <row r="302" s="243" customFormat="1" ht="22" customHeight="1" outlineLevel="2" spans="1:26">
      <c r="A302" s="154" t="s">
        <v>1439</v>
      </c>
      <c r="B302" s="259">
        <v>27</v>
      </c>
      <c r="C302" s="259">
        <v>2</v>
      </c>
      <c r="D302" s="154">
        <v>1</v>
      </c>
      <c r="E302" s="263" t="s">
        <v>1440</v>
      </c>
      <c r="F302" s="259"/>
      <c r="G302" s="154" t="s">
        <v>256</v>
      </c>
      <c r="H302" s="154" t="s">
        <v>427</v>
      </c>
      <c r="I302" s="154" t="s">
        <v>334</v>
      </c>
      <c r="J302" s="269" t="s">
        <v>1441</v>
      </c>
      <c r="K302" s="288">
        <v>43997</v>
      </c>
      <c r="L302" s="271">
        <v>821188</v>
      </c>
      <c r="M302" s="289" t="s">
        <v>1442</v>
      </c>
      <c r="N302" s="271">
        <v>125.18</v>
      </c>
      <c r="O302" s="271"/>
      <c r="P302" s="290">
        <v>125.18</v>
      </c>
      <c r="Q302" s="271"/>
      <c r="R302" s="154"/>
      <c r="S302" s="189" t="s">
        <v>430</v>
      </c>
      <c r="T302" s="308" t="s">
        <v>1443</v>
      </c>
      <c r="U302" s="305">
        <v>753383.49</v>
      </c>
      <c r="V302" s="305">
        <f t="shared" si="18"/>
        <v>67804.51</v>
      </c>
      <c r="W302" s="306">
        <f t="shared" si="19"/>
        <v>821188</v>
      </c>
      <c r="X302" s="271">
        <f t="shared" si="16"/>
        <v>753383.49</v>
      </c>
      <c r="Y302" s="271">
        <f t="shared" si="17"/>
        <v>6018.4</v>
      </c>
      <c r="Z302" s="154"/>
    </row>
    <row r="303" s="243" customFormat="1" ht="22" customHeight="1" outlineLevel="2" spans="1:26">
      <c r="A303" s="154" t="s">
        <v>1444</v>
      </c>
      <c r="B303" s="259">
        <v>27</v>
      </c>
      <c r="C303" s="259">
        <v>2</v>
      </c>
      <c r="D303" s="154">
        <v>2</v>
      </c>
      <c r="E303" s="263" t="s">
        <v>1445</v>
      </c>
      <c r="F303" s="259"/>
      <c r="G303" s="154" t="s">
        <v>256</v>
      </c>
      <c r="H303" s="154" t="s">
        <v>427</v>
      </c>
      <c r="I303" s="154" t="s">
        <v>334</v>
      </c>
      <c r="J303" s="269">
        <v>20190006130</v>
      </c>
      <c r="K303" s="288">
        <v>43790</v>
      </c>
      <c r="L303" s="271">
        <v>492864</v>
      </c>
      <c r="M303" s="289" t="s">
        <v>1446</v>
      </c>
      <c r="N303" s="271">
        <v>124.78</v>
      </c>
      <c r="O303" s="271"/>
      <c r="P303" s="290">
        <v>124.78</v>
      </c>
      <c r="Q303" s="271"/>
      <c r="R303" s="154"/>
      <c r="S303" s="189" t="s">
        <v>430</v>
      </c>
      <c r="T303" s="308" t="s">
        <v>1447</v>
      </c>
      <c r="U303" s="305">
        <v>452168.81</v>
      </c>
      <c r="V303" s="305">
        <f t="shared" si="18"/>
        <v>40695.19</v>
      </c>
      <c r="W303" s="306">
        <f t="shared" si="19"/>
        <v>492864</v>
      </c>
      <c r="X303" s="271">
        <f t="shared" si="16"/>
        <v>452168.81</v>
      </c>
      <c r="Y303" s="271">
        <f t="shared" si="17"/>
        <v>3623.73</v>
      </c>
      <c r="Z303" s="154"/>
    </row>
    <row r="304" s="243" customFormat="1" ht="22" customHeight="1" outlineLevel="2" spans="1:26">
      <c r="A304" s="154" t="s">
        <v>1448</v>
      </c>
      <c r="B304" s="259">
        <v>27</v>
      </c>
      <c r="C304" s="259">
        <v>2</v>
      </c>
      <c r="D304" s="154">
        <v>2</v>
      </c>
      <c r="E304" s="263" t="s">
        <v>1449</v>
      </c>
      <c r="F304" s="259"/>
      <c r="G304" s="154" t="s">
        <v>256</v>
      </c>
      <c r="H304" s="154" t="s">
        <v>427</v>
      </c>
      <c r="I304" s="154" t="s">
        <v>334</v>
      </c>
      <c r="J304" s="269" t="s">
        <v>1450</v>
      </c>
      <c r="K304" s="288">
        <v>43812</v>
      </c>
      <c r="L304" s="271">
        <v>508973</v>
      </c>
      <c r="M304" s="289" t="s">
        <v>1451</v>
      </c>
      <c r="N304" s="271">
        <v>125.28</v>
      </c>
      <c r="O304" s="271"/>
      <c r="P304" s="290">
        <v>125.28</v>
      </c>
      <c r="Q304" s="271"/>
      <c r="R304" s="154"/>
      <c r="S304" s="189" t="s">
        <v>430</v>
      </c>
      <c r="T304" s="308" t="s">
        <v>1452</v>
      </c>
      <c r="U304" s="305">
        <v>466947.71</v>
      </c>
      <c r="V304" s="305">
        <f t="shared" si="18"/>
        <v>42025.29</v>
      </c>
      <c r="W304" s="306">
        <f t="shared" si="19"/>
        <v>508973</v>
      </c>
      <c r="X304" s="271">
        <f t="shared" si="16"/>
        <v>466947.71</v>
      </c>
      <c r="Y304" s="271">
        <f t="shared" si="17"/>
        <v>3727.23</v>
      </c>
      <c r="Z304" s="154"/>
    </row>
    <row r="305" s="243" customFormat="1" ht="22" customHeight="1" outlineLevel="2" spans="1:26">
      <c r="A305" s="154" t="s">
        <v>1453</v>
      </c>
      <c r="B305" s="259">
        <v>27</v>
      </c>
      <c r="C305" s="259">
        <v>2</v>
      </c>
      <c r="D305" s="154">
        <v>3</v>
      </c>
      <c r="E305" s="263" t="s">
        <v>1454</v>
      </c>
      <c r="F305" s="259"/>
      <c r="G305" s="154" t="s">
        <v>256</v>
      </c>
      <c r="H305" s="154" t="s">
        <v>427</v>
      </c>
      <c r="I305" s="154" t="s">
        <v>334</v>
      </c>
      <c r="J305" s="269">
        <v>20190005461</v>
      </c>
      <c r="K305" s="288">
        <v>43776</v>
      </c>
      <c r="L305" s="271">
        <v>498910</v>
      </c>
      <c r="M305" s="289" t="s">
        <v>1455</v>
      </c>
      <c r="N305" s="271">
        <v>124.78</v>
      </c>
      <c r="O305" s="271"/>
      <c r="P305" s="290">
        <v>124.78</v>
      </c>
      <c r="Q305" s="271"/>
      <c r="R305" s="154"/>
      <c r="S305" s="189" t="s">
        <v>430</v>
      </c>
      <c r="T305" s="308" t="s">
        <v>1456</v>
      </c>
      <c r="U305" s="305">
        <v>457715.6</v>
      </c>
      <c r="V305" s="305">
        <f t="shared" si="18"/>
        <v>41194.4</v>
      </c>
      <c r="W305" s="306">
        <f t="shared" si="19"/>
        <v>498910</v>
      </c>
      <c r="X305" s="271">
        <f t="shared" si="16"/>
        <v>457715.6</v>
      </c>
      <c r="Y305" s="271">
        <f t="shared" si="17"/>
        <v>3668.18</v>
      </c>
      <c r="Z305" s="154"/>
    </row>
    <row r="306" s="243" customFormat="1" ht="22" customHeight="1" outlineLevel="2" spans="1:26">
      <c r="A306" s="154" t="s">
        <v>1457</v>
      </c>
      <c r="B306" s="259">
        <v>27</v>
      </c>
      <c r="C306" s="259">
        <v>2</v>
      </c>
      <c r="D306" s="154">
        <v>3</v>
      </c>
      <c r="E306" s="263" t="s">
        <v>1458</v>
      </c>
      <c r="F306" s="259"/>
      <c r="G306" s="154" t="s">
        <v>256</v>
      </c>
      <c r="H306" s="154" t="s">
        <v>427</v>
      </c>
      <c r="I306" s="154" t="s">
        <v>334</v>
      </c>
      <c r="J306" s="269" t="s">
        <v>1459</v>
      </c>
      <c r="K306" s="288">
        <v>43779</v>
      </c>
      <c r="L306" s="271">
        <v>515184</v>
      </c>
      <c r="M306" s="289" t="s">
        <v>1460</v>
      </c>
      <c r="N306" s="271">
        <v>125.28</v>
      </c>
      <c r="O306" s="271"/>
      <c r="P306" s="290">
        <v>125.28</v>
      </c>
      <c r="Q306" s="271"/>
      <c r="R306" s="154"/>
      <c r="S306" s="189" t="s">
        <v>430</v>
      </c>
      <c r="T306" s="308" t="s">
        <v>1461</v>
      </c>
      <c r="U306" s="305">
        <v>472645.87</v>
      </c>
      <c r="V306" s="305">
        <f t="shared" si="18"/>
        <v>42538.13</v>
      </c>
      <c r="W306" s="306">
        <f t="shared" si="19"/>
        <v>515184</v>
      </c>
      <c r="X306" s="271">
        <f t="shared" si="16"/>
        <v>472645.87</v>
      </c>
      <c r="Y306" s="271">
        <f t="shared" si="17"/>
        <v>3772.72</v>
      </c>
      <c r="Z306" s="154"/>
    </row>
    <row r="307" s="243" customFormat="1" ht="22" customHeight="1" outlineLevel="2" spans="1:26">
      <c r="A307" s="154" t="s">
        <v>1462</v>
      </c>
      <c r="B307" s="259">
        <v>27</v>
      </c>
      <c r="C307" s="259">
        <v>2</v>
      </c>
      <c r="D307" s="154">
        <v>4</v>
      </c>
      <c r="E307" s="263" t="s">
        <v>1463</v>
      </c>
      <c r="F307" s="259"/>
      <c r="G307" s="154" t="s">
        <v>256</v>
      </c>
      <c r="H307" s="154" t="s">
        <v>427</v>
      </c>
      <c r="I307" s="154" t="s">
        <v>334</v>
      </c>
      <c r="J307" s="269" t="s">
        <v>1464</v>
      </c>
      <c r="K307" s="288">
        <v>43781</v>
      </c>
      <c r="L307" s="271">
        <v>504836</v>
      </c>
      <c r="M307" s="289" t="s">
        <v>1465</v>
      </c>
      <c r="N307" s="271">
        <v>124.78</v>
      </c>
      <c r="O307" s="271"/>
      <c r="P307" s="290">
        <v>124.78</v>
      </c>
      <c r="Q307" s="271"/>
      <c r="R307" s="154"/>
      <c r="S307" s="189" t="s">
        <v>430</v>
      </c>
      <c r="T307" s="308" t="s">
        <v>1466</v>
      </c>
      <c r="U307" s="305">
        <v>463152.29</v>
      </c>
      <c r="V307" s="305">
        <f t="shared" si="18"/>
        <v>41683.71</v>
      </c>
      <c r="W307" s="306">
        <f t="shared" si="19"/>
        <v>504836</v>
      </c>
      <c r="X307" s="271">
        <f t="shared" si="16"/>
        <v>463152.29</v>
      </c>
      <c r="Y307" s="271">
        <f t="shared" si="17"/>
        <v>3711.75</v>
      </c>
      <c r="Z307" s="154"/>
    </row>
    <row r="308" s="243" customFormat="1" ht="22" customHeight="1" outlineLevel="2" spans="1:26">
      <c r="A308" s="154" t="s">
        <v>1467</v>
      </c>
      <c r="B308" s="259">
        <v>27</v>
      </c>
      <c r="C308" s="259">
        <v>2</v>
      </c>
      <c r="D308" s="154">
        <v>4</v>
      </c>
      <c r="E308" s="263" t="s">
        <v>1468</v>
      </c>
      <c r="F308" s="259"/>
      <c r="G308" s="154" t="s">
        <v>256</v>
      </c>
      <c r="H308" s="154" t="s">
        <v>427</v>
      </c>
      <c r="I308" s="154" t="s">
        <v>334</v>
      </c>
      <c r="J308" s="269">
        <v>20190006574</v>
      </c>
      <c r="K308" s="288">
        <v>43798</v>
      </c>
      <c r="L308" s="271">
        <v>521254</v>
      </c>
      <c r="M308" s="289" t="s">
        <v>1469</v>
      </c>
      <c r="N308" s="271">
        <v>125.28</v>
      </c>
      <c r="O308" s="271"/>
      <c r="P308" s="290">
        <v>125.28</v>
      </c>
      <c r="Q308" s="271"/>
      <c r="R308" s="154"/>
      <c r="S308" s="189" t="s">
        <v>430</v>
      </c>
      <c r="T308" s="308" t="s">
        <v>1470</v>
      </c>
      <c r="U308" s="305">
        <v>478214.68</v>
      </c>
      <c r="V308" s="305">
        <f t="shared" si="18"/>
        <v>43039.32</v>
      </c>
      <c r="W308" s="306">
        <f t="shared" si="19"/>
        <v>521254</v>
      </c>
      <c r="X308" s="271">
        <f t="shared" si="16"/>
        <v>478214.68</v>
      </c>
      <c r="Y308" s="271">
        <f t="shared" si="17"/>
        <v>3817.17</v>
      </c>
      <c r="Z308" s="154"/>
    </row>
    <row r="309" s="243" customFormat="1" ht="22" customHeight="1" outlineLevel="2" spans="1:26">
      <c r="A309" s="154" t="s">
        <v>1471</v>
      </c>
      <c r="B309" s="259">
        <v>27</v>
      </c>
      <c r="C309" s="259">
        <v>2</v>
      </c>
      <c r="D309" s="154">
        <v>5</v>
      </c>
      <c r="E309" s="263" t="s">
        <v>1472</v>
      </c>
      <c r="F309" s="259"/>
      <c r="G309" s="154" t="s">
        <v>256</v>
      </c>
      <c r="H309" s="154" t="s">
        <v>427</v>
      </c>
      <c r="I309" s="154" t="s">
        <v>334</v>
      </c>
      <c r="J309" s="269" t="s">
        <v>1473</v>
      </c>
      <c r="K309" s="288">
        <v>43913</v>
      </c>
      <c r="L309" s="271">
        <v>510883</v>
      </c>
      <c r="M309" s="289" t="s">
        <v>1474</v>
      </c>
      <c r="N309" s="271">
        <v>124.78</v>
      </c>
      <c r="O309" s="271"/>
      <c r="P309" s="290">
        <v>124.78</v>
      </c>
      <c r="Q309" s="271"/>
      <c r="R309" s="154"/>
      <c r="S309" s="189" t="s">
        <v>430</v>
      </c>
      <c r="T309" s="308" t="s">
        <v>1475</v>
      </c>
      <c r="U309" s="305">
        <v>468700</v>
      </c>
      <c r="V309" s="305">
        <f t="shared" si="18"/>
        <v>42183</v>
      </c>
      <c r="W309" s="306">
        <f t="shared" si="19"/>
        <v>510883</v>
      </c>
      <c r="X309" s="271">
        <f t="shared" si="16"/>
        <v>468700</v>
      </c>
      <c r="Y309" s="271">
        <f t="shared" si="17"/>
        <v>3756.21</v>
      </c>
      <c r="Z309" s="154"/>
    </row>
    <row r="310" s="243" customFormat="1" ht="22" customHeight="1" outlineLevel="2" spans="1:26">
      <c r="A310" s="154" t="s">
        <v>1476</v>
      </c>
      <c r="B310" s="259">
        <v>27</v>
      </c>
      <c r="C310" s="259">
        <v>2</v>
      </c>
      <c r="D310" s="154">
        <v>5</v>
      </c>
      <c r="E310" s="263" t="s">
        <v>1477</v>
      </c>
      <c r="F310" s="259"/>
      <c r="G310" s="154" t="s">
        <v>256</v>
      </c>
      <c r="H310" s="154" t="s">
        <v>427</v>
      </c>
      <c r="I310" s="154" t="s">
        <v>334</v>
      </c>
      <c r="J310" s="269">
        <v>20190006504</v>
      </c>
      <c r="K310" s="288">
        <v>43797</v>
      </c>
      <c r="L310" s="271">
        <v>527205</v>
      </c>
      <c r="M310" s="289" t="s">
        <v>1478</v>
      </c>
      <c r="N310" s="271">
        <v>125.28</v>
      </c>
      <c r="O310" s="271"/>
      <c r="P310" s="290">
        <v>125.28</v>
      </c>
      <c r="Q310" s="271"/>
      <c r="R310" s="154"/>
      <c r="S310" s="189" t="s">
        <v>430</v>
      </c>
      <c r="T310" s="308" t="s">
        <v>1479</v>
      </c>
      <c r="U310" s="305">
        <v>483674.31</v>
      </c>
      <c r="V310" s="305">
        <f t="shared" si="18"/>
        <v>43530.69</v>
      </c>
      <c r="W310" s="306">
        <f t="shared" si="19"/>
        <v>527205</v>
      </c>
      <c r="X310" s="271">
        <f t="shared" si="16"/>
        <v>483674.31</v>
      </c>
      <c r="Y310" s="271">
        <f t="shared" si="17"/>
        <v>3860.75</v>
      </c>
      <c r="Z310" s="154"/>
    </row>
    <row r="311" s="243" customFormat="1" ht="22" customHeight="1" outlineLevel="2" spans="1:26">
      <c r="A311" s="154" t="s">
        <v>1480</v>
      </c>
      <c r="B311" s="259">
        <v>27</v>
      </c>
      <c r="C311" s="259">
        <v>2</v>
      </c>
      <c r="D311" s="154">
        <v>6</v>
      </c>
      <c r="E311" s="263" t="s">
        <v>1481</v>
      </c>
      <c r="F311" s="259"/>
      <c r="G311" s="154" t="s">
        <v>256</v>
      </c>
      <c r="H311" s="154" t="s">
        <v>427</v>
      </c>
      <c r="I311" s="154" t="s">
        <v>334</v>
      </c>
      <c r="J311" s="269" t="s">
        <v>1482</v>
      </c>
      <c r="K311" s="288">
        <v>43798</v>
      </c>
      <c r="L311" s="271">
        <v>516809</v>
      </c>
      <c r="M311" s="289" t="s">
        <v>1483</v>
      </c>
      <c r="N311" s="271">
        <v>124.78</v>
      </c>
      <c r="O311" s="271"/>
      <c r="P311" s="290">
        <v>124.78</v>
      </c>
      <c r="Q311" s="271"/>
      <c r="R311" s="154"/>
      <c r="S311" s="189" t="s">
        <v>430</v>
      </c>
      <c r="T311" s="308" t="s">
        <v>1484</v>
      </c>
      <c r="U311" s="305">
        <v>474136.7</v>
      </c>
      <c r="V311" s="305">
        <f t="shared" si="18"/>
        <v>42672.3</v>
      </c>
      <c r="W311" s="306">
        <f t="shared" si="19"/>
        <v>516809</v>
      </c>
      <c r="X311" s="271">
        <f t="shared" si="16"/>
        <v>474136.7</v>
      </c>
      <c r="Y311" s="271">
        <f t="shared" si="17"/>
        <v>3799.78</v>
      </c>
      <c r="Z311" s="154"/>
    </row>
    <row r="312" s="243" customFormat="1" ht="22" customHeight="1" outlineLevel="2" spans="1:26">
      <c r="A312" s="154" t="s">
        <v>1485</v>
      </c>
      <c r="B312" s="259">
        <v>27</v>
      </c>
      <c r="C312" s="259">
        <v>2</v>
      </c>
      <c r="D312" s="154">
        <v>6</v>
      </c>
      <c r="E312" s="263" t="s">
        <v>1486</v>
      </c>
      <c r="F312" s="259"/>
      <c r="G312" s="154" t="s">
        <v>256</v>
      </c>
      <c r="H312" s="154" t="s">
        <v>427</v>
      </c>
      <c r="I312" s="154" t="s">
        <v>334</v>
      </c>
      <c r="J312" s="269" t="s">
        <v>1487</v>
      </c>
      <c r="K312" s="288">
        <v>43802</v>
      </c>
      <c r="L312" s="271">
        <v>533276</v>
      </c>
      <c r="M312" s="289" t="s">
        <v>1488</v>
      </c>
      <c r="N312" s="271">
        <v>125.28</v>
      </c>
      <c r="O312" s="271"/>
      <c r="P312" s="290">
        <v>125.28</v>
      </c>
      <c r="Q312" s="271"/>
      <c r="R312" s="154"/>
      <c r="S312" s="189" t="s">
        <v>430</v>
      </c>
      <c r="T312" s="308" t="s">
        <v>1489</v>
      </c>
      <c r="U312" s="305">
        <v>489244.04</v>
      </c>
      <c r="V312" s="305">
        <f t="shared" si="18"/>
        <v>44031.96</v>
      </c>
      <c r="W312" s="306">
        <f t="shared" si="19"/>
        <v>533276</v>
      </c>
      <c r="X312" s="271">
        <f t="shared" si="16"/>
        <v>489244.04</v>
      </c>
      <c r="Y312" s="271">
        <f t="shared" si="17"/>
        <v>3905.2</v>
      </c>
      <c r="Z312" s="154"/>
    </row>
    <row r="313" s="243" customFormat="1" ht="22" customHeight="1" outlineLevel="2" spans="1:26">
      <c r="A313" s="154" t="s">
        <v>1490</v>
      </c>
      <c r="B313" s="259">
        <v>27</v>
      </c>
      <c r="C313" s="259">
        <v>2</v>
      </c>
      <c r="D313" s="154">
        <v>7</v>
      </c>
      <c r="E313" s="263" t="s">
        <v>1491</v>
      </c>
      <c r="F313" s="259"/>
      <c r="G313" s="154" t="s">
        <v>257</v>
      </c>
      <c r="H313" s="154" t="s">
        <v>427</v>
      </c>
      <c r="I313" s="154" t="s">
        <v>334</v>
      </c>
      <c r="J313" s="269" t="s">
        <v>1492</v>
      </c>
      <c r="K313" s="288">
        <v>43957</v>
      </c>
      <c r="L313" s="271">
        <v>793306</v>
      </c>
      <c r="M313" s="289" t="s">
        <v>1493</v>
      </c>
      <c r="N313" s="271">
        <v>185.42</v>
      </c>
      <c r="O313" s="271"/>
      <c r="P313" s="290">
        <v>185.42</v>
      </c>
      <c r="Q313" s="271"/>
      <c r="R313" s="154"/>
      <c r="S313" s="189" t="s">
        <v>430</v>
      </c>
      <c r="T313" s="308" t="s">
        <v>1494</v>
      </c>
      <c r="U313" s="305">
        <v>727803.67</v>
      </c>
      <c r="V313" s="305">
        <f t="shared" si="18"/>
        <v>65502.33</v>
      </c>
      <c r="W313" s="306">
        <f t="shared" si="19"/>
        <v>793306</v>
      </c>
      <c r="X313" s="271">
        <f t="shared" si="16"/>
        <v>727803.67</v>
      </c>
      <c r="Y313" s="271">
        <f t="shared" si="17"/>
        <v>3925.16</v>
      </c>
      <c r="Z313" s="154"/>
    </row>
    <row r="314" s="243" customFormat="1" ht="22" customHeight="1" outlineLevel="2" spans="1:26">
      <c r="A314" s="154" t="s">
        <v>1495</v>
      </c>
      <c r="B314" s="259">
        <v>27</v>
      </c>
      <c r="C314" s="259">
        <v>2</v>
      </c>
      <c r="D314" s="154">
        <v>7</v>
      </c>
      <c r="E314" s="263" t="s">
        <v>1496</v>
      </c>
      <c r="F314" s="259"/>
      <c r="G314" s="154" t="s">
        <v>257</v>
      </c>
      <c r="H314" s="154" t="s">
        <v>427</v>
      </c>
      <c r="I314" s="154" t="s">
        <v>334</v>
      </c>
      <c r="J314" s="269" t="s">
        <v>1497</v>
      </c>
      <c r="K314" s="288">
        <v>43799</v>
      </c>
      <c r="L314" s="271">
        <v>786485</v>
      </c>
      <c r="M314" s="289" t="s">
        <v>1498</v>
      </c>
      <c r="N314" s="271">
        <v>185.92</v>
      </c>
      <c r="O314" s="271"/>
      <c r="P314" s="290">
        <v>185.92</v>
      </c>
      <c r="Q314" s="271"/>
      <c r="R314" s="154"/>
      <c r="S314" s="189" t="s">
        <v>430</v>
      </c>
      <c r="T314" s="308" t="s">
        <v>1499</v>
      </c>
      <c r="U314" s="305">
        <v>721545.87</v>
      </c>
      <c r="V314" s="305">
        <f t="shared" si="18"/>
        <v>64939.13</v>
      </c>
      <c r="W314" s="306">
        <f t="shared" si="19"/>
        <v>786485</v>
      </c>
      <c r="X314" s="271">
        <f t="shared" si="16"/>
        <v>721545.87</v>
      </c>
      <c r="Y314" s="271">
        <f t="shared" si="17"/>
        <v>3880.95</v>
      </c>
      <c r="Z314" s="154"/>
    </row>
    <row r="315" s="243" customFormat="1" ht="22" customHeight="1" outlineLevel="2" spans="1:26">
      <c r="A315" s="154" t="s">
        <v>1500</v>
      </c>
      <c r="B315" s="259">
        <v>27</v>
      </c>
      <c r="C315" s="259">
        <v>1</v>
      </c>
      <c r="D315" s="154">
        <v>-1</v>
      </c>
      <c r="E315" s="263" t="s">
        <v>1501</v>
      </c>
      <c r="F315" s="259"/>
      <c r="G315" s="154" t="s">
        <v>536</v>
      </c>
      <c r="H315" s="154" t="s">
        <v>537</v>
      </c>
      <c r="I315" s="154"/>
      <c r="J315" s="269"/>
      <c r="K315" s="288"/>
      <c r="L315" s="271"/>
      <c r="M315" s="289"/>
      <c r="N315" s="271">
        <v>12.77</v>
      </c>
      <c r="O315" s="271"/>
      <c r="P315" s="290">
        <v>12.77</v>
      </c>
      <c r="Q315" s="271"/>
      <c r="R315" s="154"/>
      <c r="S315" s="189"/>
      <c r="T315" s="308"/>
      <c r="U315" s="305">
        <v>0</v>
      </c>
      <c r="V315" s="305">
        <f t="shared" si="18"/>
        <v>0</v>
      </c>
      <c r="W315" s="306">
        <f t="shared" si="19"/>
        <v>0</v>
      </c>
      <c r="X315" s="271">
        <f t="shared" si="16"/>
        <v>0</v>
      </c>
      <c r="Y315" s="271">
        <f t="shared" si="17"/>
        <v>0</v>
      </c>
      <c r="Z315" s="154"/>
    </row>
    <row r="316" s="243" customFormat="1" ht="22" customHeight="1" outlineLevel="2" spans="1:26">
      <c r="A316" s="154" t="s">
        <v>1502</v>
      </c>
      <c r="B316" s="259">
        <v>27</v>
      </c>
      <c r="C316" s="259">
        <v>1</v>
      </c>
      <c r="D316" s="154">
        <v>-1</v>
      </c>
      <c r="E316" s="263" t="s">
        <v>1503</v>
      </c>
      <c r="F316" s="259"/>
      <c r="G316" s="154" t="s">
        <v>536</v>
      </c>
      <c r="H316" s="154" t="s">
        <v>537</v>
      </c>
      <c r="I316" s="154"/>
      <c r="J316" s="269"/>
      <c r="K316" s="288"/>
      <c r="L316" s="271"/>
      <c r="M316" s="289"/>
      <c r="N316" s="271">
        <v>6.1</v>
      </c>
      <c r="O316" s="271"/>
      <c r="P316" s="290">
        <v>6.1</v>
      </c>
      <c r="Q316" s="271"/>
      <c r="R316" s="154"/>
      <c r="S316" s="189"/>
      <c r="T316" s="308"/>
      <c r="U316" s="305">
        <v>0</v>
      </c>
      <c r="V316" s="305">
        <f t="shared" si="18"/>
        <v>0</v>
      </c>
      <c r="W316" s="306">
        <f t="shared" si="19"/>
        <v>0</v>
      </c>
      <c r="X316" s="271">
        <f t="shared" si="16"/>
        <v>0</v>
      </c>
      <c r="Y316" s="271">
        <f t="shared" si="17"/>
        <v>0</v>
      </c>
      <c r="Z316" s="154"/>
    </row>
    <row r="317" s="243" customFormat="1" ht="22" customHeight="1" outlineLevel="2" spans="1:26">
      <c r="A317" s="154" t="s">
        <v>1504</v>
      </c>
      <c r="B317" s="259">
        <v>27</v>
      </c>
      <c r="C317" s="259">
        <v>1</v>
      </c>
      <c r="D317" s="154">
        <v>-1</v>
      </c>
      <c r="E317" s="263" t="s">
        <v>1505</v>
      </c>
      <c r="F317" s="259"/>
      <c r="G317" s="154" t="s">
        <v>536</v>
      </c>
      <c r="H317" s="154" t="s">
        <v>537</v>
      </c>
      <c r="I317" s="154"/>
      <c r="J317" s="269"/>
      <c r="K317" s="288"/>
      <c r="L317" s="271"/>
      <c r="M317" s="289"/>
      <c r="N317" s="271">
        <v>6.67</v>
      </c>
      <c r="O317" s="271"/>
      <c r="P317" s="290">
        <v>6.67</v>
      </c>
      <c r="Q317" s="271"/>
      <c r="R317" s="154"/>
      <c r="S317" s="189"/>
      <c r="T317" s="308"/>
      <c r="U317" s="305">
        <v>0</v>
      </c>
      <c r="V317" s="305">
        <f t="shared" si="18"/>
        <v>0</v>
      </c>
      <c r="W317" s="306">
        <f t="shared" si="19"/>
        <v>0</v>
      </c>
      <c r="X317" s="271">
        <f t="shared" si="16"/>
        <v>0</v>
      </c>
      <c r="Y317" s="271">
        <f t="shared" si="17"/>
        <v>0</v>
      </c>
      <c r="Z317" s="154"/>
    </row>
    <row r="318" s="243" customFormat="1" ht="22" customHeight="1" outlineLevel="2" spans="1:26">
      <c r="A318" s="154" t="s">
        <v>1506</v>
      </c>
      <c r="B318" s="259">
        <v>27</v>
      </c>
      <c r="C318" s="259">
        <v>1</v>
      </c>
      <c r="D318" s="154">
        <v>-1</v>
      </c>
      <c r="E318" s="263" t="s">
        <v>1507</v>
      </c>
      <c r="F318" s="259"/>
      <c r="G318" s="154" t="s">
        <v>536</v>
      </c>
      <c r="H318" s="154" t="s">
        <v>537</v>
      </c>
      <c r="I318" s="154"/>
      <c r="J318" s="269"/>
      <c r="K318" s="288"/>
      <c r="L318" s="271"/>
      <c r="M318" s="289"/>
      <c r="N318" s="271">
        <v>9.07</v>
      </c>
      <c r="O318" s="271"/>
      <c r="P318" s="290">
        <v>9.07</v>
      </c>
      <c r="Q318" s="271"/>
      <c r="R318" s="154"/>
      <c r="S318" s="189"/>
      <c r="T318" s="308"/>
      <c r="U318" s="305">
        <v>0</v>
      </c>
      <c r="V318" s="305">
        <f t="shared" si="18"/>
        <v>0</v>
      </c>
      <c r="W318" s="306">
        <f t="shared" si="19"/>
        <v>0</v>
      </c>
      <c r="X318" s="271">
        <f t="shared" si="16"/>
        <v>0</v>
      </c>
      <c r="Y318" s="271">
        <f t="shared" si="17"/>
        <v>0</v>
      </c>
      <c r="Z318" s="154"/>
    </row>
    <row r="319" s="243" customFormat="1" ht="22" customHeight="1" outlineLevel="2" spans="1:26">
      <c r="A319" s="154" t="s">
        <v>1508</v>
      </c>
      <c r="B319" s="259">
        <v>27</v>
      </c>
      <c r="C319" s="259">
        <v>1</v>
      </c>
      <c r="D319" s="154">
        <v>-1</v>
      </c>
      <c r="E319" s="263" t="s">
        <v>1509</v>
      </c>
      <c r="F319" s="259"/>
      <c r="G319" s="154" t="s">
        <v>536</v>
      </c>
      <c r="H319" s="154" t="s">
        <v>537</v>
      </c>
      <c r="I319" s="154"/>
      <c r="J319" s="269"/>
      <c r="K319" s="288"/>
      <c r="L319" s="271"/>
      <c r="M319" s="289"/>
      <c r="N319" s="271">
        <v>7.35</v>
      </c>
      <c r="O319" s="271"/>
      <c r="P319" s="290">
        <v>7.35</v>
      </c>
      <c r="Q319" s="271"/>
      <c r="R319" s="154"/>
      <c r="S319" s="189"/>
      <c r="T319" s="308"/>
      <c r="U319" s="305">
        <v>0</v>
      </c>
      <c r="V319" s="305">
        <f t="shared" si="18"/>
        <v>0</v>
      </c>
      <c r="W319" s="306">
        <f t="shared" si="19"/>
        <v>0</v>
      </c>
      <c r="X319" s="271">
        <f t="shared" si="16"/>
        <v>0</v>
      </c>
      <c r="Y319" s="271">
        <f t="shared" si="17"/>
        <v>0</v>
      </c>
      <c r="Z319" s="154"/>
    </row>
    <row r="320" s="243" customFormat="1" ht="22" customHeight="1" outlineLevel="2" spans="1:26">
      <c r="A320" s="154" t="s">
        <v>1510</v>
      </c>
      <c r="B320" s="259">
        <v>27</v>
      </c>
      <c r="C320" s="259">
        <v>1</v>
      </c>
      <c r="D320" s="154">
        <v>-1</v>
      </c>
      <c r="E320" s="263" t="s">
        <v>1511</v>
      </c>
      <c r="F320" s="259"/>
      <c r="G320" s="154" t="s">
        <v>536</v>
      </c>
      <c r="H320" s="154" t="s">
        <v>537</v>
      </c>
      <c r="I320" s="154"/>
      <c r="J320" s="269"/>
      <c r="K320" s="288"/>
      <c r="L320" s="271"/>
      <c r="M320" s="289"/>
      <c r="N320" s="271">
        <v>60.34</v>
      </c>
      <c r="O320" s="271"/>
      <c r="P320" s="290">
        <v>60.34</v>
      </c>
      <c r="Q320" s="271"/>
      <c r="R320" s="154"/>
      <c r="S320" s="189"/>
      <c r="T320" s="308"/>
      <c r="U320" s="305">
        <v>0</v>
      </c>
      <c r="V320" s="305">
        <f t="shared" si="18"/>
        <v>0</v>
      </c>
      <c r="W320" s="306">
        <f t="shared" si="19"/>
        <v>0</v>
      </c>
      <c r="X320" s="271">
        <f t="shared" si="16"/>
        <v>0</v>
      </c>
      <c r="Y320" s="271">
        <f t="shared" si="17"/>
        <v>0</v>
      </c>
      <c r="Z320" s="154"/>
    </row>
    <row r="321" s="243" customFormat="1" ht="22" customHeight="1" outlineLevel="2" spans="1:26">
      <c r="A321" s="154" t="s">
        <v>1512</v>
      </c>
      <c r="B321" s="259">
        <v>27</v>
      </c>
      <c r="C321" s="259">
        <v>1</v>
      </c>
      <c r="D321" s="154">
        <v>-1</v>
      </c>
      <c r="E321" s="263" t="s">
        <v>1513</v>
      </c>
      <c r="F321" s="259"/>
      <c r="G321" s="154" t="s">
        <v>536</v>
      </c>
      <c r="H321" s="154" t="s">
        <v>537</v>
      </c>
      <c r="I321" s="154"/>
      <c r="J321" s="269"/>
      <c r="K321" s="90"/>
      <c r="L321" s="271"/>
      <c r="M321" s="289"/>
      <c r="N321" s="271">
        <v>16.6</v>
      </c>
      <c r="O321" s="271"/>
      <c r="P321" s="290">
        <v>16.6</v>
      </c>
      <c r="Q321" s="271"/>
      <c r="R321" s="154"/>
      <c r="S321" s="189"/>
      <c r="T321" s="308"/>
      <c r="U321" s="305">
        <v>0</v>
      </c>
      <c r="V321" s="305">
        <f t="shared" si="18"/>
        <v>0</v>
      </c>
      <c r="W321" s="306">
        <f t="shared" si="19"/>
        <v>0</v>
      </c>
      <c r="X321" s="271">
        <f t="shared" si="16"/>
        <v>0</v>
      </c>
      <c r="Y321" s="271">
        <f t="shared" si="17"/>
        <v>0</v>
      </c>
      <c r="Z321" s="154"/>
    </row>
    <row r="322" s="243" customFormat="1" ht="22" customHeight="1" outlineLevel="2" spans="1:26">
      <c r="A322" s="154" t="s">
        <v>1514</v>
      </c>
      <c r="B322" s="259">
        <v>27</v>
      </c>
      <c r="C322" s="259">
        <v>1</v>
      </c>
      <c r="D322" s="154">
        <v>-1</v>
      </c>
      <c r="E322" s="263" t="s">
        <v>1515</v>
      </c>
      <c r="F322" s="259"/>
      <c r="G322" s="154" t="s">
        <v>536</v>
      </c>
      <c r="H322" s="154" t="s">
        <v>537</v>
      </c>
      <c r="I322" s="154"/>
      <c r="J322" s="269"/>
      <c r="K322" s="90"/>
      <c r="L322" s="271"/>
      <c r="M322" s="289"/>
      <c r="N322" s="271">
        <v>16.6</v>
      </c>
      <c r="O322" s="271"/>
      <c r="P322" s="290">
        <v>16.6</v>
      </c>
      <c r="Q322" s="271"/>
      <c r="R322" s="154"/>
      <c r="S322" s="189"/>
      <c r="T322" s="308"/>
      <c r="U322" s="305">
        <v>0</v>
      </c>
      <c r="V322" s="305">
        <f t="shared" si="18"/>
        <v>0</v>
      </c>
      <c r="W322" s="306">
        <f t="shared" si="19"/>
        <v>0</v>
      </c>
      <c r="X322" s="271">
        <f t="shared" si="16"/>
        <v>0</v>
      </c>
      <c r="Y322" s="271">
        <f t="shared" si="17"/>
        <v>0</v>
      </c>
      <c r="Z322" s="154"/>
    </row>
    <row r="323" s="243" customFormat="1" ht="22" customHeight="1" outlineLevel="2" spans="1:26">
      <c r="A323" s="154" t="s">
        <v>1516</v>
      </c>
      <c r="B323" s="259">
        <v>27</v>
      </c>
      <c r="C323" s="259">
        <v>1</v>
      </c>
      <c r="D323" s="154">
        <v>-1</v>
      </c>
      <c r="E323" s="263" t="s">
        <v>1517</v>
      </c>
      <c r="F323" s="259"/>
      <c r="G323" s="154" t="s">
        <v>536</v>
      </c>
      <c r="H323" s="154" t="s">
        <v>537</v>
      </c>
      <c r="I323" s="154"/>
      <c r="J323" s="269"/>
      <c r="K323" s="90"/>
      <c r="L323" s="271"/>
      <c r="M323" s="289"/>
      <c r="N323" s="271">
        <v>60.23</v>
      </c>
      <c r="O323" s="271"/>
      <c r="P323" s="290">
        <v>60.23</v>
      </c>
      <c r="Q323" s="271"/>
      <c r="R323" s="154"/>
      <c r="S323" s="189"/>
      <c r="T323" s="308"/>
      <c r="U323" s="305">
        <v>0</v>
      </c>
      <c r="V323" s="305">
        <f t="shared" si="18"/>
        <v>0</v>
      </c>
      <c r="W323" s="306">
        <f t="shared" si="19"/>
        <v>0</v>
      </c>
      <c r="X323" s="271">
        <f t="shared" si="16"/>
        <v>0</v>
      </c>
      <c r="Y323" s="271">
        <f t="shared" si="17"/>
        <v>0</v>
      </c>
      <c r="Z323" s="154"/>
    </row>
    <row r="324" s="243" customFormat="1" ht="22" customHeight="1" outlineLevel="2" spans="1:26">
      <c r="A324" s="154" t="s">
        <v>1518</v>
      </c>
      <c r="B324" s="259">
        <v>27</v>
      </c>
      <c r="C324" s="259">
        <v>1</v>
      </c>
      <c r="D324" s="154">
        <v>-1</v>
      </c>
      <c r="E324" s="263" t="s">
        <v>1519</v>
      </c>
      <c r="F324" s="259"/>
      <c r="G324" s="154" t="s">
        <v>536</v>
      </c>
      <c r="H324" s="154" t="s">
        <v>537</v>
      </c>
      <c r="I324" s="154"/>
      <c r="J324" s="269"/>
      <c r="K324" s="90"/>
      <c r="L324" s="271"/>
      <c r="M324" s="289"/>
      <c r="N324" s="271">
        <v>12.71</v>
      </c>
      <c r="O324" s="271"/>
      <c r="P324" s="290">
        <v>12.71</v>
      </c>
      <c r="Q324" s="271"/>
      <c r="R324" s="154"/>
      <c r="S324" s="189"/>
      <c r="T324" s="308"/>
      <c r="U324" s="305">
        <v>0</v>
      </c>
      <c r="V324" s="305">
        <f t="shared" si="18"/>
        <v>0</v>
      </c>
      <c r="W324" s="306">
        <f t="shared" si="19"/>
        <v>0</v>
      </c>
      <c r="X324" s="271">
        <f t="shared" si="16"/>
        <v>0</v>
      </c>
      <c r="Y324" s="271">
        <f t="shared" si="17"/>
        <v>0</v>
      </c>
      <c r="Z324" s="154"/>
    </row>
    <row r="325" s="243" customFormat="1" ht="22" customHeight="1" outlineLevel="2" spans="1:26">
      <c r="A325" s="154" t="s">
        <v>1520</v>
      </c>
      <c r="B325" s="259">
        <v>27</v>
      </c>
      <c r="C325" s="259">
        <v>1</v>
      </c>
      <c r="D325" s="154">
        <v>-1</v>
      </c>
      <c r="E325" s="263" t="s">
        <v>1521</v>
      </c>
      <c r="F325" s="259"/>
      <c r="G325" s="154" t="s">
        <v>536</v>
      </c>
      <c r="H325" s="154" t="s">
        <v>537</v>
      </c>
      <c r="I325" s="154"/>
      <c r="J325" s="269"/>
      <c r="K325" s="90"/>
      <c r="L325" s="271"/>
      <c r="M325" s="289"/>
      <c r="N325" s="271">
        <v>8.04</v>
      </c>
      <c r="O325" s="271"/>
      <c r="P325" s="290">
        <v>8.04</v>
      </c>
      <c r="Q325" s="271"/>
      <c r="R325" s="154"/>
      <c r="S325" s="189"/>
      <c r="T325" s="308"/>
      <c r="U325" s="305">
        <v>0</v>
      </c>
      <c r="V325" s="305">
        <f t="shared" si="18"/>
        <v>0</v>
      </c>
      <c r="W325" s="306">
        <f t="shared" si="19"/>
        <v>0</v>
      </c>
      <c r="X325" s="271">
        <f t="shared" si="16"/>
        <v>0</v>
      </c>
      <c r="Y325" s="271">
        <f t="shared" si="17"/>
        <v>0</v>
      </c>
      <c r="Z325" s="154"/>
    </row>
    <row r="326" s="243" customFormat="1" ht="22" customHeight="1" outlineLevel="2" spans="1:26">
      <c r="A326" s="154" t="s">
        <v>1522</v>
      </c>
      <c r="B326" s="259">
        <v>27</v>
      </c>
      <c r="C326" s="259">
        <v>1</v>
      </c>
      <c r="D326" s="154">
        <v>-1</v>
      </c>
      <c r="E326" s="263" t="s">
        <v>1523</v>
      </c>
      <c r="F326" s="259"/>
      <c r="G326" s="154" t="s">
        <v>536</v>
      </c>
      <c r="H326" s="154" t="s">
        <v>537</v>
      </c>
      <c r="I326" s="154"/>
      <c r="J326" s="269"/>
      <c r="K326" s="90"/>
      <c r="L326" s="271"/>
      <c r="M326" s="289"/>
      <c r="N326" s="271">
        <v>11.43</v>
      </c>
      <c r="O326" s="271"/>
      <c r="P326" s="290">
        <v>11.43</v>
      </c>
      <c r="Q326" s="271"/>
      <c r="R326" s="154"/>
      <c r="S326" s="189"/>
      <c r="T326" s="308"/>
      <c r="U326" s="305">
        <v>0</v>
      </c>
      <c r="V326" s="305">
        <f t="shared" si="18"/>
        <v>0</v>
      </c>
      <c r="W326" s="306">
        <f t="shared" si="19"/>
        <v>0</v>
      </c>
      <c r="X326" s="271">
        <f t="shared" si="16"/>
        <v>0</v>
      </c>
      <c r="Y326" s="271">
        <f t="shared" si="17"/>
        <v>0</v>
      </c>
      <c r="Z326" s="154"/>
    </row>
    <row r="327" s="243" customFormat="1" ht="22" customHeight="1" outlineLevel="2" spans="1:26">
      <c r="A327" s="154" t="s">
        <v>1524</v>
      </c>
      <c r="B327" s="259">
        <v>27</v>
      </c>
      <c r="C327" s="259">
        <v>1</v>
      </c>
      <c r="D327" s="154">
        <v>-1</v>
      </c>
      <c r="E327" s="263" t="s">
        <v>1525</v>
      </c>
      <c r="F327" s="259"/>
      <c r="G327" s="154" t="s">
        <v>536</v>
      </c>
      <c r="H327" s="154" t="s">
        <v>537</v>
      </c>
      <c r="I327" s="154"/>
      <c r="J327" s="269"/>
      <c r="K327" s="90"/>
      <c r="L327" s="271"/>
      <c r="M327" s="289"/>
      <c r="N327" s="271">
        <v>10.58</v>
      </c>
      <c r="O327" s="271"/>
      <c r="P327" s="290">
        <v>10.58</v>
      </c>
      <c r="Q327" s="271"/>
      <c r="R327" s="154"/>
      <c r="S327" s="189"/>
      <c r="T327" s="308"/>
      <c r="U327" s="305">
        <v>0</v>
      </c>
      <c r="V327" s="305">
        <f t="shared" si="18"/>
        <v>0</v>
      </c>
      <c r="W327" s="306">
        <f t="shared" si="19"/>
        <v>0</v>
      </c>
      <c r="X327" s="271">
        <f t="shared" ref="X327:X390" si="20">U327</f>
        <v>0</v>
      </c>
      <c r="Y327" s="271">
        <f t="shared" ref="Y327:Y390" si="21">ROUND(X327/P327,2)</f>
        <v>0</v>
      </c>
      <c r="Z327" s="154"/>
    </row>
    <row r="328" s="243" customFormat="1" ht="22" customHeight="1" outlineLevel="2" spans="1:26">
      <c r="A328" s="154" t="s">
        <v>1526</v>
      </c>
      <c r="B328" s="259">
        <v>27</v>
      </c>
      <c r="C328" s="259">
        <v>1</v>
      </c>
      <c r="D328" s="154">
        <v>-1</v>
      </c>
      <c r="E328" s="263" t="s">
        <v>1527</v>
      </c>
      <c r="F328" s="259"/>
      <c r="G328" s="154" t="s">
        <v>536</v>
      </c>
      <c r="H328" s="154" t="s">
        <v>537</v>
      </c>
      <c r="I328" s="154"/>
      <c r="J328" s="269"/>
      <c r="K328" s="90"/>
      <c r="L328" s="271"/>
      <c r="M328" s="289"/>
      <c r="N328" s="271">
        <v>6.1</v>
      </c>
      <c r="O328" s="271"/>
      <c r="P328" s="290">
        <v>6.1</v>
      </c>
      <c r="Q328" s="271"/>
      <c r="R328" s="154"/>
      <c r="S328" s="189"/>
      <c r="T328" s="308"/>
      <c r="U328" s="305">
        <v>0</v>
      </c>
      <c r="V328" s="305">
        <f t="shared" ref="V328:V391" si="22">L328-U328</f>
        <v>0</v>
      </c>
      <c r="W328" s="306">
        <f t="shared" ref="W328:W391" si="23">U328+V328</f>
        <v>0</v>
      </c>
      <c r="X328" s="271">
        <f t="shared" si="20"/>
        <v>0</v>
      </c>
      <c r="Y328" s="271">
        <f t="shared" si="21"/>
        <v>0</v>
      </c>
      <c r="Z328" s="154"/>
    </row>
    <row r="329" s="243" customFormat="1" ht="22" customHeight="1" outlineLevel="2" spans="1:26">
      <c r="A329" s="154" t="s">
        <v>1528</v>
      </c>
      <c r="B329" s="259">
        <v>27</v>
      </c>
      <c r="C329" s="259">
        <v>2</v>
      </c>
      <c r="D329" s="154">
        <v>-1</v>
      </c>
      <c r="E329" s="263" t="s">
        <v>1529</v>
      </c>
      <c r="F329" s="259"/>
      <c r="G329" s="154" t="s">
        <v>536</v>
      </c>
      <c r="H329" s="154" t="s">
        <v>537</v>
      </c>
      <c r="I329" s="154"/>
      <c r="J329" s="269"/>
      <c r="K329" s="90"/>
      <c r="L329" s="271"/>
      <c r="M329" s="289"/>
      <c r="N329" s="271">
        <v>6.1</v>
      </c>
      <c r="O329" s="271"/>
      <c r="P329" s="290">
        <v>6.1</v>
      </c>
      <c r="Q329" s="271"/>
      <c r="R329" s="154"/>
      <c r="S329" s="189"/>
      <c r="T329" s="308"/>
      <c r="U329" s="305">
        <v>0</v>
      </c>
      <c r="V329" s="305">
        <f t="shared" si="22"/>
        <v>0</v>
      </c>
      <c r="W329" s="306">
        <f t="shared" si="23"/>
        <v>0</v>
      </c>
      <c r="X329" s="271">
        <f t="shared" si="20"/>
        <v>0</v>
      </c>
      <c r="Y329" s="271">
        <f t="shared" si="21"/>
        <v>0</v>
      </c>
      <c r="Z329" s="154"/>
    </row>
    <row r="330" s="243" customFormat="1" ht="22" customHeight="1" outlineLevel="2" spans="1:26">
      <c r="A330" s="154" t="s">
        <v>1530</v>
      </c>
      <c r="B330" s="259">
        <v>27</v>
      </c>
      <c r="C330" s="259">
        <v>2</v>
      </c>
      <c r="D330" s="154">
        <v>-1</v>
      </c>
      <c r="E330" s="263" t="s">
        <v>1531</v>
      </c>
      <c r="F330" s="259"/>
      <c r="G330" s="154" t="s">
        <v>536</v>
      </c>
      <c r="H330" s="154" t="s">
        <v>537</v>
      </c>
      <c r="I330" s="154"/>
      <c r="J330" s="269"/>
      <c r="K330" s="90"/>
      <c r="L330" s="271"/>
      <c r="M330" s="289"/>
      <c r="N330" s="271">
        <v>10.58</v>
      </c>
      <c r="O330" s="271"/>
      <c r="P330" s="290">
        <v>10.58</v>
      </c>
      <c r="Q330" s="271"/>
      <c r="R330" s="154"/>
      <c r="S330" s="189"/>
      <c r="T330" s="308"/>
      <c r="U330" s="305">
        <v>0</v>
      </c>
      <c r="V330" s="305">
        <f t="shared" si="22"/>
        <v>0</v>
      </c>
      <c r="W330" s="306">
        <f t="shared" si="23"/>
        <v>0</v>
      </c>
      <c r="X330" s="271">
        <f t="shared" si="20"/>
        <v>0</v>
      </c>
      <c r="Y330" s="271">
        <f t="shared" si="21"/>
        <v>0</v>
      </c>
      <c r="Z330" s="154"/>
    </row>
    <row r="331" s="243" customFormat="1" ht="22" customHeight="1" outlineLevel="2" spans="1:26">
      <c r="A331" s="154" t="s">
        <v>1532</v>
      </c>
      <c r="B331" s="259">
        <v>27</v>
      </c>
      <c r="C331" s="259">
        <v>2</v>
      </c>
      <c r="D331" s="154">
        <v>-1</v>
      </c>
      <c r="E331" s="263" t="s">
        <v>1533</v>
      </c>
      <c r="F331" s="259"/>
      <c r="G331" s="154" t="s">
        <v>536</v>
      </c>
      <c r="H331" s="154" t="s">
        <v>537</v>
      </c>
      <c r="I331" s="154"/>
      <c r="J331" s="269"/>
      <c r="K331" s="90"/>
      <c r="L331" s="271"/>
      <c r="M331" s="289"/>
      <c r="N331" s="271">
        <v>11.43</v>
      </c>
      <c r="O331" s="271"/>
      <c r="P331" s="290">
        <v>11.43</v>
      </c>
      <c r="Q331" s="271"/>
      <c r="R331" s="154"/>
      <c r="S331" s="189"/>
      <c r="T331" s="308"/>
      <c r="U331" s="305">
        <v>0</v>
      </c>
      <c r="V331" s="305">
        <f t="shared" si="22"/>
        <v>0</v>
      </c>
      <c r="W331" s="306">
        <f t="shared" si="23"/>
        <v>0</v>
      </c>
      <c r="X331" s="271">
        <f t="shared" si="20"/>
        <v>0</v>
      </c>
      <c r="Y331" s="271">
        <f t="shared" si="21"/>
        <v>0</v>
      </c>
      <c r="Z331" s="154"/>
    </row>
    <row r="332" s="243" customFormat="1" ht="22" customHeight="1" outlineLevel="2" spans="1:26">
      <c r="A332" s="154" t="s">
        <v>1534</v>
      </c>
      <c r="B332" s="259">
        <v>27</v>
      </c>
      <c r="C332" s="259">
        <v>2</v>
      </c>
      <c r="D332" s="154">
        <v>-1</v>
      </c>
      <c r="E332" s="263" t="s">
        <v>1535</v>
      </c>
      <c r="F332" s="259"/>
      <c r="G332" s="154" t="s">
        <v>536</v>
      </c>
      <c r="H332" s="154" t="s">
        <v>537</v>
      </c>
      <c r="I332" s="154"/>
      <c r="J332" s="269"/>
      <c r="K332" s="90"/>
      <c r="L332" s="271"/>
      <c r="M332" s="289"/>
      <c r="N332" s="271">
        <v>8.04</v>
      </c>
      <c r="O332" s="271"/>
      <c r="P332" s="290">
        <v>8.04</v>
      </c>
      <c r="Q332" s="271"/>
      <c r="R332" s="154"/>
      <c r="S332" s="189"/>
      <c r="T332" s="308"/>
      <c r="U332" s="305">
        <v>0</v>
      </c>
      <c r="V332" s="305">
        <f t="shared" si="22"/>
        <v>0</v>
      </c>
      <c r="W332" s="306">
        <f t="shared" si="23"/>
        <v>0</v>
      </c>
      <c r="X332" s="271">
        <f t="shared" si="20"/>
        <v>0</v>
      </c>
      <c r="Y332" s="271">
        <f t="shared" si="21"/>
        <v>0</v>
      </c>
      <c r="Z332" s="154"/>
    </row>
    <row r="333" s="243" customFormat="1" ht="22" customHeight="1" outlineLevel="2" spans="1:26">
      <c r="A333" s="154" t="s">
        <v>1536</v>
      </c>
      <c r="B333" s="259">
        <v>27</v>
      </c>
      <c r="C333" s="259">
        <v>2</v>
      </c>
      <c r="D333" s="154">
        <v>-1</v>
      </c>
      <c r="E333" s="263" t="s">
        <v>1537</v>
      </c>
      <c r="F333" s="259"/>
      <c r="G333" s="154" t="s">
        <v>536</v>
      </c>
      <c r="H333" s="154" t="s">
        <v>537</v>
      </c>
      <c r="I333" s="154"/>
      <c r="J333" s="269"/>
      <c r="K333" s="90"/>
      <c r="L333" s="271"/>
      <c r="M333" s="289"/>
      <c r="N333" s="271">
        <v>12.71</v>
      </c>
      <c r="O333" s="271"/>
      <c r="P333" s="290">
        <v>12.71</v>
      </c>
      <c r="Q333" s="271"/>
      <c r="R333" s="154"/>
      <c r="S333" s="189"/>
      <c r="T333" s="308"/>
      <c r="U333" s="305">
        <v>0</v>
      </c>
      <c r="V333" s="305">
        <f t="shared" si="22"/>
        <v>0</v>
      </c>
      <c r="W333" s="306">
        <f t="shared" si="23"/>
        <v>0</v>
      </c>
      <c r="X333" s="271">
        <f t="shared" si="20"/>
        <v>0</v>
      </c>
      <c r="Y333" s="271">
        <f t="shared" si="21"/>
        <v>0</v>
      </c>
      <c r="Z333" s="154"/>
    </row>
    <row r="334" s="243" customFormat="1" ht="22" customHeight="1" outlineLevel="2" spans="1:26">
      <c r="A334" s="154" t="s">
        <v>1538</v>
      </c>
      <c r="B334" s="259">
        <v>27</v>
      </c>
      <c r="C334" s="259">
        <v>2</v>
      </c>
      <c r="D334" s="154">
        <v>-1</v>
      </c>
      <c r="E334" s="263" t="s">
        <v>1539</v>
      </c>
      <c r="F334" s="259"/>
      <c r="G334" s="154" t="s">
        <v>536</v>
      </c>
      <c r="H334" s="154" t="s">
        <v>537</v>
      </c>
      <c r="I334" s="154"/>
      <c r="J334" s="269"/>
      <c r="K334" s="90"/>
      <c r="L334" s="271"/>
      <c r="M334" s="289"/>
      <c r="N334" s="271">
        <v>60.23</v>
      </c>
      <c r="O334" s="271"/>
      <c r="P334" s="290">
        <v>60.23</v>
      </c>
      <c r="Q334" s="271"/>
      <c r="R334" s="154"/>
      <c r="S334" s="189"/>
      <c r="T334" s="308"/>
      <c r="U334" s="305">
        <v>0</v>
      </c>
      <c r="V334" s="305">
        <f t="shared" si="22"/>
        <v>0</v>
      </c>
      <c r="W334" s="306">
        <f t="shared" si="23"/>
        <v>0</v>
      </c>
      <c r="X334" s="271">
        <f t="shared" si="20"/>
        <v>0</v>
      </c>
      <c r="Y334" s="271">
        <f t="shared" si="21"/>
        <v>0</v>
      </c>
      <c r="Z334" s="154"/>
    </row>
    <row r="335" s="243" customFormat="1" ht="22" customHeight="1" outlineLevel="2" spans="1:26">
      <c r="A335" s="154" t="s">
        <v>1540</v>
      </c>
      <c r="B335" s="259">
        <v>27</v>
      </c>
      <c r="C335" s="259">
        <v>2</v>
      </c>
      <c r="D335" s="154">
        <v>-1</v>
      </c>
      <c r="E335" s="263" t="s">
        <v>1541</v>
      </c>
      <c r="F335" s="259"/>
      <c r="G335" s="154" t="s">
        <v>536</v>
      </c>
      <c r="H335" s="154" t="s">
        <v>537</v>
      </c>
      <c r="I335" s="154"/>
      <c r="J335" s="269"/>
      <c r="K335" s="90"/>
      <c r="L335" s="271"/>
      <c r="M335" s="289"/>
      <c r="N335" s="271">
        <v>16.6</v>
      </c>
      <c r="O335" s="271"/>
      <c r="P335" s="290">
        <v>16.6</v>
      </c>
      <c r="Q335" s="271"/>
      <c r="R335" s="154"/>
      <c r="S335" s="189"/>
      <c r="T335" s="308"/>
      <c r="U335" s="305">
        <v>0</v>
      </c>
      <c r="V335" s="305">
        <f t="shared" si="22"/>
        <v>0</v>
      </c>
      <c r="W335" s="306">
        <f t="shared" si="23"/>
        <v>0</v>
      </c>
      <c r="X335" s="271">
        <f t="shared" si="20"/>
        <v>0</v>
      </c>
      <c r="Y335" s="271">
        <f t="shared" si="21"/>
        <v>0</v>
      </c>
      <c r="Z335" s="154"/>
    </row>
    <row r="336" s="243" customFormat="1" ht="22" customHeight="1" outlineLevel="2" spans="1:26">
      <c r="A336" s="154" t="s">
        <v>1542</v>
      </c>
      <c r="B336" s="259">
        <v>27</v>
      </c>
      <c r="C336" s="259">
        <v>2</v>
      </c>
      <c r="D336" s="154">
        <v>-1</v>
      </c>
      <c r="E336" s="263" t="s">
        <v>1543</v>
      </c>
      <c r="F336" s="259"/>
      <c r="G336" s="154" t="s">
        <v>536</v>
      </c>
      <c r="H336" s="154" t="s">
        <v>537</v>
      </c>
      <c r="I336" s="154"/>
      <c r="J336" s="269"/>
      <c r="K336" s="90"/>
      <c r="L336" s="271"/>
      <c r="M336" s="289"/>
      <c r="N336" s="271">
        <v>16.6</v>
      </c>
      <c r="O336" s="271"/>
      <c r="P336" s="290">
        <v>16.6</v>
      </c>
      <c r="Q336" s="271"/>
      <c r="R336" s="154"/>
      <c r="S336" s="189"/>
      <c r="T336" s="308"/>
      <c r="U336" s="305">
        <v>0</v>
      </c>
      <c r="V336" s="305">
        <f t="shared" si="22"/>
        <v>0</v>
      </c>
      <c r="W336" s="306">
        <f t="shared" si="23"/>
        <v>0</v>
      </c>
      <c r="X336" s="271">
        <f t="shared" si="20"/>
        <v>0</v>
      </c>
      <c r="Y336" s="271">
        <f t="shared" si="21"/>
        <v>0</v>
      </c>
      <c r="Z336" s="154"/>
    </row>
    <row r="337" s="243" customFormat="1" ht="22" customHeight="1" outlineLevel="2" spans="1:26">
      <c r="A337" s="154" t="s">
        <v>1544</v>
      </c>
      <c r="B337" s="259">
        <v>27</v>
      </c>
      <c r="C337" s="259">
        <v>2</v>
      </c>
      <c r="D337" s="154">
        <v>-1</v>
      </c>
      <c r="E337" s="263" t="s">
        <v>1545</v>
      </c>
      <c r="F337" s="259"/>
      <c r="G337" s="154" t="s">
        <v>536</v>
      </c>
      <c r="H337" s="154" t="s">
        <v>537</v>
      </c>
      <c r="I337" s="154"/>
      <c r="J337" s="269"/>
      <c r="K337" s="90"/>
      <c r="L337" s="271"/>
      <c r="M337" s="289"/>
      <c r="N337" s="271">
        <v>60.34</v>
      </c>
      <c r="O337" s="271"/>
      <c r="P337" s="290">
        <v>60.34</v>
      </c>
      <c r="Q337" s="271"/>
      <c r="R337" s="154"/>
      <c r="S337" s="189"/>
      <c r="T337" s="308"/>
      <c r="U337" s="305">
        <v>0</v>
      </c>
      <c r="V337" s="305">
        <f t="shared" si="22"/>
        <v>0</v>
      </c>
      <c r="W337" s="306">
        <f t="shared" si="23"/>
        <v>0</v>
      </c>
      <c r="X337" s="271">
        <f t="shared" si="20"/>
        <v>0</v>
      </c>
      <c r="Y337" s="271">
        <f t="shared" si="21"/>
        <v>0</v>
      </c>
      <c r="Z337" s="154"/>
    </row>
    <row r="338" s="243" customFormat="1" ht="22" customHeight="1" outlineLevel="2" spans="1:26">
      <c r="A338" s="154" t="s">
        <v>1546</v>
      </c>
      <c r="B338" s="259">
        <v>27</v>
      </c>
      <c r="C338" s="259">
        <v>2</v>
      </c>
      <c r="D338" s="154">
        <v>-1</v>
      </c>
      <c r="E338" s="263" t="s">
        <v>1547</v>
      </c>
      <c r="F338" s="259"/>
      <c r="G338" s="154" t="s">
        <v>536</v>
      </c>
      <c r="H338" s="154" t="s">
        <v>537</v>
      </c>
      <c r="I338" s="154"/>
      <c r="J338" s="269"/>
      <c r="K338" s="90"/>
      <c r="L338" s="271"/>
      <c r="M338" s="289"/>
      <c r="N338" s="271">
        <v>7.35</v>
      </c>
      <c r="O338" s="271"/>
      <c r="P338" s="290">
        <v>7.35</v>
      </c>
      <c r="Q338" s="271"/>
      <c r="R338" s="154"/>
      <c r="S338" s="189"/>
      <c r="T338" s="308"/>
      <c r="U338" s="305">
        <v>0</v>
      </c>
      <c r="V338" s="305">
        <f t="shared" si="22"/>
        <v>0</v>
      </c>
      <c r="W338" s="306">
        <f t="shared" si="23"/>
        <v>0</v>
      </c>
      <c r="X338" s="271">
        <f t="shared" si="20"/>
        <v>0</v>
      </c>
      <c r="Y338" s="271">
        <f t="shared" si="21"/>
        <v>0</v>
      </c>
      <c r="Z338" s="154"/>
    </row>
    <row r="339" s="243" customFormat="1" ht="22" customHeight="1" outlineLevel="2" spans="1:26">
      <c r="A339" s="154" t="s">
        <v>1548</v>
      </c>
      <c r="B339" s="259">
        <v>27</v>
      </c>
      <c r="C339" s="259">
        <v>2</v>
      </c>
      <c r="D339" s="154">
        <v>-1</v>
      </c>
      <c r="E339" s="263" t="s">
        <v>1549</v>
      </c>
      <c r="F339" s="259"/>
      <c r="G339" s="154" t="s">
        <v>536</v>
      </c>
      <c r="H339" s="154" t="s">
        <v>537</v>
      </c>
      <c r="I339" s="154"/>
      <c r="J339" s="269"/>
      <c r="K339" s="90"/>
      <c r="L339" s="271"/>
      <c r="M339" s="289"/>
      <c r="N339" s="271">
        <v>9.07</v>
      </c>
      <c r="O339" s="271"/>
      <c r="P339" s="290">
        <v>9.07</v>
      </c>
      <c r="Q339" s="271"/>
      <c r="R339" s="154"/>
      <c r="S339" s="189"/>
      <c r="T339" s="308"/>
      <c r="U339" s="305">
        <v>0</v>
      </c>
      <c r="V339" s="305">
        <f t="shared" si="22"/>
        <v>0</v>
      </c>
      <c r="W339" s="306">
        <f t="shared" si="23"/>
        <v>0</v>
      </c>
      <c r="X339" s="271">
        <f t="shared" si="20"/>
        <v>0</v>
      </c>
      <c r="Y339" s="271">
        <f t="shared" si="21"/>
        <v>0</v>
      </c>
      <c r="Z339" s="154"/>
    </row>
    <row r="340" s="243" customFormat="1" ht="22" customHeight="1" outlineLevel="2" spans="1:26">
      <c r="A340" s="154" t="s">
        <v>1550</v>
      </c>
      <c r="B340" s="259">
        <v>27</v>
      </c>
      <c r="C340" s="259">
        <v>2</v>
      </c>
      <c r="D340" s="154">
        <v>-1</v>
      </c>
      <c r="E340" s="263" t="s">
        <v>1551</v>
      </c>
      <c r="F340" s="259"/>
      <c r="G340" s="154" t="s">
        <v>536</v>
      </c>
      <c r="H340" s="154" t="s">
        <v>537</v>
      </c>
      <c r="I340" s="154"/>
      <c r="J340" s="269"/>
      <c r="K340" s="90"/>
      <c r="L340" s="271"/>
      <c r="M340" s="289"/>
      <c r="N340" s="271">
        <v>6.67</v>
      </c>
      <c r="O340" s="271"/>
      <c r="P340" s="290">
        <v>6.67</v>
      </c>
      <c r="Q340" s="271"/>
      <c r="R340" s="154"/>
      <c r="S340" s="189"/>
      <c r="T340" s="308"/>
      <c r="U340" s="305">
        <v>0</v>
      </c>
      <c r="V340" s="305">
        <f t="shared" si="22"/>
        <v>0</v>
      </c>
      <c r="W340" s="306">
        <f t="shared" si="23"/>
        <v>0</v>
      </c>
      <c r="X340" s="271">
        <f t="shared" si="20"/>
        <v>0</v>
      </c>
      <c r="Y340" s="271">
        <f t="shared" si="21"/>
        <v>0</v>
      </c>
      <c r="Z340" s="154"/>
    </row>
    <row r="341" s="243" customFormat="1" ht="22" customHeight="1" outlineLevel="2" spans="1:26">
      <c r="A341" s="154" t="s">
        <v>1552</v>
      </c>
      <c r="B341" s="259">
        <v>27</v>
      </c>
      <c r="C341" s="259">
        <v>2</v>
      </c>
      <c r="D341" s="154">
        <v>-1</v>
      </c>
      <c r="E341" s="263" t="s">
        <v>1553</v>
      </c>
      <c r="F341" s="259"/>
      <c r="G341" s="154" t="s">
        <v>536</v>
      </c>
      <c r="H341" s="154" t="s">
        <v>537</v>
      </c>
      <c r="I341" s="154"/>
      <c r="J341" s="269"/>
      <c r="K341" s="90"/>
      <c r="L341" s="271"/>
      <c r="M341" s="289"/>
      <c r="N341" s="271">
        <v>6.1</v>
      </c>
      <c r="O341" s="271"/>
      <c r="P341" s="290">
        <v>6.1</v>
      </c>
      <c r="Q341" s="271"/>
      <c r="R341" s="154"/>
      <c r="S341" s="189"/>
      <c r="T341" s="308"/>
      <c r="U341" s="305">
        <v>0</v>
      </c>
      <c r="V341" s="305">
        <f t="shared" si="22"/>
        <v>0</v>
      </c>
      <c r="W341" s="306">
        <f t="shared" si="23"/>
        <v>0</v>
      </c>
      <c r="X341" s="271">
        <f t="shared" si="20"/>
        <v>0</v>
      </c>
      <c r="Y341" s="271">
        <f t="shared" si="21"/>
        <v>0</v>
      </c>
      <c r="Z341" s="154"/>
    </row>
    <row r="342" s="243" customFormat="1" ht="22" customHeight="1" outlineLevel="2" spans="1:26">
      <c r="A342" s="154" t="s">
        <v>1554</v>
      </c>
      <c r="B342" s="259">
        <v>27</v>
      </c>
      <c r="C342" s="259">
        <v>2</v>
      </c>
      <c r="D342" s="154">
        <v>-1</v>
      </c>
      <c r="E342" s="263" t="s">
        <v>1555</v>
      </c>
      <c r="F342" s="259"/>
      <c r="G342" s="154" t="s">
        <v>536</v>
      </c>
      <c r="H342" s="154" t="s">
        <v>537</v>
      </c>
      <c r="I342" s="154"/>
      <c r="J342" s="269"/>
      <c r="K342" s="90"/>
      <c r="L342" s="271"/>
      <c r="M342" s="289"/>
      <c r="N342" s="271">
        <v>12.77</v>
      </c>
      <c r="O342" s="271"/>
      <c r="P342" s="290">
        <v>12.77</v>
      </c>
      <c r="Q342" s="271"/>
      <c r="R342" s="154"/>
      <c r="S342" s="189"/>
      <c r="T342" s="308"/>
      <c r="U342" s="305">
        <v>0</v>
      </c>
      <c r="V342" s="305">
        <f t="shared" si="22"/>
        <v>0</v>
      </c>
      <c r="W342" s="306">
        <f t="shared" si="23"/>
        <v>0</v>
      </c>
      <c r="X342" s="271">
        <f t="shared" si="20"/>
        <v>0</v>
      </c>
      <c r="Y342" s="271">
        <f t="shared" si="21"/>
        <v>0</v>
      </c>
      <c r="Z342" s="154"/>
    </row>
    <row r="343" s="243" customFormat="1" ht="22" customHeight="1" outlineLevel="2" spans="1:26">
      <c r="A343" s="154" t="s">
        <v>1556</v>
      </c>
      <c r="B343" s="259">
        <v>28</v>
      </c>
      <c r="C343" s="259">
        <v>1</v>
      </c>
      <c r="D343" s="154">
        <v>1</v>
      </c>
      <c r="E343" s="263" t="s">
        <v>1557</v>
      </c>
      <c r="F343" s="259"/>
      <c r="G343" s="154" t="s">
        <v>256</v>
      </c>
      <c r="H343" s="154" t="s">
        <v>427</v>
      </c>
      <c r="I343" s="154" t="s">
        <v>334</v>
      </c>
      <c r="J343" s="269" t="s">
        <v>1558</v>
      </c>
      <c r="K343" s="288">
        <v>44575</v>
      </c>
      <c r="L343" s="271">
        <v>817375</v>
      </c>
      <c r="M343" s="289" t="s">
        <v>1559</v>
      </c>
      <c r="N343" s="271">
        <v>125.75</v>
      </c>
      <c r="O343" s="271"/>
      <c r="P343" s="290">
        <v>125.75</v>
      </c>
      <c r="Q343" s="271"/>
      <c r="R343" s="154"/>
      <c r="S343" s="189" t="s">
        <v>430</v>
      </c>
      <c r="T343" s="308" t="s">
        <v>1560</v>
      </c>
      <c r="U343" s="305">
        <v>749885.32</v>
      </c>
      <c r="V343" s="305">
        <f t="shared" si="22"/>
        <v>67489.6800000001</v>
      </c>
      <c r="W343" s="306">
        <f t="shared" si="23"/>
        <v>817375</v>
      </c>
      <c r="X343" s="271">
        <f t="shared" si="20"/>
        <v>749885.32</v>
      </c>
      <c r="Y343" s="271">
        <f t="shared" si="21"/>
        <v>5963.3</v>
      </c>
      <c r="Z343" s="154"/>
    </row>
    <row r="344" s="243" customFormat="1" ht="22" customHeight="1" outlineLevel="2" spans="1:26">
      <c r="A344" s="154" t="s">
        <v>1561</v>
      </c>
      <c r="B344" s="259">
        <v>28</v>
      </c>
      <c r="C344" s="259">
        <v>1</v>
      </c>
      <c r="D344" s="154">
        <v>1</v>
      </c>
      <c r="E344" s="263" t="s">
        <v>1562</v>
      </c>
      <c r="F344" s="259"/>
      <c r="G344" s="154" t="s">
        <v>256</v>
      </c>
      <c r="H344" s="154" t="s">
        <v>427</v>
      </c>
      <c r="I344" s="154" t="s">
        <v>334</v>
      </c>
      <c r="J344" s="269" t="s">
        <v>1563</v>
      </c>
      <c r="K344" s="288">
        <v>43914</v>
      </c>
      <c r="L344" s="271">
        <v>809343</v>
      </c>
      <c r="M344" s="289" t="s">
        <v>1564</v>
      </c>
      <c r="N344" s="271">
        <v>125.28</v>
      </c>
      <c r="O344" s="271"/>
      <c r="P344" s="290">
        <v>125.28</v>
      </c>
      <c r="Q344" s="271"/>
      <c r="R344" s="154"/>
      <c r="S344" s="189" t="s">
        <v>430</v>
      </c>
      <c r="T344" s="308" t="s">
        <v>1565</v>
      </c>
      <c r="U344" s="305">
        <v>742516.51</v>
      </c>
      <c r="V344" s="305">
        <f t="shared" si="22"/>
        <v>66826.49</v>
      </c>
      <c r="W344" s="306">
        <f t="shared" si="23"/>
        <v>809343</v>
      </c>
      <c r="X344" s="271">
        <f t="shared" si="20"/>
        <v>742516.51</v>
      </c>
      <c r="Y344" s="271">
        <f t="shared" si="21"/>
        <v>5926.86</v>
      </c>
      <c r="Z344" s="154"/>
    </row>
    <row r="345" s="243" customFormat="1" ht="22" customHeight="1" outlineLevel="2" spans="1:26">
      <c r="A345" s="154" t="s">
        <v>1566</v>
      </c>
      <c r="B345" s="259">
        <v>28</v>
      </c>
      <c r="C345" s="259">
        <v>1</v>
      </c>
      <c r="D345" s="154">
        <v>2</v>
      </c>
      <c r="E345" s="263" t="s">
        <v>1567</v>
      </c>
      <c r="F345" s="259"/>
      <c r="G345" s="154" t="s">
        <v>256</v>
      </c>
      <c r="H345" s="154" t="s">
        <v>427</v>
      </c>
      <c r="I345" s="154" t="s">
        <v>334</v>
      </c>
      <c r="J345" s="269" t="s">
        <v>1568</v>
      </c>
      <c r="K345" s="288">
        <v>43791</v>
      </c>
      <c r="L345" s="271">
        <v>505731</v>
      </c>
      <c r="M345" s="289" t="s">
        <v>1569</v>
      </c>
      <c r="N345" s="271">
        <v>125.75</v>
      </c>
      <c r="O345" s="271"/>
      <c r="P345" s="290">
        <v>125.75</v>
      </c>
      <c r="Q345" s="271"/>
      <c r="R345" s="154"/>
      <c r="S345" s="189" t="s">
        <v>430</v>
      </c>
      <c r="T345" s="308" t="s">
        <v>1570</v>
      </c>
      <c r="U345" s="305">
        <v>463973.39</v>
      </c>
      <c r="V345" s="305">
        <f t="shared" si="22"/>
        <v>41757.61</v>
      </c>
      <c r="W345" s="306">
        <f t="shared" si="23"/>
        <v>505731</v>
      </c>
      <c r="X345" s="271">
        <f t="shared" si="20"/>
        <v>463973.39</v>
      </c>
      <c r="Y345" s="271">
        <f t="shared" si="21"/>
        <v>3689.65</v>
      </c>
      <c r="Z345" s="154"/>
    </row>
    <row r="346" s="243" customFormat="1" ht="22" customHeight="1" outlineLevel="2" spans="1:26">
      <c r="A346" s="154" t="s">
        <v>1571</v>
      </c>
      <c r="B346" s="259">
        <v>28</v>
      </c>
      <c r="C346" s="259">
        <v>1</v>
      </c>
      <c r="D346" s="154">
        <v>2</v>
      </c>
      <c r="E346" s="263" t="s">
        <v>1572</v>
      </c>
      <c r="F346" s="259"/>
      <c r="G346" s="154" t="s">
        <v>256</v>
      </c>
      <c r="H346" s="154" t="s">
        <v>427</v>
      </c>
      <c r="I346" s="154" t="s">
        <v>334</v>
      </c>
      <c r="J346" s="269" t="s">
        <v>1573</v>
      </c>
      <c r="K346" s="288">
        <v>43799</v>
      </c>
      <c r="L346" s="271">
        <v>499847</v>
      </c>
      <c r="M346" s="289" t="s">
        <v>1574</v>
      </c>
      <c r="N346" s="271">
        <v>125.38</v>
      </c>
      <c r="O346" s="271"/>
      <c r="P346" s="290">
        <v>125.38</v>
      </c>
      <c r="Q346" s="271"/>
      <c r="R346" s="154"/>
      <c r="S346" s="189" t="s">
        <v>430</v>
      </c>
      <c r="T346" s="308" t="s">
        <v>1575</v>
      </c>
      <c r="U346" s="305">
        <v>458575.23</v>
      </c>
      <c r="V346" s="305">
        <f t="shared" si="22"/>
        <v>41271.77</v>
      </c>
      <c r="W346" s="306">
        <f t="shared" si="23"/>
        <v>499847</v>
      </c>
      <c r="X346" s="271">
        <f t="shared" si="20"/>
        <v>458575.23</v>
      </c>
      <c r="Y346" s="271">
        <f t="shared" si="21"/>
        <v>3657.48</v>
      </c>
      <c r="Z346" s="154"/>
    </row>
    <row r="347" s="243" customFormat="1" ht="22" customHeight="1" outlineLevel="2" spans="1:26">
      <c r="A347" s="154" t="s">
        <v>1576</v>
      </c>
      <c r="B347" s="259">
        <v>28</v>
      </c>
      <c r="C347" s="259">
        <v>1</v>
      </c>
      <c r="D347" s="154">
        <v>3</v>
      </c>
      <c r="E347" s="263" t="s">
        <v>1577</v>
      </c>
      <c r="F347" s="259"/>
      <c r="G347" s="154" t="s">
        <v>256</v>
      </c>
      <c r="H347" s="154" t="s">
        <v>427</v>
      </c>
      <c r="I347" s="154" t="s">
        <v>334</v>
      </c>
      <c r="J347" s="269" t="s">
        <v>1578</v>
      </c>
      <c r="K347" s="288">
        <v>43831</v>
      </c>
      <c r="L347" s="271">
        <v>510175</v>
      </c>
      <c r="M347" s="289" t="s">
        <v>1579</v>
      </c>
      <c r="N347" s="271">
        <v>125.75</v>
      </c>
      <c r="O347" s="271"/>
      <c r="P347" s="290">
        <v>125.75</v>
      </c>
      <c r="Q347" s="271"/>
      <c r="R347" s="154"/>
      <c r="S347" s="189" t="s">
        <v>430</v>
      </c>
      <c r="T347" s="308" t="s">
        <v>1580</v>
      </c>
      <c r="U347" s="305">
        <v>468050.46</v>
      </c>
      <c r="V347" s="305">
        <f t="shared" si="22"/>
        <v>42124.54</v>
      </c>
      <c r="W347" s="306">
        <f t="shared" si="23"/>
        <v>510175</v>
      </c>
      <c r="X347" s="271">
        <f t="shared" si="20"/>
        <v>468050.46</v>
      </c>
      <c r="Y347" s="271">
        <f t="shared" si="21"/>
        <v>3722.07</v>
      </c>
      <c r="Z347" s="154"/>
    </row>
    <row r="348" s="243" customFormat="1" ht="22" customHeight="1" outlineLevel="2" spans="1:26">
      <c r="A348" s="154" t="s">
        <v>1581</v>
      </c>
      <c r="B348" s="259">
        <v>28</v>
      </c>
      <c r="C348" s="259">
        <v>1</v>
      </c>
      <c r="D348" s="154">
        <v>3</v>
      </c>
      <c r="E348" s="263" t="s">
        <v>1582</v>
      </c>
      <c r="F348" s="259"/>
      <c r="G348" s="154" t="s">
        <v>256</v>
      </c>
      <c r="H348" s="154" t="s">
        <v>427</v>
      </c>
      <c r="I348" s="154" t="s">
        <v>334</v>
      </c>
      <c r="J348" s="269">
        <v>20190006236</v>
      </c>
      <c r="K348" s="288">
        <v>43792</v>
      </c>
      <c r="L348" s="271">
        <v>504161</v>
      </c>
      <c r="M348" s="289" t="s">
        <v>1583</v>
      </c>
      <c r="N348" s="271">
        <v>125.38</v>
      </c>
      <c r="O348" s="271"/>
      <c r="P348" s="290">
        <v>125.38</v>
      </c>
      <c r="Q348" s="271"/>
      <c r="R348" s="154"/>
      <c r="S348" s="189" t="s">
        <v>430</v>
      </c>
      <c r="T348" s="308" t="s">
        <v>1584</v>
      </c>
      <c r="U348" s="305">
        <v>462533.03</v>
      </c>
      <c r="V348" s="305">
        <f t="shared" si="22"/>
        <v>41627.97</v>
      </c>
      <c r="W348" s="306">
        <f t="shared" si="23"/>
        <v>504161</v>
      </c>
      <c r="X348" s="271">
        <f t="shared" si="20"/>
        <v>462533.03</v>
      </c>
      <c r="Y348" s="271">
        <f t="shared" si="21"/>
        <v>3689.05</v>
      </c>
      <c r="Z348" s="154"/>
    </row>
    <row r="349" s="243" customFormat="1" ht="22" customHeight="1" outlineLevel="2" spans="1:26">
      <c r="A349" s="154" t="s">
        <v>1585</v>
      </c>
      <c r="B349" s="259">
        <v>28</v>
      </c>
      <c r="C349" s="259">
        <v>1</v>
      </c>
      <c r="D349" s="154">
        <v>4</v>
      </c>
      <c r="E349" s="263" t="s">
        <v>1586</v>
      </c>
      <c r="F349" s="259"/>
      <c r="G349" s="154" t="s">
        <v>256</v>
      </c>
      <c r="H349" s="154" t="s">
        <v>427</v>
      </c>
      <c r="I349" s="154" t="s">
        <v>334</v>
      </c>
      <c r="J349" s="269">
        <v>20190006569</v>
      </c>
      <c r="K349" s="288">
        <v>43798</v>
      </c>
      <c r="L349" s="271">
        <v>514853</v>
      </c>
      <c r="M349" s="289" t="s">
        <v>1587</v>
      </c>
      <c r="N349" s="271">
        <v>125.75</v>
      </c>
      <c r="O349" s="271"/>
      <c r="P349" s="290">
        <v>125.75</v>
      </c>
      <c r="Q349" s="271"/>
      <c r="R349" s="154"/>
      <c r="S349" s="189" t="s">
        <v>430</v>
      </c>
      <c r="T349" s="308" t="s">
        <v>1588</v>
      </c>
      <c r="U349" s="305">
        <v>472342.2</v>
      </c>
      <c r="V349" s="305">
        <f t="shared" si="22"/>
        <v>42510.8</v>
      </c>
      <c r="W349" s="306">
        <f t="shared" si="23"/>
        <v>514853</v>
      </c>
      <c r="X349" s="271">
        <f t="shared" si="20"/>
        <v>472342.2</v>
      </c>
      <c r="Y349" s="271">
        <f t="shared" si="21"/>
        <v>3756.2</v>
      </c>
      <c r="Z349" s="154"/>
    </row>
    <row r="350" s="243" customFormat="1" ht="22" customHeight="1" outlineLevel="2" spans="1:26">
      <c r="A350" s="154" t="s">
        <v>1589</v>
      </c>
      <c r="B350" s="259">
        <v>28</v>
      </c>
      <c r="C350" s="259">
        <v>1</v>
      </c>
      <c r="D350" s="154">
        <v>4</v>
      </c>
      <c r="E350" s="263" t="s">
        <v>1590</v>
      </c>
      <c r="F350" s="259"/>
      <c r="G350" s="154" t="s">
        <v>256</v>
      </c>
      <c r="H350" s="154" t="s">
        <v>427</v>
      </c>
      <c r="I350" s="154" t="s">
        <v>334</v>
      </c>
      <c r="J350" s="269" t="s">
        <v>1591</v>
      </c>
      <c r="K350" s="288">
        <v>43812</v>
      </c>
      <c r="L350" s="271">
        <v>508825</v>
      </c>
      <c r="M350" s="289" t="s">
        <v>1592</v>
      </c>
      <c r="N350" s="271">
        <v>125.38</v>
      </c>
      <c r="O350" s="271"/>
      <c r="P350" s="290">
        <v>125.38</v>
      </c>
      <c r="Q350" s="271"/>
      <c r="R350" s="154"/>
      <c r="S350" s="189" t="s">
        <v>430</v>
      </c>
      <c r="T350" s="549" t="s">
        <v>1593</v>
      </c>
      <c r="U350" s="305">
        <v>466811.93</v>
      </c>
      <c r="V350" s="305">
        <f t="shared" si="22"/>
        <v>42013.07</v>
      </c>
      <c r="W350" s="306">
        <f t="shared" si="23"/>
        <v>508825</v>
      </c>
      <c r="X350" s="271">
        <f t="shared" si="20"/>
        <v>466811.93</v>
      </c>
      <c r="Y350" s="271">
        <f t="shared" si="21"/>
        <v>3723.18</v>
      </c>
      <c r="Z350" s="154"/>
    </row>
    <row r="351" s="243" customFormat="1" ht="22" customHeight="1" outlineLevel="2" spans="1:26">
      <c r="A351" s="154" t="s">
        <v>1594</v>
      </c>
      <c r="B351" s="259">
        <v>28</v>
      </c>
      <c r="C351" s="259">
        <v>1</v>
      </c>
      <c r="D351" s="154">
        <v>5</v>
      </c>
      <c r="E351" s="263" t="s">
        <v>1595</v>
      </c>
      <c r="F351" s="259"/>
      <c r="G351" s="154" t="s">
        <v>256</v>
      </c>
      <c r="H351" s="154" t="s">
        <v>427</v>
      </c>
      <c r="I351" s="154" t="s">
        <v>334</v>
      </c>
      <c r="J351" s="269" t="s">
        <v>1596</v>
      </c>
      <c r="K351" s="288">
        <v>43814</v>
      </c>
      <c r="L351" s="271">
        <v>519765</v>
      </c>
      <c r="M351" s="289" t="s">
        <v>1597</v>
      </c>
      <c r="N351" s="271">
        <v>125.75</v>
      </c>
      <c r="O351" s="271"/>
      <c r="P351" s="290">
        <v>125.75</v>
      </c>
      <c r="Q351" s="271"/>
      <c r="R351" s="154"/>
      <c r="S351" s="189" t="s">
        <v>430</v>
      </c>
      <c r="T351" s="308" t="s">
        <v>1598</v>
      </c>
      <c r="U351" s="305">
        <v>476848.62</v>
      </c>
      <c r="V351" s="305">
        <f t="shared" si="22"/>
        <v>42916.38</v>
      </c>
      <c r="W351" s="306">
        <f t="shared" si="23"/>
        <v>519765</v>
      </c>
      <c r="X351" s="271">
        <f t="shared" si="20"/>
        <v>476848.62</v>
      </c>
      <c r="Y351" s="271">
        <f t="shared" si="21"/>
        <v>3792.04</v>
      </c>
      <c r="Z351" s="154"/>
    </row>
    <row r="352" s="243" customFormat="1" ht="22" customHeight="1" outlineLevel="2" spans="1:26">
      <c r="A352" s="154" t="s">
        <v>1599</v>
      </c>
      <c r="B352" s="259">
        <v>28</v>
      </c>
      <c r="C352" s="259">
        <v>1</v>
      </c>
      <c r="D352" s="154">
        <v>5</v>
      </c>
      <c r="E352" s="263" t="s">
        <v>1600</v>
      </c>
      <c r="F352" s="259"/>
      <c r="G352" s="154" t="s">
        <v>256</v>
      </c>
      <c r="H352" s="154" t="s">
        <v>427</v>
      </c>
      <c r="I352" s="154" t="s">
        <v>334</v>
      </c>
      <c r="J352" s="269">
        <v>20190008044</v>
      </c>
      <c r="K352" s="288">
        <v>43821</v>
      </c>
      <c r="L352" s="271">
        <v>513723</v>
      </c>
      <c r="M352" s="289" t="s">
        <v>1601</v>
      </c>
      <c r="N352" s="271">
        <v>125.38</v>
      </c>
      <c r="O352" s="271"/>
      <c r="P352" s="290">
        <v>125.38</v>
      </c>
      <c r="Q352" s="271"/>
      <c r="R352" s="154"/>
      <c r="S352" s="189" t="s">
        <v>430</v>
      </c>
      <c r="T352" s="308" t="s">
        <v>1602</v>
      </c>
      <c r="U352" s="305">
        <v>471305.5</v>
      </c>
      <c r="V352" s="305">
        <f t="shared" si="22"/>
        <v>42417.5</v>
      </c>
      <c r="W352" s="306">
        <f t="shared" si="23"/>
        <v>513723</v>
      </c>
      <c r="X352" s="271">
        <f t="shared" si="20"/>
        <v>471305.5</v>
      </c>
      <c r="Y352" s="271">
        <f t="shared" si="21"/>
        <v>3759.02</v>
      </c>
      <c r="Z352" s="154"/>
    </row>
    <row r="353" s="243" customFormat="1" ht="22" customHeight="1" outlineLevel="2" spans="1:26">
      <c r="A353" s="154" t="s">
        <v>1603</v>
      </c>
      <c r="B353" s="259">
        <v>28</v>
      </c>
      <c r="C353" s="259">
        <v>1</v>
      </c>
      <c r="D353" s="154">
        <v>6</v>
      </c>
      <c r="E353" s="263" t="s">
        <v>1604</v>
      </c>
      <c r="F353" s="259"/>
      <c r="G353" s="154" t="s">
        <v>256</v>
      </c>
      <c r="H353" s="154" t="s">
        <v>427</v>
      </c>
      <c r="I353" s="154" t="s">
        <v>334</v>
      </c>
      <c r="J353" s="269" t="s">
        <v>1605</v>
      </c>
      <c r="K353" s="288">
        <v>43799</v>
      </c>
      <c r="L353" s="271">
        <v>524911</v>
      </c>
      <c r="M353" s="289" t="s">
        <v>1606</v>
      </c>
      <c r="N353" s="271">
        <v>125.75</v>
      </c>
      <c r="O353" s="271"/>
      <c r="P353" s="290">
        <v>125.75</v>
      </c>
      <c r="Q353" s="271"/>
      <c r="R353" s="154"/>
      <c r="S353" s="189" t="s">
        <v>430</v>
      </c>
      <c r="T353" s="308" t="s">
        <v>1607</v>
      </c>
      <c r="U353" s="305">
        <v>481569.72</v>
      </c>
      <c r="V353" s="305">
        <f t="shared" si="22"/>
        <v>43341.28</v>
      </c>
      <c r="W353" s="306">
        <f t="shared" si="23"/>
        <v>524911</v>
      </c>
      <c r="X353" s="271">
        <f t="shared" si="20"/>
        <v>481569.72</v>
      </c>
      <c r="Y353" s="271">
        <f t="shared" si="21"/>
        <v>3829.58</v>
      </c>
      <c r="Z353" s="154"/>
    </row>
    <row r="354" s="243" customFormat="1" ht="22" customHeight="1" outlineLevel="2" spans="1:26">
      <c r="A354" s="154" t="s">
        <v>1608</v>
      </c>
      <c r="B354" s="259">
        <v>28</v>
      </c>
      <c r="C354" s="259">
        <v>1</v>
      </c>
      <c r="D354" s="154">
        <v>6</v>
      </c>
      <c r="E354" s="263" t="s">
        <v>1609</v>
      </c>
      <c r="F354" s="259"/>
      <c r="G354" s="154" t="s">
        <v>256</v>
      </c>
      <c r="H354" s="154" t="s">
        <v>427</v>
      </c>
      <c r="I354" s="154" t="s">
        <v>334</v>
      </c>
      <c r="J354" s="269">
        <v>20190006096</v>
      </c>
      <c r="K354" s="288">
        <v>43790</v>
      </c>
      <c r="L354" s="271">
        <v>518853</v>
      </c>
      <c r="M354" s="289" t="s">
        <v>1610</v>
      </c>
      <c r="N354" s="271">
        <v>125.38</v>
      </c>
      <c r="O354" s="271"/>
      <c r="P354" s="290">
        <v>125.38</v>
      </c>
      <c r="Q354" s="271"/>
      <c r="R354" s="154"/>
      <c r="S354" s="189" t="s">
        <v>430</v>
      </c>
      <c r="T354" s="308" t="s">
        <v>1611</v>
      </c>
      <c r="U354" s="305">
        <v>476011.93</v>
      </c>
      <c r="V354" s="305">
        <f t="shared" si="22"/>
        <v>42841.07</v>
      </c>
      <c r="W354" s="306">
        <f t="shared" si="23"/>
        <v>518853</v>
      </c>
      <c r="X354" s="271">
        <f t="shared" si="20"/>
        <v>476011.93</v>
      </c>
      <c r="Y354" s="271">
        <f t="shared" si="21"/>
        <v>3796.55</v>
      </c>
      <c r="Z354" s="154"/>
    </row>
    <row r="355" s="243" customFormat="1" ht="22" customHeight="1" outlineLevel="2" spans="1:26">
      <c r="A355" s="154" t="s">
        <v>1612</v>
      </c>
      <c r="B355" s="259">
        <v>28</v>
      </c>
      <c r="C355" s="259">
        <v>1</v>
      </c>
      <c r="D355" s="154">
        <v>7</v>
      </c>
      <c r="E355" s="263" t="s">
        <v>1613</v>
      </c>
      <c r="F355" s="259"/>
      <c r="G355" s="154" t="s">
        <v>256</v>
      </c>
      <c r="H355" s="154" t="s">
        <v>427</v>
      </c>
      <c r="I355" s="154" t="s">
        <v>334</v>
      </c>
      <c r="J355" s="269">
        <v>20200000206</v>
      </c>
      <c r="K355" s="288">
        <v>43835</v>
      </c>
      <c r="L355" s="271">
        <v>530173</v>
      </c>
      <c r="M355" s="289" t="s">
        <v>1614</v>
      </c>
      <c r="N355" s="271">
        <v>125.75</v>
      </c>
      <c r="O355" s="271"/>
      <c r="P355" s="290">
        <v>125.75</v>
      </c>
      <c r="Q355" s="271"/>
      <c r="R355" s="154"/>
      <c r="S355" s="189" t="s">
        <v>430</v>
      </c>
      <c r="T355" s="308" t="s">
        <v>1615</v>
      </c>
      <c r="U355" s="305">
        <v>486397.25</v>
      </c>
      <c r="V355" s="305">
        <f t="shared" si="22"/>
        <v>43775.75</v>
      </c>
      <c r="W355" s="306">
        <f t="shared" si="23"/>
        <v>530173</v>
      </c>
      <c r="X355" s="271">
        <f t="shared" si="20"/>
        <v>486397.25</v>
      </c>
      <c r="Y355" s="271">
        <f t="shared" si="21"/>
        <v>3867.97</v>
      </c>
      <c r="Z355" s="154"/>
    </row>
    <row r="356" s="243" customFormat="1" ht="22" customHeight="1" outlineLevel="2" spans="1:26">
      <c r="A356" s="154" t="s">
        <v>1616</v>
      </c>
      <c r="B356" s="259">
        <v>28</v>
      </c>
      <c r="C356" s="259">
        <v>1</v>
      </c>
      <c r="D356" s="154">
        <v>7</v>
      </c>
      <c r="E356" s="263" t="s">
        <v>1617</v>
      </c>
      <c r="F356" s="259"/>
      <c r="G356" s="154" t="s">
        <v>256</v>
      </c>
      <c r="H356" s="154" t="s">
        <v>427</v>
      </c>
      <c r="I356" s="154" t="s">
        <v>334</v>
      </c>
      <c r="J356" s="269">
        <v>20200001585</v>
      </c>
      <c r="K356" s="288">
        <v>43916</v>
      </c>
      <c r="L356" s="271">
        <v>524100</v>
      </c>
      <c r="M356" s="289" t="s">
        <v>1618</v>
      </c>
      <c r="N356" s="271">
        <v>125.38</v>
      </c>
      <c r="O356" s="271"/>
      <c r="P356" s="290">
        <v>125.38</v>
      </c>
      <c r="Q356" s="271"/>
      <c r="R356" s="154"/>
      <c r="S356" s="189" t="s">
        <v>430</v>
      </c>
      <c r="T356" s="308" t="s">
        <v>1619</v>
      </c>
      <c r="U356" s="305">
        <v>480825.69</v>
      </c>
      <c r="V356" s="305">
        <f t="shared" si="22"/>
        <v>43274.31</v>
      </c>
      <c r="W356" s="306">
        <f t="shared" si="23"/>
        <v>524100</v>
      </c>
      <c r="X356" s="271">
        <f t="shared" si="20"/>
        <v>480825.69</v>
      </c>
      <c r="Y356" s="271">
        <f t="shared" si="21"/>
        <v>3834.95</v>
      </c>
      <c r="Z356" s="154"/>
    </row>
    <row r="357" s="243" customFormat="1" ht="22" customHeight="1" outlineLevel="2" spans="1:26">
      <c r="A357" s="154" t="s">
        <v>1620</v>
      </c>
      <c r="B357" s="259">
        <v>28</v>
      </c>
      <c r="C357" s="259">
        <v>1</v>
      </c>
      <c r="D357" s="154">
        <v>8</v>
      </c>
      <c r="E357" s="263" t="s">
        <v>1621</v>
      </c>
      <c r="F357" s="259"/>
      <c r="G357" s="154" t="s">
        <v>256</v>
      </c>
      <c r="H357" s="154" t="s">
        <v>427</v>
      </c>
      <c r="I357" s="154" t="s">
        <v>334</v>
      </c>
      <c r="J357" s="269">
        <v>20190006912</v>
      </c>
      <c r="K357" s="288">
        <v>43806</v>
      </c>
      <c r="L357" s="271">
        <v>535553</v>
      </c>
      <c r="M357" s="289" t="s">
        <v>1622</v>
      </c>
      <c r="N357" s="271">
        <v>125.75</v>
      </c>
      <c r="O357" s="271"/>
      <c r="P357" s="290">
        <v>125.75</v>
      </c>
      <c r="Q357" s="271"/>
      <c r="R357" s="154"/>
      <c r="S357" s="189" t="s">
        <v>430</v>
      </c>
      <c r="T357" s="308" t="s">
        <v>1623</v>
      </c>
      <c r="U357" s="305">
        <v>491333.03</v>
      </c>
      <c r="V357" s="305">
        <f t="shared" si="22"/>
        <v>44219.97</v>
      </c>
      <c r="W357" s="306">
        <f t="shared" si="23"/>
        <v>535553</v>
      </c>
      <c r="X357" s="271">
        <f t="shared" si="20"/>
        <v>491333.03</v>
      </c>
      <c r="Y357" s="271">
        <f t="shared" si="21"/>
        <v>3907.22</v>
      </c>
      <c r="Z357" s="154"/>
    </row>
    <row r="358" s="243" customFormat="1" ht="22" customHeight="1" outlineLevel="2" spans="1:26">
      <c r="A358" s="154" t="s">
        <v>1624</v>
      </c>
      <c r="B358" s="259">
        <v>28</v>
      </c>
      <c r="C358" s="259">
        <v>1</v>
      </c>
      <c r="D358" s="154">
        <v>8</v>
      </c>
      <c r="E358" s="263" t="s">
        <v>1625</v>
      </c>
      <c r="F358" s="259"/>
      <c r="G358" s="154" t="s">
        <v>256</v>
      </c>
      <c r="H358" s="154" t="s">
        <v>427</v>
      </c>
      <c r="I358" s="154" t="s">
        <v>334</v>
      </c>
      <c r="J358" s="269" t="s">
        <v>1626</v>
      </c>
      <c r="K358" s="288">
        <v>43795</v>
      </c>
      <c r="L358" s="271">
        <v>529464</v>
      </c>
      <c r="M358" s="289" t="s">
        <v>1627</v>
      </c>
      <c r="N358" s="271">
        <v>125.38</v>
      </c>
      <c r="O358" s="271"/>
      <c r="P358" s="290">
        <v>125.38</v>
      </c>
      <c r="Q358" s="271"/>
      <c r="R358" s="154"/>
      <c r="S358" s="189" t="s">
        <v>430</v>
      </c>
      <c r="T358" s="308" t="s">
        <v>1628</v>
      </c>
      <c r="U358" s="305">
        <v>485746.79</v>
      </c>
      <c r="V358" s="305">
        <f t="shared" si="22"/>
        <v>43717.21</v>
      </c>
      <c r="W358" s="306">
        <f t="shared" si="23"/>
        <v>529464</v>
      </c>
      <c r="X358" s="271">
        <f t="shared" si="20"/>
        <v>485746.79</v>
      </c>
      <c r="Y358" s="271">
        <f t="shared" si="21"/>
        <v>3874.2</v>
      </c>
      <c r="Z358" s="154"/>
    </row>
    <row r="359" s="243" customFormat="1" ht="22" customHeight="1" outlineLevel="2" spans="1:26">
      <c r="A359" s="154" t="s">
        <v>1629</v>
      </c>
      <c r="B359" s="259">
        <v>28</v>
      </c>
      <c r="C359" s="259">
        <v>1</v>
      </c>
      <c r="D359" s="154">
        <v>9</v>
      </c>
      <c r="E359" s="263" t="s">
        <v>1630</v>
      </c>
      <c r="F359" s="259"/>
      <c r="G359" s="154" t="s">
        <v>256</v>
      </c>
      <c r="H359" s="154" t="s">
        <v>427</v>
      </c>
      <c r="I359" s="154" t="s">
        <v>334</v>
      </c>
      <c r="J359" s="269">
        <v>20190007575</v>
      </c>
      <c r="K359" s="288">
        <v>43815</v>
      </c>
      <c r="L359" s="271">
        <v>540933</v>
      </c>
      <c r="M359" s="289" t="s">
        <v>1631</v>
      </c>
      <c r="N359" s="271">
        <v>125.75</v>
      </c>
      <c r="O359" s="271"/>
      <c r="P359" s="290">
        <v>125.75</v>
      </c>
      <c r="Q359" s="271"/>
      <c r="R359" s="154"/>
      <c r="S359" s="189" t="s">
        <v>430</v>
      </c>
      <c r="T359" s="308" t="s">
        <v>1632</v>
      </c>
      <c r="U359" s="305">
        <v>496268.81</v>
      </c>
      <c r="V359" s="305">
        <f t="shared" si="22"/>
        <v>44664.19</v>
      </c>
      <c r="W359" s="306">
        <f t="shared" si="23"/>
        <v>540933</v>
      </c>
      <c r="X359" s="271">
        <f t="shared" si="20"/>
        <v>496268.81</v>
      </c>
      <c r="Y359" s="271">
        <f t="shared" si="21"/>
        <v>3946.47</v>
      </c>
      <c r="Z359" s="154"/>
    </row>
    <row r="360" s="243" customFormat="1" ht="22" customHeight="1" outlineLevel="2" spans="1:26">
      <c r="A360" s="154" t="s">
        <v>1633</v>
      </c>
      <c r="B360" s="259">
        <v>28</v>
      </c>
      <c r="C360" s="259">
        <v>1</v>
      </c>
      <c r="D360" s="154">
        <v>9</v>
      </c>
      <c r="E360" s="263" t="s">
        <v>1634</v>
      </c>
      <c r="F360" s="259"/>
      <c r="G360" s="154" t="s">
        <v>256</v>
      </c>
      <c r="H360" s="154" t="s">
        <v>427</v>
      </c>
      <c r="I360" s="154" t="s">
        <v>334</v>
      </c>
      <c r="J360" s="269">
        <v>20190006108</v>
      </c>
      <c r="K360" s="288">
        <v>43790</v>
      </c>
      <c r="L360" s="271">
        <v>534945</v>
      </c>
      <c r="M360" s="289" t="s">
        <v>1635</v>
      </c>
      <c r="N360" s="271">
        <v>125.38</v>
      </c>
      <c r="O360" s="271"/>
      <c r="P360" s="290">
        <v>125.38</v>
      </c>
      <c r="Q360" s="271"/>
      <c r="R360" s="154"/>
      <c r="S360" s="189" t="s">
        <v>430</v>
      </c>
      <c r="T360" s="308" t="s">
        <v>1636</v>
      </c>
      <c r="U360" s="305">
        <v>490775.23</v>
      </c>
      <c r="V360" s="305">
        <f t="shared" si="22"/>
        <v>44169.77</v>
      </c>
      <c r="W360" s="306">
        <f t="shared" si="23"/>
        <v>534945</v>
      </c>
      <c r="X360" s="271">
        <f t="shared" si="20"/>
        <v>490775.23</v>
      </c>
      <c r="Y360" s="271">
        <f t="shared" si="21"/>
        <v>3914.3</v>
      </c>
      <c r="Z360" s="154"/>
    </row>
    <row r="361" s="243" customFormat="1" ht="22" customHeight="1" outlineLevel="2" spans="1:26">
      <c r="A361" s="154" t="s">
        <v>1637</v>
      </c>
      <c r="B361" s="259">
        <v>28</v>
      </c>
      <c r="C361" s="259">
        <v>1</v>
      </c>
      <c r="D361" s="154">
        <v>10</v>
      </c>
      <c r="E361" s="263" t="s">
        <v>1638</v>
      </c>
      <c r="F361" s="259"/>
      <c r="G361" s="154" t="s">
        <v>256</v>
      </c>
      <c r="H361" s="154" t="s">
        <v>427</v>
      </c>
      <c r="I361" s="154" t="s">
        <v>334</v>
      </c>
      <c r="J361" s="269">
        <v>20190006463</v>
      </c>
      <c r="K361" s="288">
        <v>43796</v>
      </c>
      <c r="L361" s="271">
        <v>543739</v>
      </c>
      <c r="M361" s="289" t="s">
        <v>1639</v>
      </c>
      <c r="N361" s="271">
        <v>125.75</v>
      </c>
      <c r="O361" s="271"/>
      <c r="P361" s="290">
        <v>125.75</v>
      </c>
      <c r="Q361" s="271"/>
      <c r="R361" s="154"/>
      <c r="S361" s="189" t="s">
        <v>430</v>
      </c>
      <c r="T361" s="308" t="s">
        <v>1640</v>
      </c>
      <c r="U361" s="305">
        <v>498843.12</v>
      </c>
      <c r="V361" s="305">
        <f t="shared" si="22"/>
        <v>44895.88</v>
      </c>
      <c r="W361" s="306">
        <f t="shared" si="23"/>
        <v>543739</v>
      </c>
      <c r="X361" s="271">
        <f t="shared" si="20"/>
        <v>498843.12</v>
      </c>
      <c r="Y361" s="271">
        <f t="shared" si="21"/>
        <v>3966.94</v>
      </c>
      <c r="Z361" s="154"/>
    </row>
    <row r="362" s="243" customFormat="1" ht="22" customHeight="1" outlineLevel="2" spans="1:26">
      <c r="A362" s="154" t="s">
        <v>1641</v>
      </c>
      <c r="B362" s="259">
        <v>28</v>
      </c>
      <c r="C362" s="259">
        <v>1</v>
      </c>
      <c r="D362" s="154">
        <v>10</v>
      </c>
      <c r="E362" s="263" t="s">
        <v>1642</v>
      </c>
      <c r="F362" s="259"/>
      <c r="G362" s="154" t="s">
        <v>256</v>
      </c>
      <c r="H362" s="154" t="s">
        <v>427</v>
      </c>
      <c r="I362" s="154" t="s">
        <v>334</v>
      </c>
      <c r="J362" s="269" t="s">
        <v>1643</v>
      </c>
      <c r="K362" s="288">
        <v>43788</v>
      </c>
      <c r="L362" s="271">
        <v>537510</v>
      </c>
      <c r="M362" s="289" t="s">
        <v>1644</v>
      </c>
      <c r="N362" s="271">
        <v>125.38</v>
      </c>
      <c r="O362" s="271"/>
      <c r="P362" s="290">
        <v>125.38</v>
      </c>
      <c r="Q362" s="271"/>
      <c r="R362" s="154"/>
      <c r="S362" s="189" t="s">
        <v>430</v>
      </c>
      <c r="T362" s="308" t="s">
        <v>1645</v>
      </c>
      <c r="U362" s="305">
        <v>493128.44</v>
      </c>
      <c r="V362" s="305">
        <f t="shared" si="22"/>
        <v>44381.56</v>
      </c>
      <c r="W362" s="306">
        <f t="shared" si="23"/>
        <v>537510</v>
      </c>
      <c r="X362" s="271">
        <f t="shared" si="20"/>
        <v>493128.44</v>
      </c>
      <c r="Y362" s="271">
        <f t="shared" si="21"/>
        <v>3933.07</v>
      </c>
      <c r="Z362" s="154"/>
    </row>
    <row r="363" s="243" customFormat="1" ht="22" customHeight="1" outlineLevel="2" spans="1:26">
      <c r="A363" s="154" t="s">
        <v>1646</v>
      </c>
      <c r="B363" s="259">
        <v>28</v>
      </c>
      <c r="C363" s="259">
        <v>1</v>
      </c>
      <c r="D363" s="154">
        <v>11</v>
      </c>
      <c r="E363" s="263" t="s">
        <v>1647</v>
      </c>
      <c r="F363" s="259"/>
      <c r="G363" s="154" t="s">
        <v>256</v>
      </c>
      <c r="H363" s="154" t="s">
        <v>427</v>
      </c>
      <c r="I363" s="154" t="s">
        <v>334</v>
      </c>
      <c r="J363" s="269" t="s">
        <v>1648</v>
      </c>
      <c r="K363" s="288">
        <v>43948</v>
      </c>
      <c r="L363" s="271">
        <v>514853</v>
      </c>
      <c r="M363" s="289" t="s">
        <v>1649</v>
      </c>
      <c r="N363" s="271">
        <v>125.75</v>
      </c>
      <c r="O363" s="271"/>
      <c r="P363" s="290">
        <v>125.75</v>
      </c>
      <c r="Q363" s="271"/>
      <c r="R363" s="154"/>
      <c r="S363" s="189" t="s">
        <v>430</v>
      </c>
      <c r="T363" s="308" t="s">
        <v>1650</v>
      </c>
      <c r="U363" s="305">
        <v>472342.2</v>
      </c>
      <c r="V363" s="305">
        <f t="shared" si="22"/>
        <v>42510.8</v>
      </c>
      <c r="W363" s="306">
        <f t="shared" si="23"/>
        <v>514853</v>
      </c>
      <c r="X363" s="271">
        <f t="shared" si="20"/>
        <v>472342.2</v>
      </c>
      <c r="Y363" s="271">
        <f t="shared" si="21"/>
        <v>3756.2</v>
      </c>
      <c r="Z363" s="154"/>
    </row>
    <row r="364" s="243" customFormat="1" ht="22" customHeight="1" outlineLevel="2" spans="1:26">
      <c r="A364" s="154" t="s">
        <v>1651</v>
      </c>
      <c r="B364" s="259">
        <v>28</v>
      </c>
      <c r="C364" s="259">
        <v>1</v>
      </c>
      <c r="D364" s="154">
        <v>11</v>
      </c>
      <c r="E364" s="263" t="s">
        <v>1652</v>
      </c>
      <c r="F364" s="259"/>
      <c r="G364" s="154" t="s">
        <v>256</v>
      </c>
      <c r="H364" s="154" t="s">
        <v>427</v>
      </c>
      <c r="I364" s="154" t="s">
        <v>334</v>
      </c>
      <c r="J364" s="269">
        <v>20190006304</v>
      </c>
      <c r="K364" s="288">
        <v>43794</v>
      </c>
      <c r="L364" s="271">
        <v>508825</v>
      </c>
      <c r="M364" s="289" t="s">
        <v>1653</v>
      </c>
      <c r="N364" s="271">
        <v>125.38</v>
      </c>
      <c r="O364" s="271"/>
      <c r="P364" s="290">
        <v>125.38</v>
      </c>
      <c r="Q364" s="271"/>
      <c r="R364" s="154"/>
      <c r="S364" s="189" t="s">
        <v>430</v>
      </c>
      <c r="T364" s="308" t="s">
        <v>1654</v>
      </c>
      <c r="U364" s="305">
        <v>466811.93</v>
      </c>
      <c r="V364" s="305">
        <f t="shared" si="22"/>
        <v>42013.07</v>
      </c>
      <c r="W364" s="306">
        <f t="shared" si="23"/>
        <v>508825</v>
      </c>
      <c r="X364" s="271">
        <f t="shared" si="20"/>
        <v>466811.93</v>
      </c>
      <c r="Y364" s="271">
        <f t="shared" si="21"/>
        <v>3723.18</v>
      </c>
      <c r="Z364" s="154"/>
    </row>
    <row r="365" s="243" customFormat="1" ht="22" customHeight="1" outlineLevel="2" spans="1:26">
      <c r="A365" s="154" t="s">
        <v>1655</v>
      </c>
      <c r="B365" s="259">
        <v>28</v>
      </c>
      <c r="C365" s="259">
        <v>2</v>
      </c>
      <c r="D365" s="154">
        <v>1</v>
      </c>
      <c r="E365" s="263" t="s">
        <v>1656</v>
      </c>
      <c r="F365" s="259"/>
      <c r="G365" s="154" t="s">
        <v>256</v>
      </c>
      <c r="H365" s="154" t="s">
        <v>427</v>
      </c>
      <c r="I365" s="154" t="s">
        <v>334</v>
      </c>
      <c r="J365" s="269">
        <v>20200000792</v>
      </c>
      <c r="K365" s="288">
        <v>43845</v>
      </c>
      <c r="L365" s="271">
        <v>809495</v>
      </c>
      <c r="M365" s="289" t="s">
        <v>1657</v>
      </c>
      <c r="N365" s="271">
        <v>125.32</v>
      </c>
      <c r="O365" s="271"/>
      <c r="P365" s="290">
        <v>125.32</v>
      </c>
      <c r="Q365" s="271"/>
      <c r="R365" s="154"/>
      <c r="S365" s="189" t="s">
        <v>430</v>
      </c>
      <c r="T365" s="308" t="s">
        <v>1658</v>
      </c>
      <c r="U365" s="305">
        <v>742655.96</v>
      </c>
      <c r="V365" s="305">
        <f t="shared" si="22"/>
        <v>66839.04</v>
      </c>
      <c r="W365" s="306">
        <f t="shared" si="23"/>
        <v>809495</v>
      </c>
      <c r="X365" s="271">
        <f t="shared" si="20"/>
        <v>742655.96</v>
      </c>
      <c r="Y365" s="271">
        <f t="shared" si="21"/>
        <v>5926.08</v>
      </c>
      <c r="Z365" s="154"/>
    </row>
    <row r="366" s="243" customFormat="1" ht="22" customHeight="1" outlineLevel="2" spans="1:26">
      <c r="A366" s="154" t="s">
        <v>1659</v>
      </c>
      <c r="B366" s="259">
        <v>28</v>
      </c>
      <c r="C366" s="259">
        <v>2</v>
      </c>
      <c r="D366" s="154">
        <v>1</v>
      </c>
      <c r="E366" s="263" t="s">
        <v>1660</v>
      </c>
      <c r="F366" s="259"/>
      <c r="G366" s="154" t="s">
        <v>256</v>
      </c>
      <c r="H366" s="154" t="s">
        <v>427</v>
      </c>
      <c r="I366" s="154" t="s">
        <v>334</v>
      </c>
      <c r="J366" s="269" t="s">
        <v>1661</v>
      </c>
      <c r="K366" s="288">
        <v>43820</v>
      </c>
      <c r="L366" s="271">
        <v>796399</v>
      </c>
      <c r="M366" s="289" t="s">
        <v>1662</v>
      </c>
      <c r="N366" s="271">
        <v>125.71</v>
      </c>
      <c r="O366" s="271"/>
      <c r="P366" s="290">
        <v>125.71</v>
      </c>
      <c r="Q366" s="271"/>
      <c r="R366" s="154"/>
      <c r="S366" s="189" t="s">
        <v>430</v>
      </c>
      <c r="T366" s="308" t="s">
        <v>1663</v>
      </c>
      <c r="U366" s="305">
        <v>730641.28</v>
      </c>
      <c r="V366" s="305">
        <f t="shared" si="22"/>
        <v>65757.72</v>
      </c>
      <c r="W366" s="306">
        <f t="shared" si="23"/>
        <v>796399</v>
      </c>
      <c r="X366" s="271">
        <f t="shared" si="20"/>
        <v>730641.28</v>
      </c>
      <c r="Y366" s="271">
        <f t="shared" si="21"/>
        <v>5812.12</v>
      </c>
      <c r="Z366" s="154"/>
    </row>
    <row r="367" s="243" customFormat="1" ht="22" customHeight="1" outlineLevel="2" spans="1:26">
      <c r="A367" s="154" t="s">
        <v>1664</v>
      </c>
      <c r="B367" s="259">
        <v>28</v>
      </c>
      <c r="C367" s="259">
        <v>2</v>
      </c>
      <c r="D367" s="154">
        <v>2</v>
      </c>
      <c r="E367" s="263" t="s">
        <v>1665</v>
      </c>
      <c r="F367" s="259"/>
      <c r="G367" s="154" t="s">
        <v>256</v>
      </c>
      <c r="H367" s="154" t="s">
        <v>427</v>
      </c>
      <c r="I367" s="154" t="s">
        <v>334</v>
      </c>
      <c r="J367" s="269">
        <v>20190006617</v>
      </c>
      <c r="K367" s="288">
        <v>43799</v>
      </c>
      <c r="L367" s="271">
        <v>499711</v>
      </c>
      <c r="M367" s="289" t="s">
        <v>1666</v>
      </c>
      <c r="N367" s="271">
        <v>125.32</v>
      </c>
      <c r="O367" s="271"/>
      <c r="P367" s="290">
        <v>125.32</v>
      </c>
      <c r="Q367" s="271"/>
      <c r="R367" s="154"/>
      <c r="S367" s="189" t="s">
        <v>430</v>
      </c>
      <c r="T367" s="308" t="s">
        <v>1667</v>
      </c>
      <c r="U367" s="305">
        <v>458450.46</v>
      </c>
      <c r="V367" s="305">
        <f t="shared" si="22"/>
        <v>41260.54</v>
      </c>
      <c r="W367" s="306">
        <f t="shared" si="23"/>
        <v>499711</v>
      </c>
      <c r="X367" s="271">
        <f t="shared" si="20"/>
        <v>458450.46</v>
      </c>
      <c r="Y367" s="271">
        <f t="shared" si="21"/>
        <v>3658.24</v>
      </c>
      <c r="Z367" s="154"/>
    </row>
    <row r="368" s="243" customFormat="1" ht="22" customHeight="1" outlineLevel="2" spans="1:26">
      <c r="A368" s="154" t="s">
        <v>1668</v>
      </c>
      <c r="B368" s="259">
        <v>28</v>
      </c>
      <c r="C368" s="259">
        <v>2</v>
      </c>
      <c r="D368" s="154">
        <v>2</v>
      </c>
      <c r="E368" s="263" t="s">
        <v>1669</v>
      </c>
      <c r="F368" s="259"/>
      <c r="G368" s="154" t="s">
        <v>256</v>
      </c>
      <c r="H368" s="154" t="s">
        <v>427</v>
      </c>
      <c r="I368" s="154" t="s">
        <v>334</v>
      </c>
      <c r="J368" s="269" t="s">
        <v>1670</v>
      </c>
      <c r="K368" s="288">
        <v>43927</v>
      </c>
      <c r="L368" s="271">
        <v>503178</v>
      </c>
      <c r="M368" s="289" t="s">
        <v>1671</v>
      </c>
      <c r="N368" s="271">
        <v>125.81</v>
      </c>
      <c r="O368" s="271"/>
      <c r="P368" s="290">
        <v>125.81</v>
      </c>
      <c r="Q368" s="271"/>
      <c r="R368" s="154"/>
      <c r="S368" s="189" t="s">
        <v>430</v>
      </c>
      <c r="T368" s="308" t="s">
        <v>1672</v>
      </c>
      <c r="U368" s="305">
        <v>461631.19</v>
      </c>
      <c r="V368" s="305">
        <f t="shared" si="22"/>
        <v>41546.81</v>
      </c>
      <c r="W368" s="306">
        <f t="shared" si="23"/>
        <v>503178</v>
      </c>
      <c r="X368" s="271">
        <f t="shared" si="20"/>
        <v>461631.19</v>
      </c>
      <c r="Y368" s="271">
        <f t="shared" si="21"/>
        <v>3669.27</v>
      </c>
      <c r="Z368" s="154"/>
    </row>
    <row r="369" s="243" customFormat="1" ht="22" customHeight="1" outlineLevel="2" spans="1:26">
      <c r="A369" s="154" t="s">
        <v>1673</v>
      </c>
      <c r="B369" s="259">
        <v>28</v>
      </c>
      <c r="C369" s="259">
        <v>2</v>
      </c>
      <c r="D369" s="154">
        <v>3</v>
      </c>
      <c r="E369" s="263" t="s">
        <v>1674</v>
      </c>
      <c r="F369" s="259"/>
      <c r="G369" s="154" t="s">
        <v>256</v>
      </c>
      <c r="H369" s="154" t="s">
        <v>427</v>
      </c>
      <c r="I369" s="154" t="s">
        <v>334</v>
      </c>
      <c r="J369" s="269">
        <v>20190006115</v>
      </c>
      <c r="K369" s="288">
        <v>43790</v>
      </c>
      <c r="L369" s="271">
        <v>504023</v>
      </c>
      <c r="M369" s="289" t="s">
        <v>1675</v>
      </c>
      <c r="N369" s="271">
        <v>125.32</v>
      </c>
      <c r="O369" s="271"/>
      <c r="P369" s="290">
        <v>125.32</v>
      </c>
      <c r="Q369" s="271"/>
      <c r="R369" s="154"/>
      <c r="S369" s="189" t="s">
        <v>430</v>
      </c>
      <c r="T369" s="308" t="s">
        <v>1676</v>
      </c>
      <c r="U369" s="305">
        <v>462406.42</v>
      </c>
      <c r="V369" s="305">
        <f t="shared" si="22"/>
        <v>41616.58</v>
      </c>
      <c r="W369" s="306">
        <f t="shared" si="23"/>
        <v>504023</v>
      </c>
      <c r="X369" s="271">
        <f t="shared" si="20"/>
        <v>462406.42</v>
      </c>
      <c r="Y369" s="271">
        <f t="shared" si="21"/>
        <v>3689.81</v>
      </c>
      <c r="Z369" s="154"/>
    </row>
    <row r="370" s="243" customFormat="1" ht="22" customHeight="1" outlineLevel="2" spans="1:26">
      <c r="A370" s="154" t="s">
        <v>1677</v>
      </c>
      <c r="B370" s="259">
        <v>28</v>
      </c>
      <c r="C370" s="259">
        <v>2</v>
      </c>
      <c r="D370" s="154">
        <v>3</v>
      </c>
      <c r="E370" s="263" t="s">
        <v>1678</v>
      </c>
      <c r="F370" s="259"/>
      <c r="G370" s="154" t="s">
        <v>256</v>
      </c>
      <c r="H370" s="154" t="s">
        <v>427</v>
      </c>
      <c r="I370" s="154" t="s">
        <v>334</v>
      </c>
      <c r="J370" s="269">
        <v>20190006244</v>
      </c>
      <c r="K370" s="288">
        <v>43792</v>
      </c>
      <c r="L370" s="271">
        <v>507507</v>
      </c>
      <c r="M370" s="289" t="s">
        <v>1679</v>
      </c>
      <c r="N370" s="271">
        <v>125.81</v>
      </c>
      <c r="O370" s="271"/>
      <c r="P370" s="290">
        <v>125.81</v>
      </c>
      <c r="Q370" s="271"/>
      <c r="R370" s="154"/>
      <c r="S370" s="189" t="s">
        <v>430</v>
      </c>
      <c r="T370" s="308" t="s">
        <v>1680</v>
      </c>
      <c r="U370" s="305">
        <v>465602.75</v>
      </c>
      <c r="V370" s="305">
        <f t="shared" si="22"/>
        <v>41904.25</v>
      </c>
      <c r="W370" s="306">
        <f t="shared" si="23"/>
        <v>507507</v>
      </c>
      <c r="X370" s="271">
        <f t="shared" si="20"/>
        <v>465602.75</v>
      </c>
      <c r="Y370" s="271">
        <f t="shared" si="21"/>
        <v>3700.84</v>
      </c>
      <c r="Z370" s="154"/>
    </row>
    <row r="371" s="243" customFormat="1" ht="22" customHeight="1" outlineLevel="2" spans="1:26">
      <c r="A371" s="154" t="s">
        <v>1681</v>
      </c>
      <c r="B371" s="259">
        <v>28</v>
      </c>
      <c r="C371" s="259">
        <v>2</v>
      </c>
      <c r="D371" s="154">
        <v>4</v>
      </c>
      <c r="E371" s="263" t="s">
        <v>1682</v>
      </c>
      <c r="F371" s="259"/>
      <c r="G371" s="154" t="s">
        <v>256</v>
      </c>
      <c r="H371" s="154" t="s">
        <v>427</v>
      </c>
      <c r="I371" s="154" t="s">
        <v>334</v>
      </c>
      <c r="J371" s="269">
        <v>20190007817</v>
      </c>
      <c r="K371" s="288">
        <v>43818</v>
      </c>
      <c r="L371" s="271">
        <v>508685</v>
      </c>
      <c r="M371" s="289" t="s">
        <v>1683</v>
      </c>
      <c r="N371" s="271">
        <v>125.32</v>
      </c>
      <c r="O371" s="271"/>
      <c r="P371" s="290">
        <v>125.32</v>
      </c>
      <c r="Q371" s="271"/>
      <c r="R371" s="154"/>
      <c r="S371" s="189" t="s">
        <v>430</v>
      </c>
      <c r="T371" s="308" t="s">
        <v>1684</v>
      </c>
      <c r="U371" s="305">
        <v>466683.49</v>
      </c>
      <c r="V371" s="305">
        <f t="shared" si="22"/>
        <v>42001.51</v>
      </c>
      <c r="W371" s="306">
        <f t="shared" si="23"/>
        <v>508685</v>
      </c>
      <c r="X371" s="271">
        <f t="shared" si="20"/>
        <v>466683.49</v>
      </c>
      <c r="Y371" s="271">
        <f t="shared" si="21"/>
        <v>3723.93</v>
      </c>
      <c r="Z371" s="154"/>
    </row>
    <row r="372" s="243" customFormat="1" ht="22" customHeight="1" outlineLevel="2" spans="1:26">
      <c r="A372" s="154" t="s">
        <v>1685</v>
      </c>
      <c r="B372" s="259">
        <v>28</v>
      </c>
      <c r="C372" s="259">
        <v>2</v>
      </c>
      <c r="D372" s="154">
        <v>4</v>
      </c>
      <c r="E372" s="263" t="s">
        <v>1686</v>
      </c>
      <c r="F372" s="259"/>
      <c r="G372" s="154" t="s">
        <v>256</v>
      </c>
      <c r="H372" s="154" t="s">
        <v>427</v>
      </c>
      <c r="I372" s="154" t="s">
        <v>334</v>
      </c>
      <c r="J372" s="269">
        <v>20190006742</v>
      </c>
      <c r="K372" s="288">
        <v>43803</v>
      </c>
      <c r="L372" s="271">
        <v>512187</v>
      </c>
      <c r="M372" s="289" t="s">
        <v>1687</v>
      </c>
      <c r="N372" s="271">
        <v>125.81</v>
      </c>
      <c r="O372" s="271"/>
      <c r="P372" s="290">
        <v>125.81</v>
      </c>
      <c r="Q372" s="271"/>
      <c r="R372" s="154"/>
      <c r="S372" s="189" t="s">
        <v>430</v>
      </c>
      <c r="T372" s="308" t="s">
        <v>1688</v>
      </c>
      <c r="U372" s="305">
        <v>469896.33</v>
      </c>
      <c r="V372" s="305">
        <f t="shared" si="22"/>
        <v>42290.67</v>
      </c>
      <c r="W372" s="306">
        <f t="shared" si="23"/>
        <v>512187</v>
      </c>
      <c r="X372" s="271">
        <f t="shared" si="20"/>
        <v>469896.33</v>
      </c>
      <c r="Y372" s="271">
        <f t="shared" si="21"/>
        <v>3734.97</v>
      </c>
      <c r="Z372" s="154"/>
    </row>
    <row r="373" s="243" customFormat="1" ht="22" customHeight="1" outlineLevel="2" spans="1:26">
      <c r="A373" s="154" t="s">
        <v>1689</v>
      </c>
      <c r="B373" s="259">
        <v>28</v>
      </c>
      <c r="C373" s="259">
        <v>2</v>
      </c>
      <c r="D373" s="154">
        <v>5</v>
      </c>
      <c r="E373" s="263" t="s">
        <v>1690</v>
      </c>
      <c r="F373" s="259"/>
      <c r="G373" s="154" t="s">
        <v>256</v>
      </c>
      <c r="H373" s="154" t="s">
        <v>427</v>
      </c>
      <c r="I373" s="154" t="s">
        <v>334</v>
      </c>
      <c r="J373" s="269">
        <v>20190006109</v>
      </c>
      <c r="K373" s="288">
        <v>43790</v>
      </c>
      <c r="L373" s="271">
        <v>513580</v>
      </c>
      <c r="M373" s="289" t="s">
        <v>1691</v>
      </c>
      <c r="N373" s="271">
        <v>125.32</v>
      </c>
      <c r="O373" s="271"/>
      <c r="P373" s="290">
        <v>125.32</v>
      </c>
      <c r="Q373" s="271"/>
      <c r="R373" s="154"/>
      <c r="S373" s="189" t="s">
        <v>430</v>
      </c>
      <c r="T373" s="308" t="s">
        <v>1692</v>
      </c>
      <c r="U373" s="305">
        <v>471174.31</v>
      </c>
      <c r="V373" s="305">
        <f t="shared" si="22"/>
        <v>42405.69</v>
      </c>
      <c r="W373" s="306">
        <f t="shared" si="23"/>
        <v>513580</v>
      </c>
      <c r="X373" s="271">
        <f t="shared" si="20"/>
        <v>471174.31</v>
      </c>
      <c r="Y373" s="271">
        <f t="shared" si="21"/>
        <v>3759.77</v>
      </c>
      <c r="Z373" s="154"/>
    </row>
    <row r="374" s="243" customFormat="1" ht="22" customHeight="1" outlineLevel="2" spans="1:26">
      <c r="A374" s="154" t="s">
        <v>1693</v>
      </c>
      <c r="B374" s="259">
        <v>28</v>
      </c>
      <c r="C374" s="259">
        <v>2</v>
      </c>
      <c r="D374" s="154">
        <v>5</v>
      </c>
      <c r="E374" s="263" t="s">
        <v>1694</v>
      </c>
      <c r="F374" s="259"/>
      <c r="G374" s="154" t="s">
        <v>256</v>
      </c>
      <c r="H374" s="154" t="s">
        <v>427</v>
      </c>
      <c r="I374" s="154" t="s">
        <v>334</v>
      </c>
      <c r="J374" s="269">
        <v>20190006605</v>
      </c>
      <c r="K374" s="288">
        <v>43799</v>
      </c>
      <c r="L374" s="271">
        <v>517101</v>
      </c>
      <c r="M374" s="289" t="s">
        <v>1695</v>
      </c>
      <c r="N374" s="271">
        <v>125.81</v>
      </c>
      <c r="O374" s="271"/>
      <c r="P374" s="290">
        <v>125.81</v>
      </c>
      <c r="Q374" s="271"/>
      <c r="R374" s="154"/>
      <c r="S374" s="189" t="s">
        <v>430</v>
      </c>
      <c r="T374" s="549" t="s">
        <v>1696</v>
      </c>
      <c r="U374" s="305">
        <v>474404.59</v>
      </c>
      <c r="V374" s="305">
        <f t="shared" si="22"/>
        <v>42696.41</v>
      </c>
      <c r="W374" s="306">
        <f t="shared" si="23"/>
        <v>517101</v>
      </c>
      <c r="X374" s="271">
        <f t="shared" si="20"/>
        <v>474404.59</v>
      </c>
      <c r="Y374" s="271">
        <f t="shared" si="21"/>
        <v>3770.8</v>
      </c>
      <c r="Z374" s="154"/>
    </row>
    <row r="375" s="243" customFormat="1" ht="22" customHeight="1" outlineLevel="2" spans="1:26">
      <c r="A375" s="154" t="s">
        <v>1697</v>
      </c>
      <c r="B375" s="259">
        <v>28</v>
      </c>
      <c r="C375" s="259">
        <v>2</v>
      </c>
      <c r="D375" s="154">
        <v>6</v>
      </c>
      <c r="E375" s="263" t="s">
        <v>1698</v>
      </c>
      <c r="F375" s="259"/>
      <c r="G375" s="154" t="s">
        <v>256</v>
      </c>
      <c r="H375" s="154" t="s">
        <v>427</v>
      </c>
      <c r="I375" s="154" t="s">
        <v>334</v>
      </c>
      <c r="J375" s="269">
        <v>20190007064</v>
      </c>
      <c r="K375" s="288">
        <v>43808</v>
      </c>
      <c r="L375" s="271">
        <v>518825</v>
      </c>
      <c r="M375" s="289" t="s">
        <v>1699</v>
      </c>
      <c r="N375" s="271">
        <v>125.32</v>
      </c>
      <c r="O375" s="271"/>
      <c r="P375" s="290">
        <v>125.32</v>
      </c>
      <c r="Q375" s="271"/>
      <c r="R375" s="154"/>
      <c r="S375" s="189" t="s">
        <v>430</v>
      </c>
      <c r="T375" s="308" t="s">
        <v>1700</v>
      </c>
      <c r="U375" s="305">
        <v>475986.24</v>
      </c>
      <c r="V375" s="305">
        <f t="shared" si="22"/>
        <v>42838.76</v>
      </c>
      <c r="W375" s="306">
        <f t="shared" si="23"/>
        <v>518825</v>
      </c>
      <c r="X375" s="271">
        <f t="shared" si="20"/>
        <v>475986.24</v>
      </c>
      <c r="Y375" s="271">
        <f t="shared" si="21"/>
        <v>3798.17</v>
      </c>
      <c r="Z375" s="154"/>
    </row>
    <row r="376" s="243" customFormat="1" ht="22" customHeight="1" outlineLevel="2" spans="1:26">
      <c r="A376" s="154" t="s">
        <v>1701</v>
      </c>
      <c r="B376" s="259">
        <v>28</v>
      </c>
      <c r="C376" s="259">
        <v>2</v>
      </c>
      <c r="D376" s="154">
        <v>6</v>
      </c>
      <c r="E376" s="263" t="s">
        <v>1702</v>
      </c>
      <c r="F376" s="259"/>
      <c r="G376" s="154" t="s">
        <v>256</v>
      </c>
      <c r="H376" s="154" t="s">
        <v>427</v>
      </c>
      <c r="I376" s="154" t="s">
        <v>334</v>
      </c>
      <c r="J376" s="269" t="s">
        <v>1703</v>
      </c>
      <c r="K376" s="288">
        <v>43841</v>
      </c>
      <c r="L376" s="271">
        <v>522250</v>
      </c>
      <c r="M376" s="289" t="s">
        <v>1704</v>
      </c>
      <c r="N376" s="271">
        <v>125.81</v>
      </c>
      <c r="O376" s="271"/>
      <c r="P376" s="290">
        <v>125.81</v>
      </c>
      <c r="Q376" s="271"/>
      <c r="R376" s="154"/>
      <c r="S376" s="189" t="s">
        <v>430</v>
      </c>
      <c r="T376" s="308" t="s">
        <v>1705</v>
      </c>
      <c r="U376" s="305">
        <v>479128.44</v>
      </c>
      <c r="V376" s="305">
        <f t="shared" si="22"/>
        <v>43121.56</v>
      </c>
      <c r="W376" s="306">
        <f t="shared" si="23"/>
        <v>522250</v>
      </c>
      <c r="X376" s="271">
        <f t="shared" si="20"/>
        <v>479128.44</v>
      </c>
      <c r="Y376" s="271">
        <f t="shared" si="21"/>
        <v>3808.35</v>
      </c>
      <c r="Z376" s="154"/>
    </row>
    <row r="377" s="243" customFormat="1" ht="22" customHeight="1" outlineLevel="2" spans="1:26">
      <c r="A377" s="154" t="s">
        <v>1706</v>
      </c>
      <c r="B377" s="259">
        <v>28</v>
      </c>
      <c r="C377" s="259">
        <v>2</v>
      </c>
      <c r="D377" s="154">
        <v>7</v>
      </c>
      <c r="E377" s="263" t="s">
        <v>1707</v>
      </c>
      <c r="F377" s="259"/>
      <c r="G377" s="154" t="s">
        <v>256</v>
      </c>
      <c r="H377" s="154" t="s">
        <v>427</v>
      </c>
      <c r="I377" s="154" t="s">
        <v>334</v>
      </c>
      <c r="J377" s="269">
        <v>20190007123</v>
      </c>
      <c r="K377" s="288">
        <v>43808</v>
      </c>
      <c r="L377" s="271">
        <v>523953</v>
      </c>
      <c r="M377" s="289" t="s">
        <v>1708</v>
      </c>
      <c r="N377" s="271">
        <v>125.32</v>
      </c>
      <c r="O377" s="271"/>
      <c r="P377" s="290">
        <v>125.32</v>
      </c>
      <c r="Q377" s="271"/>
      <c r="R377" s="154"/>
      <c r="S377" s="189" t="s">
        <v>430</v>
      </c>
      <c r="T377" s="308" t="s">
        <v>1709</v>
      </c>
      <c r="U377" s="305">
        <v>480690.83</v>
      </c>
      <c r="V377" s="305">
        <f t="shared" si="22"/>
        <v>43262.17</v>
      </c>
      <c r="W377" s="306">
        <f t="shared" si="23"/>
        <v>523953</v>
      </c>
      <c r="X377" s="271">
        <f t="shared" si="20"/>
        <v>480690.83</v>
      </c>
      <c r="Y377" s="271">
        <f t="shared" si="21"/>
        <v>3835.71</v>
      </c>
      <c r="Z377" s="154"/>
    </row>
    <row r="378" s="243" customFormat="1" ht="22" customHeight="1" outlineLevel="2" spans="1:26">
      <c r="A378" s="154" t="s">
        <v>1710</v>
      </c>
      <c r="B378" s="259">
        <v>28</v>
      </c>
      <c r="C378" s="259">
        <v>2</v>
      </c>
      <c r="D378" s="154">
        <v>7</v>
      </c>
      <c r="E378" s="263" t="s">
        <v>1711</v>
      </c>
      <c r="F378" s="259"/>
      <c r="G378" s="154" t="s">
        <v>256</v>
      </c>
      <c r="H378" s="154" t="s">
        <v>427</v>
      </c>
      <c r="I378" s="154" t="s">
        <v>334</v>
      </c>
      <c r="J378" s="269">
        <v>20190006338</v>
      </c>
      <c r="K378" s="288">
        <v>43794</v>
      </c>
      <c r="L378" s="271">
        <v>527632</v>
      </c>
      <c r="M378" s="289" t="s">
        <v>1712</v>
      </c>
      <c r="N378" s="271">
        <v>125.81</v>
      </c>
      <c r="O378" s="271"/>
      <c r="P378" s="290">
        <v>125.81</v>
      </c>
      <c r="Q378" s="271"/>
      <c r="R378" s="154"/>
      <c r="S378" s="189" t="s">
        <v>430</v>
      </c>
      <c r="T378" s="308" t="s">
        <v>1713</v>
      </c>
      <c r="U378" s="305">
        <v>484066.06</v>
      </c>
      <c r="V378" s="305">
        <f t="shared" si="22"/>
        <v>43565.94</v>
      </c>
      <c r="W378" s="306">
        <f t="shared" si="23"/>
        <v>527632</v>
      </c>
      <c r="X378" s="271">
        <f t="shared" si="20"/>
        <v>484066.06</v>
      </c>
      <c r="Y378" s="271">
        <f t="shared" si="21"/>
        <v>3847.6</v>
      </c>
      <c r="Z378" s="154"/>
    </row>
    <row r="379" s="243" customFormat="1" ht="22" customHeight="1" outlineLevel="2" spans="1:26">
      <c r="A379" s="154" t="s">
        <v>1714</v>
      </c>
      <c r="B379" s="259">
        <v>28</v>
      </c>
      <c r="C379" s="259">
        <v>2</v>
      </c>
      <c r="D379" s="154">
        <v>8</v>
      </c>
      <c r="E379" s="263" t="s">
        <v>1715</v>
      </c>
      <c r="F379" s="259"/>
      <c r="G379" s="154" t="s">
        <v>256</v>
      </c>
      <c r="H379" s="154" t="s">
        <v>427</v>
      </c>
      <c r="I379" s="154" t="s">
        <v>334</v>
      </c>
      <c r="J379" s="269">
        <v>20190006006</v>
      </c>
      <c r="K379" s="288">
        <v>43788</v>
      </c>
      <c r="L379" s="271">
        <v>529431</v>
      </c>
      <c r="M379" s="289" t="s">
        <v>1716</v>
      </c>
      <c r="N379" s="271">
        <v>125.32</v>
      </c>
      <c r="O379" s="271"/>
      <c r="P379" s="290">
        <v>125.32</v>
      </c>
      <c r="Q379" s="271"/>
      <c r="R379" s="154"/>
      <c r="S379" s="189" t="s">
        <v>430</v>
      </c>
      <c r="T379" s="308" t="s">
        <v>1717</v>
      </c>
      <c r="U379" s="305">
        <v>485716.51</v>
      </c>
      <c r="V379" s="305">
        <f t="shared" si="22"/>
        <v>43714.49</v>
      </c>
      <c r="W379" s="306">
        <f t="shared" si="23"/>
        <v>529431</v>
      </c>
      <c r="X379" s="271">
        <f t="shared" si="20"/>
        <v>485716.51</v>
      </c>
      <c r="Y379" s="271">
        <f t="shared" si="21"/>
        <v>3875.81</v>
      </c>
      <c r="Z379" s="154"/>
    </row>
    <row r="380" s="243" customFormat="1" ht="22" customHeight="1" outlineLevel="2" spans="1:26">
      <c r="A380" s="154" t="s">
        <v>1718</v>
      </c>
      <c r="B380" s="259">
        <v>28</v>
      </c>
      <c r="C380" s="259">
        <v>2</v>
      </c>
      <c r="D380" s="154">
        <v>8</v>
      </c>
      <c r="E380" s="263" t="s">
        <v>1719</v>
      </c>
      <c r="F380" s="259"/>
      <c r="G380" s="154" t="s">
        <v>256</v>
      </c>
      <c r="H380" s="154" t="s">
        <v>427</v>
      </c>
      <c r="I380" s="154" t="s">
        <v>334</v>
      </c>
      <c r="J380" s="269" t="s">
        <v>1720</v>
      </c>
      <c r="K380" s="288">
        <v>43977</v>
      </c>
      <c r="L380" s="271">
        <v>532897</v>
      </c>
      <c r="M380" s="289" t="s">
        <v>1721</v>
      </c>
      <c r="N380" s="271">
        <v>125.81</v>
      </c>
      <c r="O380" s="271"/>
      <c r="P380" s="290">
        <v>125.81</v>
      </c>
      <c r="Q380" s="271"/>
      <c r="R380" s="154"/>
      <c r="S380" s="189" t="s">
        <v>430</v>
      </c>
      <c r="T380" s="308" t="s">
        <v>1722</v>
      </c>
      <c r="U380" s="305">
        <v>488896.33</v>
      </c>
      <c r="V380" s="305">
        <f t="shared" si="22"/>
        <v>44000.67</v>
      </c>
      <c r="W380" s="306">
        <f t="shared" si="23"/>
        <v>532897</v>
      </c>
      <c r="X380" s="271">
        <f t="shared" si="20"/>
        <v>488896.33</v>
      </c>
      <c r="Y380" s="271">
        <f t="shared" si="21"/>
        <v>3885.99</v>
      </c>
      <c r="Z380" s="154"/>
    </row>
    <row r="381" s="243" customFormat="1" ht="22" customHeight="1" outlineLevel="2" spans="1:26">
      <c r="A381" s="154" t="s">
        <v>1723</v>
      </c>
      <c r="B381" s="259">
        <v>28</v>
      </c>
      <c r="C381" s="259">
        <v>2</v>
      </c>
      <c r="D381" s="154">
        <v>9</v>
      </c>
      <c r="E381" s="263" t="s">
        <v>1724</v>
      </c>
      <c r="F381" s="259"/>
      <c r="G381" s="154" t="s">
        <v>256</v>
      </c>
      <c r="H381" s="154" t="s">
        <v>427</v>
      </c>
      <c r="I381" s="154" t="s">
        <v>334</v>
      </c>
      <c r="J381" s="269">
        <v>20190005990</v>
      </c>
      <c r="K381" s="288">
        <v>43788</v>
      </c>
      <c r="L381" s="271">
        <v>534792</v>
      </c>
      <c r="M381" s="289" t="s">
        <v>1725</v>
      </c>
      <c r="N381" s="271">
        <v>125.32</v>
      </c>
      <c r="O381" s="271"/>
      <c r="P381" s="290">
        <v>125.32</v>
      </c>
      <c r="Q381" s="271"/>
      <c r="R381" s="154"/>
      <c r="S381" s="189" t="s">
        <v>430</v>
      </c>
      <c r="T381" s="308" t="s">
        <v>1726</v>
      </c>
      <c r="U381" s="305">
        <v>490634.86</v>
      </c>
      <c r="V381" s="305">
        <f t="shared" si="22"/>
        <v>44157.14</v>
      </c>
      <c r="W381" s="306">
        <f t="shared" si="23"/>
        <v>534792</v>
      </c>
      <c r="X381" s="271">
        <f t="shared" si="20"/>
        <v>490634.86</v>
      </c>
      <c r="Y381" s="271">
        <f t="shared" si="21"/>
        <v>3915.06</v>
      </c>
      <c r="Z381" s="154"/>
    </row>
    <row r="382" s="243" customFormat="1" ht="22" customHeight="1" outlineLevel="2" spans="1:26">
      <c r="A382" s="154" t="s">
        <v>1727</v>
      </c>
      <c r="B382" s="259">
        <v>28</v>
      </c>
      <c r="C382" s="259">
        <v>2</v>
      </c>
      <c r="D382" s="154">
        <v>9</v>
      </c>
      <c r="E382" s="263" t="s">
        <v>1728</v>
      </c>
      <c r="F382" s="259"/>
      <c r="G382" s="154" t="s">
        <v>256</v>
      </c>
      <c r="H382" s="154" t="s">
        <v>427</v>
      </c>
      <c r="I382" s="154" t="s">
        <v>334</v>
      </c>
      <c r="J382" s="269">
        <v>20190006374</v>
      </c>
      <c r="K382" s="288">
        <v>43795</v>
      </c>
      <c r="L382" s="271">
        <v>538279</v>
      </c>
      <c r="M382" s="289" t="s">
        <v>1729</v>
      </c>
      <c r="N382" s="271">
        <v>125.81</v>
      </c>
      <c r="O382" s="271"/>
      <c r="P382" s="290">
        <v>125.81</v>
      </c>
      <c r="Q382" s="271"/>
      <c r="R382" s="154"/>
      <c r="S382" s="189" t="s">
        <v>430</v>
      </c>
      <c r="T382" s="308" t="s">
        <v>1730</v>
      </c>
      <c r="U382" s="305">
        <v>493833.94</v>
      </c>
      <c r="V382" s="305">
        <f t="shared" si="22"/>
        <v>44445.06</v>
      </c>
      <c r="W382" s="306">
        <f t="shared" si="23"/>
        <v>538279</v>
      </c>
      <c r="X382" s="271">
        <f t="shared" si="20"/>
        <v>493833.94</v>
      </c>
      <c r="Y382" s="271">
        <f t="shared" si="21"/>
        <v>3925.24</v>
      </c>
      <c r="Z382" s="154"/>
    </row>
    <row r="383" s="243" customFormat="1" ht="22" customHeight="1" outlineLevel="2" spans="1:26">
      <c r="A383" s="154" t="s">
        <v>1731</v>
      </c>
      <c r="B383" s="259">
        <v>28</v>
      </c>
      <c r="C383" s="259">
        <v>2</v>
      </c>
      <c r="D383" s="154">
        <v>10</v>
      </c>
      <c r="E383" s="263" t="s">
        <v>1732</v>
      </c>
      <c r="F383" s="259"/>
      <c r="G383" s="154" t="s">
        <v>256</v>
      </c>
      <c r="H383" s="154" t="s">
        <v>427</v>
      </c>
      <c r="I383" s="154" t="s">
        <v>334</v>
      </c>
      <c r="J383" s="269" t="s">
        <v>1733</v>
      </c>
      <c r="K383" s="288">
        <v>43927</v>
      </c>
      <c r="L383" s="271">
        <v>537356</v>
      </c>
      <c r="M383" s="289" t="s">
        <v>1734</v>
      </c>
      <c r="N383" s="271">
        <v>125.32</v>
      </c>
      <c r="O383" s="271"/>
      <c r="P383" s="290">
        <v>125.32</v>
      </c>
      <c r="Q383" s="271"/>
      <c r="R383" s="154"/>
      <c r="S383" s="189" t="s">
        <v>430</v>
      </c>
      <c r="T383" s="308" t="s">
        <v>1735</v>
      </c>
      <c r="U383" s="305">
        <v>492987.16</v>
      </c>
      <c r="V383" s="305">
        <f t="shared" si="22"/>
        <v>44368.84</v>
      </c>
      <c r="W383" s="306">
        <f t="shared" si="23"/>
        <v>537356</v>
      </c>
      <c r="X383" s="271">
        <f t="shared" si="20"/>
        <v>492987.16</v>
      </c>
      <c r="Y383" s="271">
        <f t="shared" si="21"/>
        <v>3933.83</v>
      </c>
      <c r="Z383" s="154"/>
    </row>
    <row r="384" s="243" customFormat="1" ht="22" customHeight="1" outlineLevel="2" spans="1:26">
      <c r="A384" s="154" t="s">
        <v>1736</v>
      </c>
      <c r="B384" s="259">
        <v>28</v>
      </c>
      <c r="C384" s="259">
        <v>2</v>
      </c>
      <c r="D384" s="154">
        <v>10</v>
      </c>
      <c r="E384" s="263" t="s">
        <v>1737</v>
      </c>
      <c r="F384" s="259"/>
      <c r="G384" s="154" t="s">
        <v>256</v>
      </c>
      <c r="H384" s="154" t="s">
        <v>427</v>
      </c>
      <c r="I384" s="154" t="s">
        <v>334</v>
      </c>
      <c r="J384" s="269">
        <v>20190005724</v>
      </c>
      <c r="K384" s="288">
        <v>43782</v>
      </c>
      <c r="L384" s="271">
        <v>541087</v>
      </c>
      <c r="M384" s="289" t="s">
        <v>1738</v>
      </c>
      <c r="N384" s="271">
        <v>125.81</v>
      </c>
      <c r="O384" s="271"/>
      <c r="P384" s="290">
        <v>125.81</v>
      </c>
      <c r="Q384" s="271"/>
      <c r="R384" s="154"/>
      <c r="S384" s="189" t="s">
        <v>430</v>
      </c>
      <c r="T384" s="308" t="s">
        <v>1739</v>
      </c>
      <c r="U384" s="305">
        <v>496410.09</v>
      </c>
      <c r="V384" s="305">
        <f t="shared" si="22"/>
        <v>44676.91</v>
      </c>
      <c r="W384" s="306">
        <f t="shared" si="23"/>
        <v>541087</v>
      </c>
      <c r="X384" s="271">
        <f t="shared" si="20"/>
        <v>496410.09</v>
      </c>
      <c r="Y384" s="271">
        <f t="shared" si="21"/>
        <v>3945.71</v>
      </c>
      <c r="Z384" s="154"/>
    </row>
    <row r="385" s="243" customFormat="1" ht="22" customHeight="1" outlineLevel="2" spans="1:26">
      <c r="A385" s="154" t="s">
        <v>1740</v>
      </c>
      <c r="B385" s="259">
        <v>28</v>
      </c>
      <c r="C385" s="259">
        <v>2</v>
      </c>
      <c r="D385" s="154">
        <v>11</v>
      </c>
      <c r="E385" s="263" t="s">
        <v>1741</v>
      </c>
      <c r="F385" s="259"/>
      <c r="G385" s="154" t="s">
        <v>256</v>
      </c>
      <c r="H385" s="154" t="s">
        <v>427</v>
      </c>
      <c r="I385" s="154" t="s">
        <v>334</v>
      </c>
      <c r="J385" s="269" t="s">
        <v>1742</v>
      </c>
      <c r="K385" s="288">
        <v>43798</v>
      </c>
      <c r="L385" s="271">
        <v>508685</v>
      </c>
      <c r="M385" s="289" t="s">
        <v>1743</v>
      </c>
      <c r="N385" s="271">
        <v>125.32</v>
      </c>
      <c r="O385" s="271"/>
      <c r="P385" s="290">
        <v>125.32</v>
      </c>
      <c r="Q385" s="271"/>
      <c r="R385" s="154"/>
      <c r="S385" s="189" t="s">
        <v>430</v>
      </c>
      <c r="T385" s="549" t="s">
        <v>1744</v>
      </c>
      <c r="U385" s="305">
        <v>466683.49</v>
      </c>
      <c r="V385" s="305">
        <f t="shared" si="22"/>
        <v>42001.51</v>
      </c>
      <c r="W385" s="306">
        <f t="shared" si="23"/>
        <v>508685</v>
      </c>
      <c r="X385" s="271">
        <f t="shared" si="20"/>
        <v>466683.49</v>
      </c>
      <c r="Y385" s="271">
        <f t="shared" si="21"/>
        <v>3723.93</v>
      </c>
      <c r="Z385" s="154"/>
    </row>
    <row r="386" s="243" customFormat="1" ht="22" customHeight="1" outlineLevel="2" spans="1:26">
      <c r="A386" s="154" t="s">
        <v>1745</v>
      </c>
      <c r="B386" s="259">
        <v>28</v>
      </c>
      <c r="C386" s="259">
        <v>2</v>
      </c>
      <c r="D386" s="154">
        <v>11</v>
      </c>
      <c r="E386" s="263" t="s">
        <v>1746</v>
      </c>
      <c r="F386" s="259"/>
      <c r="G386" s="154" t="s">
        <v>256</v>
      </c>
      <c r="H386" s="154" t="s">
        <v>427</v>
      </c>
      <c r="I386" s="154" t="s">
        <v>334</v>
      </c>
      <c r="J386" s="269" t="s">
        <v>1747</v>
      </c>
      <c r="K386" s="288">
        <v>43800</v>
      </c>
      <c r="L386" s="271">
        <v>512187</v>
      </c>
      <c r="M386" s="289" t="s">
        <v>1748</v>
      </c>
      <c r="N386" s="271">
        <v>125.81</v>
      </c>
      <c r="O386" s="271"/>
      <c r="P386" s="290">
        <v>125.81</v>
      </c>
      <c r="Q386" s="271"/>
      <c r="R386" s="154"/>
      <c r="S386" s="189" t="s">
        <v>430</v>
      </c>
      <c r="T386" s="549" t="s">
        <v>1749</v>
      </c>
      <c r="U386" s="305">
        <v>469896.33</v>
      </c>
      <c r="V386" s="305">
        <f t="shared" si="22"/>
        <v>42290.67</v>
      </c>
      <c r="W386" s="306">
        <f t="shared" si="23"/>
        <v>512187</v>
      </c>
      <c r="X386" s="271">
        <f t="shared" si="20"/>
        <v>469896.33</v>
      </c>
      <c r="Y386" s="271">
        <f t="shared" si="21"/>
        <v>3734.97</v>
      </c>
      <c r="Z386" s="154"/>
    </row>
    <row r="387" s="243" customFormat="1" ht="22" customHeight="1" outlineLevel="2" spans="1:26">
      <c r="A387" s="154" t="s">
        <v>1750</v>
      </c>
      <c r="B387" s="259">
        <v>28</v>
      </c>
      <c r="C387" s="259">
        <v>1</v>
      </c>
      <c r="D387" s="154">
        <v>-1</v>
      </c>
      <c r="E387" s="263" t="s">
        <v>1751</v>
      </c>
      <c r="F387" s="259"/>
      <c r="G387" s="154" t="s">
        <v>536</v>
      </c>
      <c r="H387" s="154" t="s">
        <v>537</v>
      </c>
      <c r="I387" s="154"/>
      <c r="J387" s="269"/>
      <c r="K387" s="288"/>
      <c r="L387" s="271"/>
      <c r="M387" s="289"/>
      <c r="N387" s="271"/>
      <c r="O387" s="271"/>
      <c r="P387" s="290">
        <v>12.06</v>
      </c>
      <c r="Q387" s="271"/>
      <c r="R387" s="154"/>
      <c r="S387" s="189"/>
      <c r="T387" s="308"/>
      <c r="U387" s="305">
        <v>0</v>
      </c>
      <c r="V387" s="305">
        <f t="shared" si="22"/>
        <v>0</v>
      </c>
      <c r="W387" s="306">
        <f t="shared" si="23"/>
        <v>0</v>
      </c>
      <c r="X387" s="271">
        <f t="shared" si="20"/>
        <v>0</v>
      </c>
      <c r="Y387" s="271">
        <f t="shared" si="21"/>
        <v>0</v>
      </c>
      <c r="Z387" s="154"/>
    </row>
    <row r="388" s="243" customFormat="1" ht="22" customHeight="1" outlineLevel="2" spans="1:26">
      <c r="A388" s="154" t="s">
        <v>1752</v>
      </c>
      <c r="B388" s="259">
        <v>28</v>
      </c>
      <c r="C388" s="259">
        <v>1</v>
      </c>
      <c r="D388" s="154">
        <v>-1</v>
      </c>
      <c r="E388" s="263" t="s">
        <v>1753</v>
      </c>
      <c r="F388" s="259"/>
      <c r="G388" s="154" t="s">
        <v>536</v>
      </c>
      <c r="H388" s="154" t="s">
        <v>537</v>
      </c>
      <c r="I388" s="154"/>
      <c r="J388" s="269"/>
      <c r="K388" s="288"/>
      <c r="L388" s="271"/>
      <c r="M388" s="289"/>
      <c r="N388" s="271"/>
      <c r="O388" s="271"/>
      <c r="P388" s="290">
        <v>12.06</v>
      </c>
      <c r="Q388" s="271"/>
      <c r="R388" s="154"/>
      <c r="S388" s="189"/>
      <c r="T388" s="308"/>
      <c r="U388" s="305">
        <v>0</v>
      </c>
      <c r="V388" s="305">
        <f t="shared" si="22"/>
        <v>0</v>
      </c>
      <c r="W388" s="306">
        <f t="shared" si="23"/>
        <v>0</v>
      </c>
      <c r="X388" s="271">
        <f t="shared" si="20"/>
        <v>0</v>
      </c>
      <c r="Y388" s="271">
        <f t="shared" si="21"/>
        <v>0</v>
      </c>
      <c r="Z388" s="154"/>
    </row>
    <row r="389" s="243" customFormat="1" ht="22" customHeight="1" outlineLevel="2" spans="1:26">
      <c r="A389" s="154" t="s">
        <v>1754</v>
      </c>
      <c r="B389" s="259">
        <v>28</v>
      </c>
      <c r="C389" s="259">
        <v>1</v>
      </c>
      <c r="D389" s="154">
        <v>-1</v>
      </c>
      <c r="E389" s="263" t="s">
        <v>1755</v>
      </c>
      <c r="F389" s="259"/>
      <c r="G389" s="154" t="s">
        <v>536</v>
      </c>
      <c r="H389" s="154" t="s">
        <v>537</v>
      </c>
      <c r="I389" s="154"/>
      <c r="J389" s="269"/>
      <c r="K389" s="288"/>
      <c r="L389" s="271"/>
      <c r="M389" s="289"/>
      <c r="N389" s="271"/>
      <c r="O389" s="271"/>
      <c r="P389" s="290">
        <v>10.33</v>
      </c>
      <c r="Q389" s="271"/>
      <c r="R389" s="154"/>
      <c r="S389" s="189"/>
      <c r="T389" s="308"/>
      <c r="U389" s="305"/>
      <c r="V389" s="305">
        <f t="shared" si="22"/>
        <v>0</v>
      </c>
      <c r="W389" s="306">
        <f t="shared" si="23"/>
        <v>0</v>
      </c>
      <c r="X389" s="271">
        <f t="shared" si="20"/>
        <v>0</v>
      </c>
      <c r="Y389" s="271">
        <f t="shared" si="21"/>
        <v>0</v>
      </c>
      <c r="Z389" s="154"/>
    </row>
    <row r="390" s="243" customFormat="1" ht="22" customHeight="1" outlineLevel="2" spans="1:26">
      <c r="A390" s="154" t="s">
        <v>1756</v>
      </c>
      <c r="B390" s="259">
        <v>28</v>
      </c>
      <c r="C390" s="259">
        <v>1</v>
      </c>
      <c r="D390" s="154">
        <v>-1</v>
      </c>
      <c r="E390" s="263" t="s">
        <v>1757</v>
      </c>
      <c r="F390" s="259"/>
      <c r="G390" s="154" t="s">
        <v>536</v>
      </c>
      <c r="H390" s="154" t="s">
        <v>537</v>
      </c>
      <c r="I390" s="154"/>
      <c r="J390" s="269"/>
      <c r="K390" s="288"/>
      <c r="L390" s="271"/>
      <c r="M390" s="289"/>
      <c r="N390" s="271"/>
      <c r="O390" s="271"/>
      <c r="P390" s="290">
        <v>12.34</v>
      </c>
      <c r="Q390" s="271"/>
      <c r="R390" s="154"/>
      <c r="S390" s="189"/>
      <c r="T390" s="308"/>
      <c r="U390" s="305">
        <v>0</v>
      </c>
      <c r="V390" s="305">
        <f t="shared" si="22"/>
        <v>0</v>
      </c>
      <c r="W390" s="306">
        <f t="shared" si="23"/>
        <v>0</v>
      </c>
      <c r="X390" s="271">
        <f t="shared" si="20"/>
        <v>0</v>
      </c>
      <c r="Y390" s="271">
        <f t="shared" si="21"/>
        <v>0</v>
      </c>
      <c r="Z390" s="154"/>
    </row>
    <row r="391" s="243" customFormat="1" ht="22" customHeight="1" outlineLevel="2" spans="1:26">
      <c r="A391" s="154" t="s">
        <v>1758</v>
      </c>
      <c r="B391" s="259">
        <v>28</v>
      </c>
      <c r="C391" s="259">
        <v>1</v>
      </c>
      <c r="D391" s="154">
        <v>-1</v>
      </c>
      <c r="E391" s="263" t="s">
        <v>1759</v>
      </c>
      <c r="F391" s="259"/>
      <c r="G391" s="154" t="s">
        <v>536</v>
      </c>
      <c r="H391" s="154" t="s">
        <v>537</v>
      </c>
      <c r="I391" s="154"/>
      <c r="J391" s="269"/>
      <c r="K391" s="288"/>
      <c r="L391" s="271"/>
      <c r="M391" s="289"/>
      <c r="N391" s="271"/>
      <c r="O391" s="271"/>
      <c r="P391" s="290">
        <v>72.65</v>
      </c>
      <c r="Q391" s="271"/>
      <c r="R391" s="154"/>
      <c r="S391" s="189"/>
      <c r="T391" s="308"/>
      <c r="U391" s="305">
        <v>0</v>
      </c>
      <c r="V391" s="305">
        <f t="shared" si="22"/>
        <v>0</v>
      </c>
      <c r="W391" s="306">
        <f t="shared" si="23"/>
        <v>0</v>
      </c>
      <c r="X391" s="271">
        <f t="shared" ref="X391:X454" si="24">U391</f>
        <v>0</v>
      </c>
      <c r="Y391" s="271">
        <f t="shared" ref="Y391:Y454" si="25">ROUND(X391/P391,2)</f>
        <v>0</v>
      </c>
      <c r="Z391" s="154"/>
    </row>
    <row r="392" s="243" customFormat="1" ht="22" customHeight="1" outlineLevel="2" spans="1:26">
      <c r="A392" s="154" t="s">
        <v>1760</v>
      </c>
      <c r="B392" s="259">
        <v>28</v>
      </c>
      <c r="C392" s="259">
        <v>1</v>
      </c>
      <c r="D392" s="154">
        <v>-1</v>
      </c>
      <c r="E392" s="263" t="s">
        <v>1761</v>
      </c>
      <c r="F392" s="259"/>
      <c r="G392" s="154" t="s">
        <v>536</v>
      </c>
      <c r="H392" s="154" t="s">
        <v>537</v>
      </c>
      <c r="I392" s="154"/>
      <c r="J392" s="269"/>
      <c r="K392" s="288"/>
      <c r="L392" s="271"/>
      <c r="M392" s="289"/>
      <c r="N392" s="271"/>
      <c r="O392" s="271"/>
      <c r="P392" s="290">
        <v>72.55</v>
      </c>
      <c r="Q392" s="271"/>
      <c r="R392" s="154"/>
      <c r="S392" s="189"/>
      <c r="T392" s="308"/>
      <c r="U392" s="305">
        <v>0</v>
      </c>
      <c r="V392" s="305">
        <f t="shared" ref="V392:V455" si="26">L392-U392</f>
        <v>0</v>
      </c>
      <c r="W392" s="306">
        <f t="shared" ref="W392:W455" si="27">U392+V392</f>
        <v>0</v>
      </c>
      <c r="X392" s="271">
        <f t="shared" si="24"/>
        <v>0</v>
      </c>
      <c r="Y392" s="271">
        <f t="shared" si="25"/>
        <v>0</v>
      </c>
      <c r="Z392" s="154"/>
    </row>
    <row r="393" s="243" customFormat="1" ht="22" customHeight="1" outlineLevel="2" spans="1:26">
      <c r="A393" s="154" t="s">
        <v>1762</v>
      </c>
      <c r="B393" s="259">
        <v>28</v>
      </c>
      <c r="C393" s="259">
        <v>1</v>
      </c>
      <c r="D393" s="154">
        <v>-1</v>
      </c>
      <c r="E393" s="263" t="s">
        <v>1763</v>
      </c>
      <c r="F393" s="259"/>
      <c r="G393" s="154" t="s">
        <v>536</v>
      </c>
      <c r="H393" s="154" t="s">
        <v>537</v>
      </c>
      <c r="I393" s="154"/>
      <c r="J393" s="269"/>
      <c r="K393" s="288"/>
      <c r="L393" s="271"/>
      <c r="M393" s="289"/>
      <c r="N393" s="271"/>
      <c r="O393" s="271"/>
      <c r="P393" s="290">
        <v>8.59</v>
      </c>
      <c r="Q393" s="271"/>
      <c r="R393" s="154"/>
      <c r="S393" s="189"/>
      <c r="T393" s="308"/>
      <c r="U393" s="305"/>
      <c r="V393" s="305">
        <f t="shared" si="26"/>
        <v>0</v>
      </c>
      <c r="W393" s="306">
        <f t="shared" si="27"/>
        <v>0</v>
      </c>
      <c r="X393" s="271">
        <f t="shared" si="24"/>
        <v>0</v>
      </c>
      <c r="Y393" s="271">
        <f t="shared" si="25"/>
        <v>0</v>
      </c>
      <c r="Z393" s="154"/>
    </row>
    <row r="394" s="243" customFormat="1" ht="22" customHeight="1" outlineLevel="2" spans="1:26">
      <c r="A394" s="154" t="s">
        <v>1764</v>
      </c>
      <c r="B394" s="259">
        <v>28</v>
      </c>
      <c r="C394" s="259">
        <v>1</v>
      </c>
      <c r="D394" s="154">
        <v>-1</v>
      </c>
      <c r="E394" s="263" t="s">
        <v>1765</v>
      </c>
      <c r="F394" s="259"/>
      <c r="G394" s="154" t="s">
        <v>536</v>
      </c>
      <c r="H394" s="154" t="s">
        <v>537</v>
      </c>
      <c r="I394" s="154"/>
      <c r="J394" s="269"/>
      <c r="K394" s="288"/>
      <c r="L394" s="271"/>
      <c r="M394" s="289"/>
      <c r="N394" s="271"/>
      <c r="O394" s="271"/>
      <c r="P394" s="290">
        <v>18.39</v>
      </c>
      <c r="Q394" s="271"/>
      <c r="R394" s="154"/>
      <c r="S394" s="189"/>
      <c r="T394" s="308"/>
      <c r="U394" s="305">
        <v>0</v>
      </c>
      <c r="V394" s="305">
        <f t="shared" si="26"/>
        <v>0</v>
      </c>
      <c r="W394" s="306">
        <f t="shared" si="27"/>
        <v>0</v>
      </c>
      <c r="X394" s="271">
        <f t="shared" si="24"/>
        <v>0</v>
      </c>
      <c r="Y394" s="271">
        <f t="shared" si="25"/>
        <v>0</v>
      </c>
      <c r="Z394" s="154"/>
    </row>
    <row r="395" s="243" customFormat="1" ht="22" customHeight="1" outlineLevel="2" spans="1:26">
      <c r="A395" s="154" t="s">
        <v>1766</v>
      </c>
      <c r="B395" s="259">
        <v>28</v>
      </c>
      <c r="C395" s="259">
        <v>1</v>
      </c>
      <c r="D395" s="154">
        <v>-1</v>
      </c>
      <c r="E395" s="263" t="s">
        <v>1767</v>
      </c>
      <c r="F395" s="259"/>
      <c r="G395" s="154" t="s">
        <v>536</v>
      </c>
      <c r="H395" s="154" t="s">
        <v>537</v>
      </c>
      <c r="I395" s="154"/>
      <c r="J395" s="269"/>
      <c r="K395" s="288"/>
      <c r="L395" s="271"/>
      <c r="M395" s="289"/>
      <c r="N395" s="271"/>
      <c r="O395" s="271"/>
      <c r="P395" s="290">
        <v>12.06</v>
      </c>
      <c r="Q395" s="271"/>
      <c r="R395" s="154"/>
      <c r="S395" s="189"/>
      <c r="T395" s="308"/>
      <c r="U395" s="305">
        <v>0</v>
      </c>
      <c r="V395" s="305">
        <f t="shared" si="26"/>
        <v>0</v>
      </c>
      <c r="W395" s="306">
        <f t="shared" si="27"/>
        <v>0</v>
      </c>
      <c r="X395" s="271">
        <f t="shared" si="24"/>
        <v>0</v>
      </c>
      <c r="Y395" s="271">
        <f t="shared" si="25"/>
        <v>0</v>
      </c>
      <c r="Z395" s="154"/>
    </row>
    <row r="396" s="243" customFormat="1" ht="22" customHeight="1" outlineLevel="2" spans="1:26">
      <c r="A396" s="154" t="s">
        <v>1768</v>
      </c>
      <c r="B396" s="259">
        <v>28</v>
      </c>
      <c r="C396" s="259">
        <v>1</v>
      </c>
      <c r="D396" s="154">
        <v>-1</v>
      </c>
      <c r="E396" s="263" t="s">
        <v>1769</v>
      </c>
      <c r="F396" s="259"/>
      <c r="G396" s="154" t="s">
        <v>536</v>
      </c>
      <c r="H396" s="154" t="s">
        <v>537</v>
      </c>
      <c r="I396" s="154"/>
      <c r="J396" s="269"/>
      <c r="K396" s="288"/>
      <c r="L396" s="271"/>
      <c r="M396" s="289"/>
      <c r="N396" s="271"/>
      <c r="O396" s="271"/>
      <c r="P396" s="290">
        <v>12.06</v>
      </c>
      <c r="Q396" s="271"/>
      <c r="R396" s="154"/>
      <c r="S396" s="189"/>
      <c r="T396" s="308"/>
      <c r="U396" s="305">
        <v>0</v>
      </c>
      <c r="V396" s="305">
        <f t="shared" si="26"/>
        <v>0</v>
      </c>
      <c r="W396" s="306">
        <f t="shared" si="27"/>
        <v>0</v>
      </c>
      <c r="X396" s="271">
        <f t="shared" si="24"/>
        <v>0</v>
      </c>
      <c r="Y396" s="271">
        <f t="shared" si="25"/>
        <v>0</v>
      </c>
      <c r="Z396" s="154"/>
    </row>
    <row r="397" s="243" customFormat="1" ht="22" customHeight="1" outlineLevel="2" spans="1:26">
      <c r="A397" s="154" t="s">
        <v>1770</v>
      </c>
      <c r="B397" s="259">
        <v>28</v>
      </c>
      <c r="C397" s="259">
        <v>2</v>
      </c>
      <c r="D397" s="154">
        <v>-1</v>
      </c>
      <c r="E397" s="263" t="s">
        <v>1771</v>
      </c>
      <c r="F397" s="259"/>
      <c r="G397" s="154" t="s">
        <v>536</v>
      </c>
      <c r="H397" s="154" t="s">
        <v>537</v>
      </c>
      <c r="I397" s="154"/>
      <c r="J397" s="269"/>
      <c r="K397" s="288"/>
      <c r="L397" s="271"/>
      <c r="M397" s="289"/>
      <c r="N397" s="271"/>
      <c r="O397" s="271"/>
      <c r="P397" s="290">
        <v>12.06</v>
      </c>
      <c r="Q397" s="271"/>
      <c r="R397" s="154"/>
      <c r="S397" s="189"/>
      <c r="T397" s="308"/>
      <c r="U397" s="305"/>
      <c r="V397" s="305">
        <f t="shared" si="26"/>
        <v>0</v>
      </c>
      <c r="W397" s="306">
        <f t="shared" si="27"/>
        <v>0</v>
      </c>
      <c r="X397" s="271">
        <f t="shared" si="24"/>
        <v>0</v>
      </c>
      <c r="Y397" s="271">
        <f t="shared" si="25"/>
        <v>0</v>
      </c>
      <c r="Z397" s="154"/>
    </row>
    <row r="398" s="243" customFormat="1" ht="22" customHeight="1" outlineLevel="2" spans="1:26">
      <c r="A398" s="154" t="s">
        <v>1772</v>
      </c>
      <c r="B398" s="259">
        <v>28</v>
      </c>
      <c r="C398" s="259">
        <v>2</v>
      </c>
      <c r="D398" s="154">
        <v>-1</v>
      </c>
      <c r="E398" s="263" t="s">
        <v>1773</v>
      </c>
      <c r="F398" s="259"/>
      <c r="G398" s="154" t="s">
        <v>536</v>
      </c>
      <c r="H398" s="154" t="s">
        <v>537</v>
      </c>
      <c r="I398" s="154"/>
      <c r="J398" s="269"/>
      <c r="K398" s="288"/>
      <c r="L398" s="271"/>
      <c r="M398" s="289"/>
      <c r="N398" s="271"/>
      <c r="O398" s="271"/>
      <c r="P398" s="290">
        <v>12.06</v>
      </c>
      <c r="Q398" s="271"/>
      <c r="R398" s="154"/>
      <c r="S398" s="189"/>
      <c r="T398" s="308"/>
      <c r="U398" s="305">
        <v>0</v>
      </c>
      <c r="V398" s="305">
        <f t="shared" si="26"/>
        <v>0</v>
      </c>
      <c r="W398" s="306">
        <f t="shared" si="27"/>
        <v>0</v>
      </c>
      <c r="X398" s="271">
        <f t="shared" si="24"/>
        <v>0</v>
      </c>
      <c r="Y398" s="271">
        <f t="shared" si="25"/>
        <v>0</v>
      </c>
      <c r="Z398" s="154"/>
    </row>
    <row r="399" s="243" customFormat="1" ht="22" customHeight="1" outlineLevel="2" spans="1:26">
      <c r="A399" s="154" t="s">
        <v>1774</v>
      </c>
      <c r="B399" s="259">
        <v>28</v>
      </c>
      <c r="C399" s="259">
        <v>2</v>
      </c>
      <c r="D399" s="154">
        <v>-1</v>
      </c>
      <c r="E399" s="263" t="s">
        <v>1775</v>
      </c>
      <c r="F399" s="259"/>
      <c r="G399" s="154" t="s">
        <v>536</v>
      </c>
      <c r="H399" s="154" t="s">
        <v>537</v>
      </c>
      <c r="I399" s="154"/>
      <c r="J399" s="269"/>
      <c r="K399" s="288"/>
      <c r="L399" s="271"/>
      <c r="M399" s="289"/>
      <c r="N399" s="271"/>
      <c r="O399" s="271"/>
      <c r="P399" s="290">
        <v>18.39</v>
      </c>
      <c r="Q399" s="271"/>
      <c r="R399" s="154"/>
      <c r="S399" s="189"/>
      <c r="T399" s="308"/>
      <c r="U399" s="305"/>
      <c r="V399" s="305">
        <f t="shared" si="26"/>
        <v>0</v>
      </c>
      <c r="W399" s="306">
        <f t="shared" si="27"/>
        <v>0</v>
      </c>
      <c r="X399" s="271">
        <f t="shared" si="24"/>
        <v>0</v>
      </c>
      <c r="Y399" s="271">
        <f t="shared" si="25"/>
        <v>0</v>
      </c>
      <c r="Z399" s="154"/>
    </row>
    <row r="400" s="243" customFormat="1" ht="22" customHeight="1" outlineLevel="2" spans="1:26">
      <c r="A400" s="154" t="s">
        <v>1776</v>
      </c>
      <c r="B400" s="259">
        <v>28</v>
      </c>
      <c r="C400" s="259">
        <v>2</v>
      </c>
      <c r="D400" s="154">
        <v>-1</v>
      </c>
      <c r="E400" s="263" t="s">
        <v>1777</v>
      </c>
      <c r="F400" s="259"/>
      <c r="G400" s="154" t="s">
        <v>536</v>
      </c>
      <c r="H400" s="154" t="s">
        <v>537</v>
      </c>
      <c r="I400" s="154"/>
      <c r="J400" s="269"/>
      <c r="K400" s="288"/>
      <c r="L400" s="271"/>
      <c r="M400" s="289"/>
      <c r="N400" s="271"/>
      <c r="O400" s="271"/>
      <c r="P400" s="290">
        <v>8.59</v>
      </c>
      <c r="Q400" s="271"/>
      <c r="R400" s="154"/>
      <c r="S400" s="189"/>
      <c r="T400" s="308"/>
      <c r="U400" s="305"/>
      <c r="V400" s="305">
        <f t="shared" si="26"/>
        <v>0</v>
      </c>
      <c r="W400" s="306">
        <f t="shared" si="27"/>
        <v>0</v>
      </c>
      <c r="X400" s="271">
        <f t="shared" si="24"/>
        <v>0</v>
      </c>
      <c r="Y400" s="271">
        <f t="shared" si="25"/>
        <v>0</v>
      </c>
      <c r="Z400" s="154"/>
    </row>
    <row r="401" s="243" customFormat="1" ht="22" customHeight="1" outlineLevel="2" spans="1:26">
      <c r="A401" s="154" t="s">
        <v>1778</v>
      </c>
      <c r="B401" s="259">
        <v>28</v>
      </c>
      <c r="C401" s="259">
        <v>2</v>
      </c>
      <c r="D401" s="154">
        <v>-1</v>
      </c>
      <c r="E401" s="263" t="s">
        <v>1779</v>
      </c>
      <c r="F401" s="259"/>
      <c r="G401" s="154" t="s">
        <v>536</v>
      </c>
      <c r="H401" s="154" t="s">
        <v>537</v>
      </c>
      <c r="I401" s="154"/>
      <c r="J401" s="269"/>
      <c r="K401" s="288"/>
      <c r="L401" s="271"/>
      <c r="M401" s="289"/>
      <c r="N401" s="271"/>
      <c r="O401" s="271"/>
      <c r="P401" s="290">
        <v>72.55</v>
      </c>
      <c r="Q401" s="271"/>
      <c r="R401" s="154"/>
      <c r="S401" s="189"/>
      <c r="T401" s="308"/>
      <c r="U401" s="305">
        <v>0</v>
      </c>
      <c r="V401" s="305">
        <f t="shared" si="26"/>
        <v>0</v>
      </c>
      <c r="W401" s="306">
        <f t="shared" si="27"/>
        <v>0</v>
      </c>
      <c r="X401" s="271">
        <f t="shared" si="24"/>
        <v>0</v>
      </c>
      <c r="Y401" s="271">
        <f t="shared" si="25"/>
        <v>0</v>
      </c>
      <c r="Z401" s="154"/>
    </row>
    <row r="402" s="243" customFormat="1" ht="22" customHeight="1" outlineLevel="2" spans="1:26">
      <c r="A402" s="154" t="s">
        <v>1780</v>
      </c>
      <c r="B402" s="259">
        <v>28</v>
      </c>
      <c r="C402" s="259">
        <v>2</v>
      </c>
      <c r="D402" s="154">
        <v>-1</v>
      </c>
      <c r="E402" s="263" t="s">
        <v>1781</v>
      </c>
      <c r="F402" s="259"/>
      <c r="G402" s="154" t="s">
        <v>536</v>
      </c>
      <c r="H402" s="154" t="s">
        <v>537</v>
      </c>
      <c r="I402" s="154"/>
      <c r="J402" s="269"/>
      <c r="K402" s="288"/>
      <c r="L402" s="271"/>
      <c r="M402" s="289"/>
      <c r="N402" s="271"/>
      <c r="O402" s="271"/>
      <c r="P402" s="290">
        <v>72.65</v>
      </c>
      <c r="Q402" s="271"/>
      <c r="R402" s="154"/>
      <c r="S402" s="189"/>
      <c r="T402" s="308"/>
      <c r="U402" s="305">
        <v>0</v>
      </c>
      <c r="V402" s="305">
        <f t="shared" si="26"/>
        <v>0</v>
      </c>
      <c r="W402" s="306">
        <f t="shared" si="27"/>
        <v>0</v>
      </c>
      <c r="X402" s="271">
        <f t="shared" si="24"/>
        <v>0</v>
      </c>
      <c r="Y402" s="271">
        <f t="shared" si="25"/>
        <v>0</v>
      </c>
      <c r="Z402" s="154"/>
    </row>
    <row r="403" s="243" customFormat="1" ht="22" customHeight="1" outlineLevel="2" spans="1:26">
      <c r="A403" s="154" t="s">
        <v>1782</v>
      </c>
      <c r="B403" s="259">
        <v>28</v>
      </c>
      <c r="C403" s="259">
        <v>2</v>
      </c>
      <c r="D403" s="154">
        <v>-1</v>
      </c>
      <c r="E403" s="263" t="s">
        <v>1783</v>
      </c>
      <c r="F403" s="259"/>
      <c r="G403" s="154" t="s">
        <v>536</v>
      </c>
      <c r="H403" s="154" t="s">
        <v>537</v>
      </c>
      <c r="I403" s="154"/>
      <c r="J403" s="269"/>
      <c r="K403" s="288"/>
      <c r="L403" s="271"/>
      <c r="M403" s="289"/>
      <c r="N403" s="271"/>
      <c r="O403" s="271"/>
      <c r="P403" s="290">
        <v>12.34</v>
      </c>
      <c r="Q403" s="271"/>
      <c r="R403" s="154"/>
      <c r="S403" s="189"/>
      <c r="T403" s="308"/>
      <c r="U403" s="305">
        <v>0</v>
      </c>
      <c r="V403" s="305">
        <f t="shared" si="26"/>
        <v>0</v>
      </c>
      <c r="W403" s="306">
        <f t="shared" si="27"/>
        <v>0</v>
      </c>
      <c r="X403" s="271">
        <f t="shared" si="24"/>
        <v>0</v>
      </c>
      <c r="Y403" s="271">
        <f t="shared" si="25"/>
        <v>0</v>
      </c>
      <c r="Z403" s="154"/>
    </row>
    <row r="404" s="243" customFormat="1" ht="22" customHeight="1" outlineLevel="2" spans="1:26">
      <c r="A404" s="154" t="s">
        <v>1784</v>
      </c>
      <c r="B404" s="259">
        <v>28</v>
      </c>
      <c r="C404" s="259">
        <v>2</v>
      </c>
      <c r="D404" s="154">
        <v>-1</v>
      </c>
      <c r="E404" s="263" t="s">
        <v>1785</v>
      </c>
      <c r="F404" s="259"/>
      <c r="G404" s="154" t="s">
        <v>536</v>
      </c>
      <c r="H404" s="154" t="s">
        <v>537</v>
      </c>
      <c r="I404" s="154"/>
      <c r="J404" s="269"/>
      <c r="K404" s="288"/>
      <c r="L404" s="271"/>
      <c r="M404" s="289"/>
      <c r="N404" s="271"/>
      <c r="O404" s="271"/>
      <c r="P404" s="290">
        <v>10.33</v>
      </c>
      <c r="Q404" s="271"/>
      <c r="R404" s="154"/>
      <c r="S404" s="189"/>
      <c r="T404" s="308"/>
      <c r="U404" s="305"/>
      <c r="V404" s="305">
        <f t="shared" si="26"/>
        <v>0</v>
      </c>
      <c r="W404" s="306">
        <f t="shared" si="27"/>
        <v>0</v>
      </c>
      <c r="X404" s="271">
        <f t="shared" si="24"/>
        <v>0</v>
      </c>
      <c r="Y404" s="271">
        <f t="shared" si="25"/>
        <v>0</v>
      </c>
      <c r="Z404" s="154"/>
    </row>
    <row r="405" s="243" customFormat="1" ht="22" customHeight="1" outlineLevel="2" spans="1:26">
      <c r="A405" s="154" t="s">
        <v>1786</v>
      </c>
      <c r="B405" s="259">
        <v>28</v>
      </c>
      <c r="C405" s="259">
        <v>2</v>
      </c>
      <c r="D405" s="154">
        <v>-1</v>
      </c>
      <c r="E405" s="263" t="s">
        <v>1787</v>
      </c>
      <c r="F405" s="259"/>
      <c r="G405" s="154" t="s">
        <v>536</v>
      </c>
      <c r="H405" s="154" t="s">
        <v>537</v>
      </c>
      <c r="I405" s="154"/>
      <c r="J405" s="269"/>
      <c r="K405" s="288"/>
      <c r="L405" s="271"/>
      <c r="M405" s="289"/>
      <c r="N405" s="271"/>
      <c r="O405" s="271"/>
      <c r="P405" s="290">
        <v>12.06</v>
      </c>
      <c r="Q405" s="271"/>
      <c r="R405" s="154"/>
      <c r="S405" s="189"/>
      <c r="T405" s="308"/>
      <c r="U405" s="305">
        <v>0</v>
      </c>
      <c r="V405" s="305">
        <f t="shared" si="26"/>
        <v>0</v>
      </c>
      <c r="W405" s="306">
        <f t="shared" si="27"/>
        <v>0</v>
      </c>
      <c r="X405" s="271">
        <f t="shared" si="24"/>
        <v>0</v>
      </c>
      <c r="Y405" s="271">
        <f t="shared" si="25"/>
        <v>0</v>
      </c>
      <c r="Z405" s="154"/>
    </row>
    <row r="406" s="243" customFormat="1" ht="22" customHeight="1" outlineLevel="2" spans="1:26">
      <c r="A406" s="154" t="s">
        <v>1788</v>
      </c>
      <c r="B406" s="259">
        <v>28</v>
      </c>
      <c r="C406" s="259">
        <v>2</v>
      </c>
      <c r="D406" s="154">
        <v>-1</v>
      </c>
      <c r="E406" s="263" t="s">
        <v>1789</v>
      </c>
      <c r="F406" s="259"/>
      <c r="G406" s="154" t="s">
        <v>536</v>
      </c>
      <c r="H406" s="154" t="s">
        <v>537</v>
      </c>
      <c r="I406" s="154"/>
      <c r="J406" s="269"/>
      <c r="K406" s="288"/>
      <c r="L406" s="271"/>
      <c r="M406" s="289"/>
      <c r="N406" s="271"/>
      <c r="O406" s="271"/>
      <c r="P406" s="290">
        <v>12.06</v>
      </c>
      <c r="Q406" s="271"/>
      <c r="R406" s="154"/>
      <c r="S406" s="189"/>
      <c r="T406" s="308"/>
      <c r="U406" s="305"/>
      <c r="V406" s="305">
        <f t="shared" si="26"/>
        <v>0</v>
      </c>
      <c r="W406" s="306">
        <f t="shared" si="27"/>
        <v>0</v>
      </c>
      <c r="X406" s="271">
        <f t="shared" si="24"/>
        <v>0</v>
      </c>
      <c r="Y406" s="271">
        <f t="shared" si="25"/>
        <v>0</v>
      </c>
      <c r="Z406" s="154"/>
    </row>
    <row r="407" s="243" customFormat="1" ht="22" customHeight="1" outlineLevel="2" spans="1:26">
      <c r="A407" s="154" t="s">
        <v>1790</v>
      </c>
      <c r="B407" s="259">
        <v>29</v>
      </c>
      <c r="C407" s="259">
        <v>1</v>
      </c>
      <c r="D407" s="154">
        <v>1</v>
      </c>
      <c r="E407" s="263" t="s">
        <v>1791</v>
      </c>
      <c r="F407" s="259"/>
      <c r="G407" s="154" t="s">
        <v>256</v>
      </c>
      <c r="H407" s="154" t="s">
        <v>427</v>
      </c>
      <c r="I407" s="154" t="s">
        <v>334</v>
      </c>
      <c r="J407" s="269">
        <v>20240004982</v>
      </c>
      <c r="K407" s="288">
        <v>45534</v>
      </c>
      <c r="L407" s="271">
        <v>976716</v>
      </c>
      <c r="M407" s="289" t="s">
        <v>1792</v>
      </c>
      <c r="N407" s="271">
        <v>125.22</v>
      </c>
      <c r="O407" s="271"/>
      <c r="P407" s="290">
        <v>125.22</v>
      </c>
      <c r="Q407" s="271"/>
      <c r="R407" s="154"/>
      <c r="S407" s="189"/>
      <c r="T407" s="308" t="s">
        <v>1793</v>
      </c>
      <c r="U407" s="305">
        <v>896069.72</v>
      </c>
      <c r="V407" s="305">
        <f t="shared" si="26"/>
        <v>80646.28</v>
      </c>
      <c r="W407" s="306">
        <f t="shared" si="27"/>
        <v>976716</v>
      </c>
      <c r="X407" s="271">
        <f t="shared" si="24"/>
        <v>896069.72</v>
      </c>
      <c r="Y407" s="271">
        <f t="shared" si="25"/>
        <v>7155.96</v>
      </c>
      <c r="Z407" s="154"/>
    </row>
    <row r="408" s="243" customFormat="1" ht="22" customHeight="1" outlineLevel="2" spans="1:26">
      <c r="A408" s="154" t="s">
        <v>1794</v>
      </c>
      <c r="B408" s="259">
        <v>29</v>
      </c>
      <c r="C408" s="259">
        <v>1</v>
      </c>
      <c r="D408" s="154">
        <v>1</v>
      </c>
      <c r="E408" s="263" t="s">
        <v>1795</v>
      </c>
      <c r="F408" s="259"/>
      <c r="G408" s="154" t="s">
        <v>256</v>
      </c>
      <c r="H408" s="154" t="s">
        <v>427</v>
      </c>
      <c r="I408" s="154" t="s">
        <v>334</v>
      </c>
      <c r="J408" s="269" t="s">
        <v>1796</v>
      </c>
      <c r="K408" s="288">
        <v>44670</v>
      </c>
      <c r="L408" s="271">
        <v>848232</v>
      </c>
      <c r="M408" s="289" t="s">
        <v>1797</v>
      </c>
      <c r="N408" s="271">
        <v>124.74</v>
      </c>
      <c r="O408" s="271"/>
      <c r="P408" s="290">
        <v>124.74</v>
      </c>
      <c r="Q408" s="271"/>
      <c r="R408" s="154"/>
      <c r="S408" s="189" t="s">
        <v>430</v>
      </c>
      <c r="T408" s="308" t="s">
        <v>1798</v>
      </c>
      <c r="U408" s="305">
        <v>778194.5</v>
      </c>
      <c r="V408" s="305">
        <f t="shared" si="26"/>
        <v>70037.5</v>
      </c>
      <c r="W408" s="306">
        <f t="shared" si="27"/>
        <v>848232</v>
      </c>
      <c r="X408" s="271">
        <f t="shared" si="24"/>
        <v>778194.5</v>
      </c>
      <c r="Y408" s="271">
        <f t="shared" si="25"/>
        <v>6238.53</v>
      </c>
      <c r="Z408" s="154"/>
    </row>
    <row r="409" s="243" customFormat="1" ht="22" customHeight="1" outlineLevel="2" spans="1:26">
      <c r="A409" s="154" t="s">
        <v>1799</v>
      </c>
      <c r="B409" s="259">
        <v>29</v>
      </c>
      <c r="C409" s="259">
        <v>1</v>
      </c>
      <c r="D409" s="154">
        <v>2</v>
      </c>
      <c r="E409" s="263" t="s">
        <v>1800</v>
      </c>
      <c r="F409" s="259"/>
      <c r="G409" s="154" t="s">
        <v>256</v>
      </c>
      <c r="H409" s="154" t="s">
        <v>427</v>
      </c>
      <c r="I409" s="154" t="s">
        <v>334</v>
      </c>
      <c r="J409" s="269">
        <v>20190006576</v>
      </c>
      <c r="K409" s="288">
        <v>43798</v>
      </c>
      <c r="L409" s="271">
        <v>498010</v>
      </c>
      <c r="M409" s="289" t="s">
        <v>1801</v>
      </c>
      <c r="N409" s="271">
        <v>125.22</v>
      </c>
      <c r="O409" s="271"/>
      <c r="P409" s="290">
        <v>125.22</v>
      </c>
      <c r="Q409" s="271"/>
      <c r="R409" s="154"/>
      <c r="S409" s="189" t="s">
        <v>430</v>
      </c>
      <c r="T409" s="308" t="s">
        <v>1802</v>
      </c>
      <c r="U409" s="305">
        <v>456889.91</v>
      </c>
      <c r="V409" s="305">
        <f t="shared" si="26"/>
        <v>41120.09</v>
      </c>
      <c r="W409" s="306">
        <f t="shared" si="27"/>
        <v>498010</v>
      </c>
      <c r="X409" s="271">
        <f t="shared" si="24"/>
        <v>456889.91</v>
      </c>
      <c r="Y409" s="271">
        <f t="shared" si="25"/>
        <v>3648.7</v>
      </c>
      <c r="Z409" s="154"/>
    </row>
    <row r="410" s="243" customFormat="1" ht="22" customHeight="1" outlineLevel="2" spans="1:26">
      <c r="A410" s="154" t="s">
        <v>1803</v>
      </c>
      <c r="B410" s="259">
        <v>29</v>
      </c>
      <c r="C410" s="259">
        <v>1</v>
      </c>
      <c r="D410" s="154">
        <v>2</v>
      </c>
      <c r="E410" s="263" t="s">
        <v>1804</v>
      </c>
      <c r="F410" s="259"/>
      <c r="G410" s="154" t="s">
        <v>256</v>
      </c>
      <c r="H410" s="154" t="s">
        <v>427</v>
      </c>
      <c r="I410" s="154" t="s">
        <v>334</v>
      </c>
      <c r="J410" s="269" t="s">
        <v>1805</v>
      </c>
      <c r="K410" s="288">
        <v>43788</v>
      </c>
      <c r="L410" s="271">
        <v>485732</v>
      </c>
      <c r="M410" s="289" t="s">
        <v>1806</v>
      </c>
      <c r="N410" s="271">
        <v>124.84</v>
      </c>
      <c r="O410" s="271"/>
      <c r="P410" s="290">
        <v>124.84</v>
      </c>
      <c r="Q410" s="271"/>
      <c r="R410" s="154"/>
      <c r="S410" s="189" t="s">
        <v>430</v>
      </c>
      <c r="T410" s="308" t="s">
        <v>1807</v>
      </c>
      <c r="U410" s="305">
        <v>445625.69</v>
      </c>
      <c r="V410" s="305">
        <f t="shared" si="26"/>
        <v>40106.31</v>
      </c>
      <c r="W410" s="306">
        <f t="shared" si="27"/>
        <v>485732</v>
      </c>
      <c r="X410" s="271">
        <f t="shared" si="24"/>
        <v>445625.69</v>
      </c>
      <c r="Y410" s="271">
        <f t="shared" si="25"/>
        <v>3569.57</v>
      </c>
      <c r="Z410" s="154"/>
    </row>
    <row r="411" s="243" customFormat="1" ht="22" customHeight="1" outlineLevel="2" spans="1:26">
      <c r="A411" s="154" t="s">
        <v>1808</v>
      </c>
      <c r="B411" s="259">
        <v>29</v>
      </c>
      <c r="C411" s="259">
        <v>1</v>
      </c>
      <c r="D411" s="154">
        <v>3</v>
      </c>
      <c r="E411" s="263" t="s">
        <v>1809</v>
      </c>
      <c r="F411" s="259"/>
      <c r="G411" s="154" t="s">
        <v>256</v>
      </c>
      <c r="H411" s="154" t="s">
        <v>427</v>
      </c>
      <c r="I411" s="154" t="s">
        <v>334</v>
      </c>
      <c r="J411" s="269">
        <v>20190005903</v>
      </c>
      <c r="K411" s="288">
        <v>43777</v>
      </c>
      <c r="L411" s="271">
        <v>499057</v>
      </c>
      <c r="M411" s="289" t="s">
        <v>1810</v>
      </c>
      <c r="N411" s="271">
        <v>125.22</v>
      </c>
      <c r="O411" s="271"/>
      <c r="P411" s="290">
        <v>125.22</v>
      </c>
      <c r="Q411" s="271"/>
      <c r="R411" s="154"/>
      <c r="S411" s="189" t="s">
        <v>430</v>
      </c>
      <c r="T411" s="308" t="s">
        <v>1811</v>
      </c>
      <c r="U411" s="305">
        <v>457850.46</v>
      </c>
      <c r="V411" s="305">
        <f t="shared" si="26"/>
        <v>41206.54</v>
      </c>
      <c r="W411" s="306">
        <f t="shared" si="27"/>
        <v>499057</v>
      </c>
      <c r="X411" s="271">
        <f t="shared" si="24"/>
        <v>457850.46</v>
      </c>
      <c r="Y411" s="271">
        <f t="shared" si="25"/>
        <v>3656.37</v>
      </c>
      <c r="Z411" s="154"/>
    </row>
    <row r="412" s="243" customFormat="1" ht="22" customHeight="1" outlineLevel="2" spans="1:26">
      <c r="A412" s="154" t="s">
        <v>1812</v>
      </c>
      <c r="B412" s="259">
        <v>29</v>
      </c>
      <c r="C412" s="259">
        <v>1</v>
      </c>
      <c r="D412" s="154">
        <v>3</v>
      </c>
      <c r="E412" s="263" t="s">
        <v>1813</v>
      </c>
      <c r="F412" s="259"/>
      <c r="G412" s="154" t="s">
        <v>256</v>
      </c>
      <c r="H412" s="154" t="s">
        <v>427</v>
      </c>
      <c r="I412" s="154" t="s">
        <v>334</v>
      </c>
      <c r="J412" s="269">
        <v>20190007122</v>
      </c>
      <c r="K412" s="288">
        <v>43808</v>
      </c>
      <c r="L412" s="271">
        <v>491653</v>
      </c>
      <c r="M412" s="289" t="s">
        <v>1814</v>
      </c>
      <c r="N412" s="271">
        <v>124.84</v>
      </c>
      <c r="O412" s="271"/>
      <c r="P412" s="290">
        <v>124.84</v>
      </c>
      <c r="Q412" s="271"/>
      <c r="R412" s="154"/>
      <c r="S412" s="189" t="s">
        <v>430</v>
      </c>
      <c r="T412" s="308" t="s">
        <v>1815</v>
      </c>
      <c r="U412" s="305">
        <v>451057.8</v>
      </c>
      <c r="V412" s="305">
        <f t="shared" si="26"/>
        <v>40595.2</v>
      </c>
      <c r="W412" s="306">
        <f t="shared" si="27"/>
        <v>491653</v>
      </c>
      <c r="X412" s="271">
        <f t="shared" si="24"/>
        <v>451057.8</v>
      </c>
      <c r="Y412" s="271">
        <f t="shared" si="25"/>
        <v>3613.09</v>
      </c>
      <c r="Z412" s="154"/>
    </row>
    <row r="413" s="243" customFormat="1" ht="22" customHeight="1" outlineLevel="2" spans="1:26">
      <c r="A413" s="154" t="s">
        <v>1816</v>
      </c>
      <c r="B413" s="259">
        <v>29</v>
      </c>
      <c r="C413" s="259">
        <v>1</v>
      </c>
      <c r="D413" s="154">
        <v>4</v>
      </c>
      <c r="E413" s="263" t="s">
        <v>1817</v>
      </c>
      <c r="F413" s="259"/>
      <c r="G413" s="154" t="s">
        <v>256</v>
      </c>
      <c r="H413" s="154" t="s">
        <v>427</v>
      </c>
      <c r="I413" s="154" t="s">
        <v>334</v>
      </c>
      <c r="J413" s="269" t="s">
        <v>1818</v>
      </c>
      <c r="K413" s="288">
        <v>43807</v>
      </c>
      <c r="L413" s="271">
        <v>516113</v>
      </c>
      <c r="M413" s="289" t="s">
        <v>1819</v>
      </c>
      <c r="N413" s="271">
        <v>125.22</v>
      </c>
      <c r="O413" s="271"/>
      <c r="P413" s="290">
        <v>125.22</v>
      </c>
      <c r="Q413" s="271"/>
      <c r="R413" s="154"/>
      <c r="S413" s="189" t="s">
        <v>430</v>
      </c>
      <c r="T413" s="308" t="s">
        <v>1820</v>
      </c>
      <c r="U413" s="305">
        <v>473498.17</v>
      </c>
      <c r="V413" s="305">
        <f t="shared" si="26"/>
        <v>42614.83</v>
      </c>
      <c r="W413" s="306">
        <f t="shared" si="27"/>
        <v>516113</v>
      </c>
      <c r="X413" s="271">
        <f t="shared" si="24"/>
        <v>473498.17</v>
      </c>
      <c r="Y413" s="271">
        <f t="shared" si="25"/>
        <v>3781.33</v>
      </c>
      <c r="Z413" s="154"/>
    </row>
    <row r="414" s="243" customFormat="1" ht="22" customHeight="1" outlineLevel="2" spans="1:26">
      <c r="A414" s="154" t="s">
        <v>1821</v>
      </c>
      <c r="B414" s="259">
        <v>29</v>
      </c>
      <c r="C414" s="259">
        <v>1</v>
      </c>
      <c r="D414" s="154">
        <v>4</v>
      </c>
      <c r="E414" s="263" t="s">
        <v>1822</v>
      </c>
      <c r="F414" s="259"/>
      <c r="G414" s="154" t="s">
        <v>256</v>
      </c>
      <c r="H414" s="154" t="s">
        <v>427</v>
      </c>
      <c r="I414" s="154" t="s">
        <v>334</v>
      </c>
      <c r="J414" s="269" t="s">
        <v>1823</v>
      </c>
      <c r="K414" s="288">
        <v>43938</v>
      </c>
      <c r="L414" s="271">
        <v>505093</v>
      </c>
      <c r="M414" s="289" t="s">
        <v>1824</v>
      </c>
      <c r="N414" s="271">
        <v>124.84</v>
      </c>
      <c r="O414" s="271"/>
      <c r="P414" s="290">
        <v>124.84</v>
      </c>
      <c r="Q414" s="271"/>
      <c r="R414" s="154"/>
      <c r="S414" s="189" t="s">
        <v>430</v>
      </c>
      <c r="T414" s="308" t="s">
        <v>1825</v>
      </c>
      <c r="U414" s="305">
        <v>463388.07</v>
      </c>
      <c r="V414" s="305">
        <f t="shared" si="26"/>
        <v>41704.93</v>
      </c>
      <c r="W414" s="306">
        <f t="shared" si="27"/>
        <v>505093</v>
      </c>
      <c r="X414" s="271">
        <f t="shared" si="24"/>
        <v>463388.07</v>
      </c>
      <c r="Y414" s="271">
        <f t="shared" si="25"/>
        <v>3711.86</v>
      </c>
      <c r="Z414" s="154"/>
    </row>
    <row r="415" s="243" customFormat="1" ht="22" customHeight="1" outlineLevel="2" spans="1:26">
      <c r="A415" s="154" t="s">
        <v>1826</v>
      </c>
      <c r="B415" s="259">
        <v>29</v>
      </c>
      <c r="C415" s="259">
        <v>1</v>
      </c>
      <c r="D415" s="154">
        <v>5</v>
      </c>
      <c r="E415" s="263" t="s">
        <v>1827</v>
      </c>
      <c r="F415" s="259"/>
      <c r="G415" s="154" t="s">
        <v>256</v>
      </c>
      <c r="H415" s="154" t="s">
        <v>427</v>
      </c>
      <c r="I415" s="154" t="s">
        <v>334</v>
      </c>
      <c r="J415" s="269" t="s">
        <v>1828</v>
      </c>
      <c r="K415" s="288">
        <v>43917</v>
      </c>
      <c r="L415" s="271">
        <v>522061</v>
      </c>
      <c r="M415" s="289" t="s">
        <v>1829</v>
      </c>
      <c r="N415" s="271">
        <v>125.22</v>
      </c>
      <c r="O415" s="271"/>
      <c r="P415" s="290">
        <v>125.22</v>
      </c>
      <c r="Q415" s="271"/>
      <c r="R415" s="154"/>
      <c r="S415" s="189" t="s">
        <v>430</v>
      </c>
      <c r="T415" s="308" t="s">
        <v>1830</v>
      </c>
      <c r="U415" s="305">
        <v>478955.05</v>
      </c>
      <c r="V415" s="305">
        <f t="shared" si="26"/>
        <v>43105.95</v>
      </c>
      <c r="W415" s="306">
        <f t="shared" si="27"/>
        <v>522061</v>
      </c>
      <c r="X415" s="271">
        <f t="shared" si="24"/>
        <v>478955.05</v>
      </c>
      <c r="Y415" s="271">
        <f t="shared" si="25"/>
        <v>3824.91</v>
      </c>
      <c r="Z415" s="154"/>
    </row>
    <row r="416" s="243" customFormat="1" ht="22" customHeight="1" outlineLevel="2" spans="1:26">
      <c r="A416" s="154" t="s">
        <v>1831</v>
      </c>
      <c r="B416" s="259">
        <v>29</v>
      </c>
      <c r="C416" s="259">
        <v>1</v>
      </c>
      <c r="D416" s="154">
        <v>5</v>
      </c>
      <c r="E416" s="263" t="s">
        <v>1832</v>
      </c>
      <c r="F416" s="259"/>
      <c r="G416" s="154" t="s">
        <v>256</v>
      </c>
      <c r="H416" s="154" t="s">
        <v>427</v>
      </c>
      <c r="I416" s="154" t="s">
        <v>334</v>
      </c>
      <c r="J416" s="269" t="s">
        <v>1833</v>
      </c>
      <c r="K416" s="288">
        <v>43835</v>
      </c>
      <c r="L416" s="271">
        <v>511023</v>
      </c>
      <c r="M416" s="289" t="s">
        <v>1834</v>
      </c>
      <c r="N416" s="271">
        <v>124.84</v>
      </c>
      <c r="O416" s="271"/>
      <c r="P416" s="290">
        <v>124.84</v>
      </c>
      <c r="Q416" s="271"/>
      <c r="R416" s="154"/>
      <c r="S416" s="189" t="s">
        <v>430</v>
      </c>
      <c r="T416" s="308" t="s">
        <v>1835</v>
      </c>
      <c r="U416" s="305">
        <v>468828.44</v>
      </c>
      <c r="V416" s="305">
        <f t="shared" si="26"/>
        <v>42194.56</v>
      </c>
      <c r="W416" s="306">
        <f t="shared" si="27"/>
        <v>511023</v>
      </c>
      <c r="X416" s="271">
        <f t="shared" si="24"/>
        <v>468828.44</v>
      </c>
      <c r="Y416" s="271">
        <f t="shared" si="25"/>
        <v>3755.43</v>
      </c>
      <c r="Z416" s="154"/>
    </row>
    <row r="417" s="243" customFormat="1" ht="22" customHeight="1" outlineLevel="2" spans="1:26">
      <c r="A417" s="154" t="s">
        <v>1836</v>
      </c>
      <c r="B417" s="259">
        <v>29</v>
      </c>
      <c r="C417" s="259">
        <v>1</v>
      </c>
      <c r="D417" s="154">
        <v>6</v>
      </c>
      <c r="E417" s="263" t="s">
        <v>1837</v>
      </c>
      <c r="F417" s="259"/>
      <c r="G417" s="154" t="s">
        <v>256</v>
      </c>
      <c r="H417" s="154" t="s">
        <v>427</v>
      </c>
      <c r="I417" s="154" t="s">
        <v>334</v>
      </c>
      <c r="J417" s="269">
        <v>20190005606</v>
      </c>
      <c r="K417" s="288">
        <v>43780</v>
      </c>
      <c r="L417" s="271">
        <v>528129</v>
      </c>
      <c r="M417" s="289" t="s">
        <v>1838</v>
      </c>
      <c r="N417" s="271">
        <v>125.22</v>
      </c>
      <c r="O417" s="271"/>
      <c r="P417" s="290">
        <v>125.22</v>
      </c>
      <c r="Q417" s="271"/>
      <c r="R417" s="154"/>
      <c r="S417" s="189" t="s">
        <v>430</v>
      </c>
      <c r="T417" s="308" t="s">
        <v>1839</v>
      </c>
      <c r="U417" s="305">
        <v>484522.02</v>
      </c>
      <c r="V417" s="305">
        <f t="shared" si="26"/>
        <v>43606.98</v>
      </c>
      <c r="W417" s="306">
        <f t="shared" si="27"/>
        <v>528129</v>
      </c>
      <c r="X417" s="271">
        <f t="shared" si="24"/>
        <v>484522.02</v>
      </c>
      <c r="Y417" s="271">
        <f t="shared" si="25"/>
        <v>3869.37</v>
      </c>
      <c r="Z417" s="154"/>
    </row>
    <row r="418" s="243" customFormat="1" ht="22" customHeight="1" outlineLevel="2" spans="1:26">
      <c r="A418" s="154" t="s">
        <v>1840</v>
      </c>
      <c r="B418" s="259">
        <v>29</v>
      </c>
      <c r="C418" s="259">
        <v>1</v>
      </c>
      <c r="D418" s="154">
        <v>6</v>
      </c>
      <c r="E418" s="263" t="s">
        <v>1841</v>
      </c>
      <c r="F418" s="259"/>
      <c r="G418" s="154" t="s">
        <v>256</v>
      </c>
      <c r="H418" s="154" t="s">
        <v>427</v>
      </c>
      <c r="I418" s="154" t="s">
        <v>334</v>
      </c>
      <c r="J418" s="269" t="s">
        <v>1842</v>
      </c>
      <c r="K418" s="288">
        <v>43830</v>
      </c>
      <c r="L418" s="271">
        <v>517071</v>
      </c>
      <c r="M418" s="289" t="s">
        <v>1843</v>
      </c>
      <c r="N418" s="271">
        <v>124.84</v>
      </c>
      <c r="O418" s="271"/>
      <c r="P418" s="290">
        <v>124.84</v>
      </c>
      <c r="Q418" s="271"/>
      <c r="R418" s="154"/>
      <c r="S418" s="189" t="s">
        <v>430</v>
      </c>
      <c r="T418" s="308" t="s">
        <v>1844</v>
      </c>
      <c r="U418" s="305">
        <v>474377.06</v>
      </c>
      <c r="V418" s="305">
        <f t="shared" si="26"/>
        <v>42693.94</v>
      </c>
      <c r="W418" s="306">
        <f t="shared" si="27"/>
        <v>517071</v>
      </c>
      <c r="X418" s="271">
        <f t="shared" si="24"/>
        <v>474377.06</v>
      </c>
      <c r="Y418" s="271">
        <f t="shared" si="25"/>
        <v>3799.88</v>
      </c>
      <c r="Z418" s="154"/>
    </row>
    <row r="419" s="243" customFormat="1" ht="22" customHeight="1" outlineLevel="2" spans="1:26">
      <c r="A419" s="154" t="s">
        <v>1845</v>
      </c>
      <c r="B419" s="259">
        <v>29</v>
      </c>
      <c r="C419" s="259">
        <v>1</v>
      </c>
      <c r="D419" s="154">
        <v>7</v>
      </c>
      <c r="E419" s="263" t="s">
        <v>1846</v>
      </c>
      <c r="F419" s="259"/>
      <c r="G419" s="154" t="s">
        <v>257</v>
      </c>
      <c r="H419" s="154" t="s">
        <v>427</v>
      </c>
      <c r="I419" s="154" t="s">
        <v>334</v>
      </c>
      <c r="J419" s="269" t="s">
        <v>1847</v>
      </c>
      <c r="K419" s="288">
        <v>43987</v>
      </c>
      <c r="L419" s="271">
        <v>799198</v>
      </c>
      <c r="M419" s="289" t="s">
        <v>1848</v>
      </c>
      <c r="N419" s="271">
        <v>185.86</v>
      </c>
      <c r="O419" s="271"/>
      <c r="P419" s="290">
        <v>185.86</v>
      </c>
      <c r="Q419" s="271"/>
      <c r="R419" s="154"/>
      <c r="S419" s="189" t="s">
        <v>430</v>
      </c>
      <c r="T419" s="308" t="s">
        <v>1849</v>
      </c>
      <c r="U419" s="305">
        <v>733209.17</v>
      </c>
      <c r="V419" s="305">
        <f t="shared" si="26"/>
        <v>65988.83</v>
      </c>
      <c r="W419" s="306">
        <f t="shared" si="27"/>
        <v>799198</v>
      </c>
      <c r="X419" s="271">
        <f t="shared" si="24"/>
        <v>733209.17</v>
      </c>
      <c r="Y419" s="271">
        <f t="shared" si="25"/>
        <v>3944.95</v>
      </c>
      <c r="Z419" s="154"/>
    </row>
    <row r="420" s="243" customFormat="1" ht="22" customHeight="1" outlineLevel="2" spans="1:26">
      <c r="A420" s="154" t="s">
        <v>1850</v>
      </c>
      <c r="B420" s="259">
        <v>29</v>
      </c>
      <c r="C420" s="259">
        <v>1</v>
      </c>
      <c r="D420" s="154">
        <v>7</v>
      </c>
      <c r="E420" s="263" t="s">
        <v>1851</v>
      </c>
      <c r="F420" s="259"/>
      <c r="G420" s="154" t="s">
        <v>257</v>
      </c>
      <c r="H420" s="154" t="s">
        <v>427</v>
      </c>
      <c r="I420" s="154" t="s">
        <v>334</v>
      </c>
      <c r="J420" s="269" t="s">
        <v>1852</v>
      </c>
      <c r="K420" s="288">
        <v>43950</v>
      </c>
      <c r="L420" s="271">
        <v>780000</v>
      </c>
      <c r="M420" s="289" t="s">
        <v>1853</v>
      </c>
      <c r="N420" s="271">
        <v>185.48</v>
      </c>
      <c r="O420" s="271"/>
      <c r="P420" s="290">
        <v>185.48</v>
      </c>
      <c r="Q420" s="271"/>
      <c r="R420" s="154"/>
      <c r="S420" s="189" t="s">
        <v>430</v>
      </c>
      <c r="T420" s="308" t="s">
        <v>1854</v>
      </c>
      <c r="U420" s="305">
        <v>715596.33</v>
      </c>
      <c r="V420" s="305">
        <f t="shared" si="26"/>
        <v>64403.67</v>
      </c>
      <c r="W420" s="306">
        <f t="shared" si="27"/>
        <v>780000</v>
      </c>
      <c r="X420" s="271">
        <f t="shared" si="24"/>
        <v>715596.33</v>
      </c>
      <c r="Y420" s="271">
        <f t="shared" si="25"/>
        <v>3858.08</v>
      </c>
      <c r="Z420" s="154"/>
    </row>
    <row r="421" s="243" customFormat="1" ht="22" customHeight="1" outlineLevel="2" spans="1:26">
      <c r="A421" s="154" t="s">
        <v>1855</v>
      </c>
      <c r="B421" s="259">
        <v>29</v>
      </c>
      <c r="C421" s="259">
        <v>2</v>
      </c>
      <c r="D421" s="154">
        <v>1</v>
      </c>
      <c r="E421" s="263" t="s">
        <v>1856</v>
      </c>
      <c r="F421" s="259"/>
      <c r="G421" s="154" t="s">
        <v>256</v>
      </c>
      <c r="H421" s="154" t="s">
        <v>427</v>
      </c>
      <c r="I421" s="154" t="s">
        <v>334</v>
      </c>
      <c r="J421" s="269" t="s">
        <v>1857</v>
      </c>
      <c r="K421" s="288">
        <v>44359</v>
      </c>
      <c r="L421" s="271">
        <v>940000</v>
      </c>
      <c r="M421" s="289" t="s">
        <v>1858</v>
      </c>
      <c r="N421" s="271">
        <v>124.78</v>
      </c>
      <c r="O421" s="271"/>
      <c r="P421" s="290">
        <v>124.78</v>
      </c>
      <c r="Q421" s="271"/>
      <c r="R421" s="154"/>
      <c r="S421" s="189" t="s">
        <v>430</v>
      </c>
      <c r="T421" s="308" t="s">
        <v>1859</v>
      </c>
      <c r="U421" s="305">
        <v>862385.32</v>
      </c>
      <c r="V421" s="305">
        <f t="shared" si="26"/>
        <v>77614.6800000001</v>
      </c>
      <c r="W421" s="306">
        <f t="shared" si="27"/>
        <v>940000</v>
      </c>
      <c r="X421" s="271">
        <f t="shared" si="24"/>
        <v>862385.32</v>
      </c>
      <c r="Y421" s="271">
        <f t="shared" si="25"/>
        <v>6911.25</v>
      </c>
      <c r="Z421" s="154"/>
    </row>
    <row r="422" s="243" customFormat="1" ht="22" customHeight="1" outlineLevel="2" spans="1:26">
      <c r="A422" s="154" t="s">
        <v>1860</v>
      </c>
      <c r="B422" s="259">
        <v>29</v>
      </c>
      <c r="C422" s="259">
        <v>2</v>
      </c>
      <c r="D422" s="154">
        <v>1</v>
      </c>
      <c r="E422" s="263" t="s">
        <v>1861</v>
      </c>
      <c r="F422" s="259"/>
      <c r="G422" s="154" t="s">
        <v>256</v>
      </c>
      <c r="H422" s="154" t="s">
        <v>427</v>
      </c>
      <c r="I422" s="154" t="s">
        <v>334</v>
      </c>
      <c r="J422" s="269" t="s">
        <v>1862</v>
      </c>
      <c r="K422" s="288">
        <v>44312</v>
      </c>
      <c r="L422" s="271">
        <v>932000</v>
      </c>
      <c r="M422" s="289" t="s">
        <v>1863</v>
      </c>
      <c r="N422" s="271">
        <v>125.18</v>
      </c>
      <c r="O422" s="271"/>
      <c r="P422" s="290">
        <v>125.18</v>
      </c>
      <c r="Q422" s="271"/>
      <c r="R422" s="154"/>
      <c r="S422" s="189" t="s">
        <v>430</v>
      </c>
      <c r="T422" s="308" t="s">
        <v>1864</v>
      </c>
      <c r="U422" s="305">
        <v>855045.87</v>
      </c>
      <c r="V422" s="305">
        <f t="shared" si="26"/>
        <v>76954.13</v>
      </c>
      <c r="W422" s="306">
        <f t="shared" si="27"/>
        <v>932000</v>
      </c>
      <c r="X422" s="271">
        <f t="shared" si="24"/>
        <v>855045.87</v>
      </c>
      <c r="Y422" s="271">
        <f t="shared" si="25"/>
        <v>6830.53</v>
      </c>
      <c r="Z422" s="154"/>
    </row>
    <row r="423" s="243" customFormat="1" ht="22" customHeight="1" outlineLevel="2" spans="1:26">
      <c r="A423" s="154" t="s">
        <v>1865</v>
      </c>
      <c r="B423" s="259">
        <v>29</v>
      </c>
      <c r="C423" s="259">
        <v>2</v>
      </c>
      <c r="D423" s="154">
        <v>2</v>
      </c>
      <c r="E423" s="263" t="s">
        <v>1866</v>
      </c>
      <c r="F423" s="259"/>
      <c r="G423" s="154" t="s">
        <v>256</v>
      </c>
      <c r="H423" s="154" t="s">
        <v>427</v>
      </c>
      <c r="I423" s="154" t="s">
        <v>334</v>
      </c>
      <c r="J423" s="269">
        <v>20190006465</v>
      </c>
      <c r="K423" s="288">
        <v>43796</v>
      </c>
      <c r="L423" s="271">
        <v>485717</v>
      </c>
      <c r="M423" s="289" t="s">
        <v>1867</v>
      </c>
      <c r="N423" s="271">
        <v>124.78</v>
      </c>
      <c r="O423" s="271"/>
      <c r="P423" s="290">
        <v>124.78</v>
      </c>
      <c r="Q423" s="271"/>
      <c r="R423" s="154"/>
      <c r="S423" s="189" t="s">
        <v>430</v>
      </c>
      <c r="T423" s="308" t="s">
        <v>1868</v>
      </c>
      <c r="U423" s="305">
        <v>445611.93</v>
      </c>
      <c r="V423" s="305">
        <f t="shared" si="26"/>
        <v>40105.07</v>
      </c>
      <c r="W423" s="306">
        <f t="shared" si="27"/>
        <v>485717</v>
      </c>
      <c r="X423" s="271">
        <f t="shared" si="24"/>
        <v>445611.93</v>
      </c>
      <c r="Y423" s="271">
        <f t="shared" si="25"/>
        <v>3571.18</v>
      </c>
      <c r="Z423" s="154"/>
    </row>
    <row r="424" s="243" customFormat="1" ht="22" customHeight="1" outlineLevel="2" spans="1:26">
      <c r="A424" s="154" t="s">
        <v>1869</v>
      </c>
      <c r="B424" s="259">
        <v>29</v>
      </c>
      <c r="C424" s="259">
        <v>2</v>
      </c>
      <c r="D424" s="154">
        <v>2</v>
      </c>
      <c r="E424" s="263" t="s">
        <v>1870</v>
      </c>
      <c r="F424" s="259"/>
      <c r="G424" s="154" t="s">
        <v>256</v>
      </c>
      <c r="H424" s="154" t="s">
        <v>427</v>
      </c>
      <c r="I424" s="154" t="s">
        <v>334</v>
      </c>
      <c r="J424" s="269" t="s">
        <v>1871</v>
      </c>
      <c r="K424" s="288">
        <v>43788</v>
      </c>
      <c r="L424" s="271">
        <v>493018</v>
      </c>
      <c r="M424" s="289" t="s">
        <v>1872</v>
      </c>
      <c r="N424" s="271">
        <v>125.28</v>
      </c>
      <c r="O424" s="271"/>
      <c r="P424" s="290">
        <v>125.28</v>
      </c>
      <c r="Q424" s="271"/>
      <c r="R424" s="154"/>
      <c r="S424" s="189" t="s">
        <v>430</v>
      </c>
      <c r="T424" s="308" t="s">
        <v>1873</v>
      </c>
      <c r="U424" s="305">
        <v>452310.09</v>
      </c>
      <c r="V424" s="305">
        <f t="shared" si="26"/>
        <v>40707.91</v>
      </c>
      <c r="W424" s="306">
        <f t="shared" si="27"/>
        <v>493018</v>
      </c>
      <c r="X424" s="271">
        <f t="shared" si="24"/>
        <v>452310.09</v>
      </c>
      <c r="Y424" s="271">
        <f t="shared" si="25"/>
        <v>3610.39</v>
      </c>
      <c r="Z424" s="154"/>
    </row>
    <row r="425" s="243" customFormat="1" ht="22" customHeight="1" outlineLevel="2" spans="1:26">
      <c r="A425" s="154" t="s">
        <v>1874</v>
      </c>
      <c r="B425" s="259">
        <v>29</v>
      </c>
      <c r="C425" s="259">
        <v>2</v>
      </c>
      <c r="D425" s="154">
        <v>3</v>
      </c>
      <c r="E425" s="263" t="s">
        <v>1875</v>
      </c>
      <c r="F425" s="259"/>
      <c r="G425" s="154" t="s">
        <v>256</v>
      </c>
      <c r="H425" s="154" t="s">
        <v>427</v>
      </c>
      <c r="I425" s="154" t="s">
        <v>334</v>
      </c>
      <c r="J425" s="269">
        <v>20190006051</v>
      </c>
      <c r="K425" s="288">
        <v>43789</v>
      </c>
      <c r="L425" s="271">
        <v>491635</v>
      </c>
      <c r="M425" s="289" t="s">
        <v>1876</v>
      </c>
      <c r="N425" s="271">
        <v>124.78</v>
      </c>
      <c r="O425" s="271"/>
      <c r="P425" s="290">
        <v>124.78</v>
      </c>
      <c r="Q425" s="271"/>
      <c r="R425" s="154"/>
      <c r="S425" s="189" t="s">
        <v>430</v>
      </c>
      <c r="T425" s="308" t="s">
        <v>1877</v>
      </c>
      <c r="U425" s="305">
        <v>451041.28</v>
      </c>
      <c r="V425" s="305">
        <f t="shared" si="26"/>
        <v>40593.72</v>
      </c>
      <c r="W425" s="306">
        <f t="shared" si="27"/>
        <v>491635</v>
      </c>
      <c r="X425" s="271">
        <f t="shared" si="24"/>
        <v>451041.28</v>
      </c>
      <c r="Y425" s="271">
        <f t="shared" si="25"/>
        <v>3614.69</v>
      </c>
      <c r="Z425" s="154"/>
    </row>
    <row r="426" s="243" customFormat="1" ht="22" customHeight="1" outlineLevel="2" spans="1:26">
      <c r="A426" s="154" t="s">
        <v>1878</v>
      </c>
      <c r="B426" s="259">
        <v>29</v>
      </c>
      <c r="C426" s="259">
        <v>2</v>
      </c>
      <c r="D426" s="154">
        <v>3</v>
      </c>
      <c r="E426" s="263" t="s">
        <v>1879</v>
      </c>
      <c r="F426" s="259"/>
      <c r="G426" s="154" t="s">
        <v>256</v>
      </c>
      <c r="H426" s="154" t="s">
        <v>427</v>
      </c>
      <c r="I426" s="154" t="s">
        <v>334</v>
      </c>
      <c r="J426" s="269">
        <v>20190006141</v>
      </c>
      <c r="K426" s="288">
        <v>43790</v>
      </c>
      <c r="L426" s="271">
        <v>499077</v>
      </c>
      <c r="M426" s="289" t="s">
        <v>1880</v>
      </c>
      <c r="N426" s="271">
        <v>125.28</v>
      </c>
      <c r="O426" s="271"/>
      <c r="P426" s="290">
        <v>125.28</v>
      </c>
      <c r="Q426" s="271"/>
      <c r="R426" s="154"/>
      <c r="S426" s="189" t="s">
        <v>430</v>
      </c>
      <c r="T426" s="308" t="s">
        <v>1881</v>
      </c>
      <c r="U426" s="305">
        <v>457868.81</v>
      </c>
      <c r="V426" s="305">
        <f t="shared" si="26"/>
        <v>41208.19</v>
      </c>
      <c r="W426" s="306">
        <f t="shared" si="27"/>
        <v>499077</v>
      </c>
      <c r="X426" s="271">
        <f t="shared" si="24"/>
        <v>457868.81</v>
      </c>
      <c r="Y426" s="271">
        <f t="shared" si="25"/>
        <v>3654.76</v>
      </c>
      <c r="Z426" s="154"/>
    </row>
    <row r="427" s="243" customFormat="1" ht="22" customHeight="1" outlineLevel="2" spans="1:26">
      <c r="A427" s="154" t="s">
        <v>1882</v>
      </c>
      <c r="B427" s="259">
        <v>29</v>
      </c>
      <c r="C427" s="259">
        <v>2</v>
      </c>
      <c r="D427" s="154">
        <v>4</v>
      </c>
      <c r="E427" s="263" t="s">
        <v>1883</v>
      </c>
      <c r="F427" s="259"/>
      <c r="G427" s="154" t="s">
        <v>256</v>
      </c>
      <c r="H427" s="154" t="s">
        <v>427</v>
      </c>
      <c r="I427" s="154" t="s">
        <v>334</v>
      </c>
      <c r="J427" s="269">
        <v>20190006105</v>
      </c>
      <c r="K427" s="288">
        <v>43790</v>
      </c>
      <c r="L427" s="271">
        <v>504836</v>
      </c>
      <c r="M427" s="289" t="s">
        <v>1884</v>
      </c>
      <c r="N427" s="271">
        <v>124.78</v>
      </c>
      <c r="O427" s="271"/>
      <c r="P427" s="290">
        <v>124.78</v>
      </c>
      <c r="Q427" s="271"/>
      <c r="R427" s="154"/>
      <c r="S427" s="189" t="s">
        <v>430</v>
      </c>
      <c r="T427" s="308" t="s">
        <v>1885</v>
      </c>
      <c r="U427" s="305">
        <v>463152.29</v>
      </c>
      <c r="V427" s="305">
        <f t="shared" si="26"/>
        <v>41683.71</v>
      </c>
      <c r="W427" s="306">
        <f t="shared" si="27"/>
        <v>504836</v>
      </c>
      <c r="X427" s="271">
        <f t="shared" si="24"/>
        <v>463152.29</v>
      </c>
      <c r="Y427" s="271">
        <f t="shared" si="25"/>
        <v>3711.75</v>
      </c>
      <c r="Z427" s="154"/>
    </row>
    <row r="428" s="243" customFormat="1" ht="22" customHeight="1" outlineLevel="2" spans="1:26">
      <c r="A428" s="154" t="s">
        <v>1886</v>
      </c>
      <c r="B428" s="259">
        <v>29</v>
      </c>
      <c r="C428" s="259">
        <v>2</v>
      </c>
      <c r="D428" s="154">
        <v>4</v>
      </c>
      <c r="E428" s="263" t="s">
        <v>1887</v>
      </c>
      <c r="F428" s="259"/>
      <c r="G428" s="154" t="s">
        <v>256</v>
      </c>
      <c r="H428" s="154" t="s">
        <v>427</v>
      </c>
      <c r="I428" s="154" t="s">
        <v>334</v>
      </c>
      <c r="J428" s="269">
        <v>20190005266</v>
      </c>
      <c r="K428" s="288">
        <v>43772</v>
      </c>
      <c r="L428" s="271">
        <v>517235</v>
      </c>
      <c r="M428" s="289" t="s">
        <v>1888</v>
      </c>
      <c r="N428" s="271">
        <v>125.28</v>
      </c>
      <c r="O428" s="271"/>
      <c r="P428" s="290">
        <v>125.28</v>
      </c>
      <c r="Q428" s="271"/>
      <c r="R428" s="154"/>
      <c r="S428" s="189" t="s">
        <v>430</v>
      </c>
      <c r="T428" s="308" t="s">
        <v>1889</v>
      </c>
      <c r="U428" s="305">
        <v>474527.52</v>
      </c>
      <c r="V428" s="305">
        <f t="shared" si="26"/>
        <v>42707.48</v>
      </c>
      <c r="W428" s="306">
        <f t="shared" si="27"/>
        <v>517235</v>
      </c>
      <c r="X428" s="271">
        <f t="shared" si="24"/>
        <v>474527.52</v>
      </c>
      <c r="Y428" s="271">
        <f t="shared" si="25"/>
        <v>3787.74</v>
      </c>
      <c r="Z428" s="154"/>
    </row>
    <row r="429" s="243" customFormat="1" ht="22" customHeight="1" outlineLevel="2" spans="1:26">
      <c r="A429" s="154" t="s">
        <v>1890</v>
      </c>
      <c r="B429" s="259">
        <v>29</v>
      </c>
      <c r="C429" s="259">
        <v>2</v>
      </c>
      <c r="D429" s="154">
        <v>5</v>
      </c>
      <c r="E429" s="263" t="s">
        <v>1891</v>
      </c>
      <c r="F429" s="259"/>
      <c r="G429" s="154" t="s">
        <v>256</v>
      </c>
      <c r="H429" s="154" t="s">
        <v>427</v>
      </c>
      <c r="I429" s="154" t="s">
        <v>334</v>
      </c>
      <c r="J429" s="269">
        <v>20190006034</v>
      </c>
      <c r="K429" s="288">
        <v>43485</v>
      </c>
      <c r="L429" s="271">
        <v>510883</v>
      </c>
      <c r="M429" s="289" t="s">
        <v>1892</v>
      </c>
      <c r="N429" s="271">
        <v>124.78</v>
      </c>
      <c r="O429" s="271"/>
      <c r="P429" s="290">
        <v>124.78</v>
      </c>
      <c r="Q429" s="271"/>
      <c r="R429" s="154"/>
      <c r="S429" s="189" t="s">
        <v>430</v>
      </c>
      <c r="T429" s="308" t="s">
        <v>1893</v>
      </c>
      <c r="U429" s="305">
        <v>468700</v>
      </c>
      <c r="V429" s="305">
        <f t="shared" si="26"/>
        <v>42183</v>
      </c>
      <c r="W429" s="306">
        <f t="shared" si="27"/>
        <v>510883</v>
      </c>
      <c r="X429" s="271">
        <f t="shared" si="24"/>
        <v>468700</v>
      </c>
      <c r="Y429" s="271">
        <f t="shared" si="25"/>
        <v>3756.21</v>
      </c>
      <c r="Z429" s="154"/>
    </row>
    <row r="430" s="243" customFormat="1" ht="22" customHeight="1" outlineLevel="2" spans="1:26">
      <c r="A430" s="154" t="s">
        <v>1894</v>
      </c>
      <c r="B430" s="259">
        <v>29</v>
      </c>
      <c r="C430" s="259">
        <v>2</v>
      </c>
      <c r="D430" s="154">
        <v>5</v>
      </c>
      <c r="E430" s="263" t="s">
        <v>1895</v>
      </c>
      <c r="F430" s="259"/>
      <c r="G430" s="154" t="s">
        <v>256</v>
      </c>
      <c r="H430" s="154" t="s">
        <v>427</v>
      </c>
      <c r="I430" s="154" t="s">
        <v>334</v>
      </c>
      <c r="J430" s="269">
        <v>20190006233</v>
      </c>
      <c r="K430" s="288">
        <v>43792</v>
      </c>
      <c r="L430" s="271">
        <v>523427</v>
      </c>
      <c r="M430" s="289" t="s">
        <v>1896</v>
      </c>
      <c r="N430" s="271">
        <v>125.28</v>
      </c>
      <c r="O430" s="271"/>
      <c r="P430" s="290">
        <v>125.28</v>
      </c>
      <c r="Q430" s="271"/>
      <c r="R430" s="154"/>
      <c r="S430" s="189" t="s">
        <v>430</v>
      </c>
      <c r="T430" s="308" t="s">
        <v>1897</v>
      </c>
      <c r="U430" s="305">
        <v>480208.26</v>
      </c>
      <c r="V430" s="305">
        <f t="shared" si="26"/>
        <v>43218.74</v>
      </c>
      <c r="W430" s="306">
        <f t="shared" si="27"/>
        <v>523427</v>
      </c>
      <c r="X430" s="271">
        <f t="shared" si="24"/>
        <v>480208.26</v>
      </c>
      <c r="Y430" s="271">
        <f t="shared" si="25"/>
        <v>3833.08</v>
      </c>
      <c r="Z430" s="154"/>
    </row>
    <row r="431" s="243" customFormat="1" ht="22" customHeight="1" outlineLevel="2" spans="1:26">
      <c r="A431" s="154" t="s">
        <v>1898</v>
      </c>
      <c r="B431" s="259">
        <v>29</v>
      </c>
      <c r="C431" s="259">
        <v>2</v>
      </c>
      <c r="D431" s="154">
        <v>6</v>
      </c>
      <c r="E431" s="263" t="s">
        <v>1899</v>
      </c>
      <c r="F431" s="259"/>
      <c r="G431" s="154" t="s">
        <v>256</v>
      </c>
      <c r="H431" s="154" t="s">
        <v>427</v>
      </c>
      <c r="I431" s="154" t="s">
        <v>334</v>
      </c>
      <c r="J431" s="269">
        <v>20190007040</v>
      </c>
      <c r="K431" s="288">
        <v>43807</v>
      </c>
      <c r="L431" s="271">
        <v>523200</v>
      </c>
      <c r="M431" s="289" t="s">
        <v>1900</v>
      </c>
      <c r="N431" s="271">
        <v>124.78</v>
      </c>
      <c r="O431" s="271"/>
      <c r="P431" s="290">
        <v>124.78</v>
      </c>
      <c r="Q431" s="271"/>
      <c r="R431" s="154"/>
      <c r="S431" s="189" t="s">
        <v>430</v>
      </c>
      <c r="T431" s="308" t="s">
        <v>1901</v>
      </c>
      <c r="U431" s="305">
        <v>480000</v>
      </c>
      <c r="V431" s="305">
        <f t="shared" si="26"/>
        <v>43200</v>
      </c>
      <c r="W431" s="306">
        <f t="shared" si="27"/>
        <v>523200</v>
      </c>
      <c r="X431" s="271">
        <f t="shared" si="24"/>
        <v>480000</v>
      </c>
      <c r="Y431" s="271">
        <f t="shared" si="25"/>
        <v>3846.77</v>
      </c>
      <c r="Z431" s="154"/>
    </row>
    <row r="432" s="243" customFormat="1" ht="22" customHeight="1" outlineLevel="2" spans="1:26">
      <c r="A432" s="154" t="s">
        <v>1902</v>
      </c>
      <c r="B432" s="259">
        <v>29</v>
      </c>
      <c r="C432" s="259">
        <v>2</v>
      </c>
      <c r="D432" s="154">
        <v>6</v>
      </c>
      <c r="E432" s="263" t="s">
        <v>1903</v>
      </c>
      <c r="F432" s="259"/>
      <c r="G432" s="154" t="s">
        <v>256</v>
      </c>
      <c r="H432" s="154" t="s">
        <v>427</v>
      </c>
      <c r="I432" s="154" t="s">
        <v>334</v>
      </c>
      <c r="J432" s="269">
        <v>20190006918</v>
      </c>
      <c r="K432" s="288">
        <v>43806</v>
      </c>
      <c r="L432" s="271">
        <v>529835</v>
      </c>
      <c r="M432" s="289" t="s">
        <v>1904</v>
      </c>
      <c r="N432" s="271">
        <v>125.28</v>
      </c>
      <c r="O432" s="271"/>
      <c r="P432" s="290">
        <v>125.28</v>
      </c>
      <c r="Q432" s="271"/>
      <c r="R432" s="154"/>
      <c r="S432" s="189" t="s">
        <v>430</v>
      </c>
      <c r="T432" s="308" t="s">
        <v>1905</v>
      </c>
      <c r="U432" s="305">
        <v>486087.16</v>
      </c>
      <c r="V432" s="305">
        <f t="shared" si="26"/>
        <v>43747.84</v>
      </c>
      <c r="W432" s="306">
        <f t="shared" si="27"/>
        <v>529835</v>
      </c>
      <c r="X432" s="271">
        <f t="shared" si="24"/>
        <v>486087.16</v>
      </c>
      <c r="Y432" s="271">
        <f t="shared" si="25"/>
        <v>3880.01</v>
      </c>
      <c r="Z432" s="154"/>
    </row>
    <row r="433" s="243" customFormat="1" ht="22" customHeight="1" outlineLevel="2" spans="1:26">
      <c r="A433" s="154" t="s">
        <v>1906</v>
      </c>
      <c r="B433" s="259">
        <v>29</v>
      </c>
      <c r="C433" s="259">
        <v>2</v>
      </c>
      <c r="D433" s="154">
        <v>7</v>
      </c>
      <c r="E433" s="263" t="s">
        <v>1907</v>
      </c>
      <c r="F433" s="259"/>
      <c r="G433" s="154" t="s">
        <v>257</v>
      </c>
      <c r="H433" s="154" t="s">
        <v>427</v>
      </c>
      <c r="I433" s="154" t="s">
        <v>334</v>
      </c>
      <c r="J433" s="269" t="s">
        <v>1908</v>
      </c>
      <c r="K433" s="288">
        <v>43999</v>
      </c>
      <c r="L433" s="271">
        <v>748765</v>
      </c>
      <c r="M433" s="289" t="s">
        <v>1909</v>
      </c>
      <c r="N433" s="271">
        <v>185.42</v>
      </c>
      <c r="O433" s="271"/>
      <c r="P433" s="290">
        <v>185.42</v>
      </c>
      <c r="Q433" s="271"/>
      <c r="R433" s="154"/>
      <c r="S433" s="189" t="s">
        <v>430</v>
      </c>
      <c r="T433" s="308" t="s">
        <v>1910</v>
      </c>
      <c r="U433" s="305">
        <v>686940.37</v>
      </c>
      <c r="V433" s="305">
        <f t="shared" si="26"/>
        <v>61824.63</v>
      </c>
      <c r="W433" s="306">
        <f t="shared" si="27"/>
        <v>748765</v>
      </c>
      <c r="X433" s="271">
        <f t="shared" si="24"/>
        <v>686940.37</v>
      </c>
      <c r="Y433" s="271">
        <f t="shared" si="25"/>
        <v>3704.78</v>
      </c>
      <c r="Z433" s="154"/>
    </row>
    <row r="434" s="243" customFormat="1" ht="22" customHeight="1" outlineLevel="2" spans="1:26">
      <c r="A434" s="154" t="s">
        <v>1911</v>
      </c>
      <c r="B434" s="259">
        <v>29</v>
      </c>
      <c r="C434" s="259">
        <v>2</v>
      </c>
      <c r="D434" s="154">
        <v>7</v>
      </c>
      <c r="E434" s="263" t="s">
        <v>1912</v>
      </c>
      <c r="F434" s="259"/>
      <c r="G434" s="154" t="s">
        <v>257</v>
      </c>
      <c r="H434" s="154" t="s">
        <v>427</v>
      </c>
      <c r="I434" s="154" t="s">
        <v>334</v>
      </c>
      <c r="J434" s="269" t="s">
        <v>1913</v>
      </c>
      <c r="K434" s="288">
        <v>43950</v>
      </c>
      <c r="L434" s="271">
        <v>764051</v>
      </c>
      <c r="M434" s="289" t="s">
        <v>1914</v>
      </c>
      <c r="N434" s="271">
        <v>185.92</v>
      </c>
      <c r="O434" s="271"/>
      <c r="P434" s="290">
        <v>185.92</v>
      </c>
      <c r="Q434" s="271"/>
      <c r="R434" s="154"/>
      <c r="S434" s="189" t="s">
        <v>430</v>
      </c>
      <c r="T434" s="308" t="s">
        <v>1915</v>
      </c>
      <c r="U434" s="305">
        <v>700964.22</v>
      </c>
      <c r="V434" s="305">
        <f t="shared" si="26"/>
        <v>63086.78</v>
      </c>
      <c r="W434" s="306">
        <f t="shared" si="27"/>
        <v>764051</v>
      </c>
      <c r="X434" s="271">
        <f t="shared" si="24"/>
        <v>700964.22</v>
      </c>
      <c r="Y434" s="271">
        <f t="shared" si="25"/>
        <v>3770.25</v>
      </c>
      <c r="Z434" s="154"/>
    </row>
    <row r="435" s="243" customFormat="1" ht="22" customHeight="1" outlineLevel="2" spans="1:26">
      <c r="A435" s="154" t="s">
        <v>1916</v>
      </c>
      <c r="B435" s="259">
        <v>29</v>
      </c>
      <c r="C435" s="259">
        <v>1</v>
      </c>
      <c r="D435" s="154">
        <v>8</v>
      </c>
      <c r="E435" s="263" t="s">
        <v>1917</v>
      </c>
      <c r="F435" s="259"/>
      <c r="G435" s="154" t="s">
        <v>1918</v>
      </c>
      <c r="H435" s="154" t="s">
        <v>1919</v>
      </c>
      <c r="I435" s="154"/>
      <c r="J435" s="269"/>
      <c r="K435" s="288"/>
      <c r="L435" s="271"/>
      <c r="M435" s="289"/>
      <c r="N435" s="271">
        <v>53.55</v>
      </c>
      <c r="O435" s="271"/>
      <c r="P435" s="290">
        <v>53.55</v>
      </c>
      <c r="Q435" s="271"/>
      <c r="R435" s="154"/>
      <c r="S435" s="189"/>
      <c r="T435" s="308"/>
      <c r="U435" s="305">
        <v>0</v>
      </c>
      <c r="V435" s="305">
        <f t="shared" si="26"/>
        <v>0</v>
      </c>
      <c r="W435" s="306">
        <f t="shared" si="27"/>
        <v>0</v>
      </c>
      <c r="X435" s="271">
        <f t="shared" si="24"/>
        <v>0</v>
      </c>
      <c r="Y435" s="271">
        <f t="shared" si="25"/>
        <v>0</v>
      </c>
      <c r="Z435" s="154"/>
    </row>
    <row r="436" s="243" customFormat="1" ht="22" customHeight="1" outlineLevel="2" spans="1:26">
      <c r="A436" s="154" t="s">
        <v>1920</v>
      </c>
      <c r="B436" s="259">
        <v>29</v>
      </c>
      <c r="C436" s="259">
        <v>1</v>
      </c>
      <c r="D436" s="154">
        <v>-1</v>
      </c>
      <c r="E436" s="263" t="s">
        <v>1921</v>
      </c>
      <c r="F436" s="259"/>
      <c r="G436" s="154" t="s">
        <v>536</v>
      </c>
      <c r="H436" s="154" t="s">
        <v>537</v>
      </c>
      <c r="I436" s="154"/>
      <c r="J436" s="269"/>
      <c r="K436" s="288"/>
      <c r="L436" s="271"/>
      <c r="M436" s="289"/>
      <c r="N436" s="271">
        <v>12.77</v>
      </c>
      <c r="O436" s="271"/>
      <c r="P436" s="290">
        <v>12.77</v>
      </c>
      <c r="Q436" s="271"/>
      <c r="R436" s="154"/>
      <c r="S436" s="189"/>
      <c r="T436" s="308"/>
      <c r="U436" s="305">
        <v>0</v>
      </c>
      <c r="V436" s="305">
        <f t="shared" si="26"/>
        <v>0</v>
      </c>
      <c r="W436" s="306">
        <f t="shared" si="27"/>
        <v>0</v>
      </c>
      <c r="X436" s="271">
        <f t="shared" si="24"/>
        <v>0</v>
      </c>
      <c r="Y436" s="271">
        <f t="shared" si="25"/>
        <v>0</v>
      </c>
      <c r="Z436" s="154"/>
    </row>
    <row r="437" s="243" customFormat="1" ht="22" customHeight="1" outlineLevel="2" spans="1:26">
      <c r="A437" s="154" t="s">
        <v>1922</v>
      </c>
      <c r="B437" s="259">
        <v>29</v>
      </c>
      <c r="C437" s="259">
        <v>1</v>
      </c>
      <c r="D437" s="154">
        <v>-1</v>
      </c>
      <c r="E437" s="263" t="s">
        <v>1923</v>
      </c>
      <c r="F437" s="259"/>
      <c r="G437" s="154" t="s">
        <v>536</v>
      </c>
      <c r="H437" s="154" t="s">
        <v>537</v>
      </c>
      <c r="I437" s="154"/>
      <c r="J437" s="269"/>
      <c r="K437" s="288"/>
      <c r="L437" s="271"/>
      <c r="M437" s="289"/>
      <c r="N437" s="271">
        <v>6.1</v>
      </c>
      <c r="O437" s="271"/>
      <c r="P437" s="290">
        <v>6.1</v>
      </c>
      <c r="Q437" s="271"/>
      <c r="R437" s="154"/>
      <c r="S437" s="189"/>
      <c r="T437" s="308"/>
      <c r="U437" s="305">
        <v>0</v>
      </c>
      <c r="V437" s="305">
        <f t="shared" si="26"/>
        <v>0</v>
      </c>
      <c r="W437" s="306">
        <f t="shared" si="27"/>
        <v>0</v>
      </c>
      <c r="X437" s="271">
        <f t="shared" si="24"/>
        <v>0</v>
      </c>
      <c r="Y437" s="271">
        <f t="shared" si="25"/>
        <v>0</v>
      </c>
      <c r="Z437" s="154"/>
    </row>
    <row r="438" s="243" customFormat="1" ht="22" customHeight="1" outlineLevel="2" spans="1:26">
      <c r="A438" s="154" t="s">
        <v>1924</v>
      </c>
      <c r="B438" s="259">
        <v>29</v>
      </c>
      <c r="C438" s="259">
        <v>1</v>
      </c>
      <c r="D438" s="154">
        <v>-1</v>
      </c>
      <c r="E438" s="263" t="s">
        <v>1925</v>
      </c>
      <c r="F438" s="259"/>
      <c r="G438" s="154" t="s">
        <v>536</v>
      </c>
      <c r="H438" s="154" t="s">
        <v>537</v>
      </c>
      <c r="I438" s="154"/>
      <c r="J438" s="269"/>
      <c r="K438" s="288"/>
      <c r="L438" s="271"/>
      <c r="M438" s="289"/>
      <c r="N438" s="271">
        <v>6.67</v>
      </c>
      <c r="O438" s="271"/>
      <c r="P438" s="290">
        <v>6.67</v>
      </c>
      <c r="Q438" s="271"/>
      <c r="R438" s="154"/>
      <c r="S438" s="189"/>
      <c r="T438" s="308"/>
      <c r="U438" s="305">
        <v>0</v>
      </c>
      <c r="V438" s="305">
        <f t="shared" si="26"/>
        <v>0</v>
      </c>
      <c r="W438" s="306">
        <f t="shared" si="27"/>
        <v>0</v>
      </c>
      <c r="X438" s="271">
        <f t="shared" si="24"/>
        <v>0</v>
      </c>
      <c r="Y438" s="271">
        <f t="shared" si="25"/>
        <v>0</v>
      </c>
      <c r="Z438" s="154"/>
    </row>
    <row r="439" s="243" customFormat="1" ht="22" customHeight="1" outlineLevel="2" spans="1:26">
      <c r="A439" s="154" t="s">
        <v>1926</v>
      </c>
      <c r="B439" s="259">
        <v>29</v>
      </c>
      <c r="C439" s="259">
        <v>1</v>
      </c>
      <c r="D439" s="154">
        <v>-1</v>
      </c>
      <c r="E439" s="263" t="s">
        <v>1927</v>
      </c>
      <c r="F439" s="259"/>
      <c r="G439" s="154" t="s">
        <v>536</v>
      </c>
      <c r="H439" s="154" t="s">
        <v>537</v>
      </c>
      <c r="I439" s="154"/>
      <c r="J439" s="269"/>
      <c r="K439" s="288"/>
      <c r="L439" s="271"/>
      <c r="M439" s="289"/>
      <c r="N439" s="271">
        <v>9.07</v>
      </c>
      <c r="O439" s="271"/>
      <c r="P439" s="290">
        <v>9.07</v>
      </c>
      <c r="Q439" s="271"/>
      <c r="R439" s="154"/>
      <c r="S439" s="189"/>
      <c r="T439" s="308"/>
      <c r="U439" s="305">
        <v>0</v>
      </c>
      <c r="V439" s="305">
        <f t="shared" si="26"/>
        <v>0</v>
      </c>
      <c r="W439" s="306">
        <f t="shared" si="27"/>
        <v>0</v>
      </c>
      <c r="X439" s="271">
        <f t="shared" si="24"/>
        <v>0</v>
      </c>
      <c r="Y439" s="271">
        <f t="shared" si="25"/>
        <v>0</v>
      </c>
      <c r="Z439" s="154"/>
    </row>
    <row r="440" s="243" customFormat="1" ht="22" customHeight="1" outlineLevel="2" spans="1:26">
      <c r="A440" s="154" t="s">
        <v>1928</v>
      </c>
      <c r="B440" s="259">
        <v>29</v>
      </c>
      <c r="C440" s="259">
        <v>1</v>
      </c>
      <c r="D440" s="154">
        <v>-1</v>
      </c>
      <c r="E440" s="263" t="s">
        <v>1929</v>
      </c>
      <c r="F440" s="259"/>
      <c r="G440" s="154" t="s">
        <v>536</v>
      </c>
      <c r="H440" s="154" t="s">
        <v>537</v>
      </c>
      <c r="I440" s="154"/>
      <c r="J440" s="269"/>
      <c r="K440" s="288"/>
      <c r="L440" s="271"/>
      <c r="M440" s="289"/>
      <c r="N440" s="271">
        <v>7.35</v>
      </c>
      <c r="O440" s="271"/>
      <c r="P440" s="290">
        <v>7.35</v>
      </c>
      <c r="Q440" s="271"/>
      <c r="R440" s="154"/>
      <c r="S440" s="189"/>
      <c r="T440" s="308"/>
      <c r="U440" s="305">
        <v>0</v>
      </c>
      <c r="V440" s="305">
        <f t="shared" si="26"/>
        <v>0</v>
      </c>
      <c r="W440" s="306">
        <f t="shared" si="27"/>
        <v>0</v>
      </c>
      <c r="X440" s="271">
        <f t="shared" si="24"/>
        <v>0</v>
      </c>
      <c r="Y440" s="271">
        <f t="shared" si="25"/>
        <v>0</v>
      </c>
      <c r="Z440" s="154"/>
    </row>
    <row r="441" s="243" customFormat="1" ht="22" customHeight="1" outlineLevel="2" spans="1:26">
      <c r="A441" s="154" t="s">
        <v>1930</v>
      </c>
      <c r="B441" s="259">
        <v>29</v>
      </c>
      <c r="C441" s="259">
        <v>1</v>
      </c>
      <c r="D441" s="154">
        <v>-1</v>
      </c>
      <c r="E441" s="263" t="s">
        <v>1931</v>
      </c>
      <c r="F441" s="259"/>
      <c r="G441" s="154" t="s">
        <v>536</v>
      </c>
      <c r="H441" s="154" t="s">
        <v>537</v>
      </c>
      <c r="I441" s="154"/>
      <c r="J441" s="269"/>
      <c r="K441" s="288"/>
      <c r="L441" s="271"/>
      <c r="M441" s="289"/>
      <c r="N441" s="271">
        <v>60.34</v>
      </c>
      <c r="O441" s="271"/>
      <c r="P441" s="290">
        <v>60.34</v>
      </c>
      <c r="Q441" s="271"/>
      <c r="R441" s="154"/>
      <c r="S441" s="189"/>
      <c r="T441" s="308"/>
      <c r="U441" s="305">
        <v>0</v>
      </c>
      <c r="V441" s="305">
        <f t="shared" si="26"/>
        <v>0</v>
      </c>
      <c r="W441" s="306">
        <f t="shared" si="27"/>
        <v>0</v>
      </c>
      <c r="X441" s="271">
        <f t="shared" si="24"/>
        <v>0</v>
      </c>
      <c r="Y441" s="271">
        <f t="shared" si="25"/>
        <v>0</v>
      </c>
      <c r="Z441" s="154"/>
    </row>
    <row r="442" s="243" customFormat="1" ht="22" customHeight="1" outlineLevel="2" spans="1:26">
      <c r="A442" s="154" t="s">
        <v>1932</v>
      </c>
      <c r="B442" s="259">
        <v>29</v>
      </c>
      <c r="C442" s="259">
        <v>1</v>
      </c>
      <c r="D442" s="154">
        <v>-1</v>
      </c>
      <c r="E442" s="263" t="s">
        <v>1933</v>
      </c>
      <c r="F442" s="259"/>
      <c r="G442" s="154" t="s">
        <v>536</v>
      </c>
      <c r="H442" s="154" t="s">
        <v>537</v>
      </c>
      <c r="I442" s="154"/>
      <c r="J442" s="269"/>
      <c r="K442" s="288"/>
      <c r="L442" s="271"/>
      <c r="M442" s="289"/>
      <c r="N442" s="271">
        <v>16.6</v>
      </c>
      <c r="O442" s="271"/>
      <c r="P442" s="290">
        <v>16.6</v>
      </c>
      <c r="Q442" s="271"/>
      <c r="R442" s="154"/>
      <c r="S442" s="189"/>
      <c r="T442" s="308"/>
      <c r="U442" s="305">
        <v>0</v>
      </c>
      <c r="V442" s="305">
        <f t="shared" si="26"/>
        <v>0</v>
      </c>
      <c r="W442" s="306">
        <f t="shared" si="27"/>
        <v>0</v>
      </c>
      <c r="X442" s="271">
        <f t="shared" si="24"/>
        <v>0</v>
      </c>
      <c r="Y442" s="271">
        <f t="shared" si="25"/>
        <v>0</v>
      </c>
      <c r="Z442" s="154"/>
    </row>
    <row r="443" s="243" customFormat="1" ht="22" customHeight="1" outlineLevel="2" spans="1:26">
      <c r="A443" s="154" t="s">
        <v>1934</v>
      </c>
      <c r="B443" s="259">
        <v>29</v>
      </c>
      <c r="C443" s="259">
        <v>1</v>
      </c>
      <c r="D443" s="154">
        <v>-1</v>
      </c>
      <c r="E443" s="263" t="s">
        <v>1935</v>
      </c>
      <c r="F443" s="259"/>
      <c r="G443" s="154" t="s">
        <v>536</v>
      </c>
      <c r="H443" s="154" t="s">
        <v>537</v>
      </c>
      <c r="I443" s="154"/>
      <c r="J443" s="269"/>
      <c r="K443" s="288"/>
      <c r="L443" s="271"/>
      <c r="M443" s="289"/>
      <c r="N443" s="271">
        <v>16.6</v>
      </c>
      <c r="O443" s="271"/>
      <c r="P443" s="290">
        <v>16.6</v>
      </c>
      <c r="Q443" s="271"/>
      <c r="R443" s="154"/>
      <c r="S443" s="189"/>
      <c r="T443" s="308"/>
      <c r="U443" s="305">
        <v>0</v>
      </c>
      <c r="V443" s="305">
        <f t="shared" si="26"/>
        <v>0</v>
      </c>
      <c r="W443" s="306">
        <f t="shared" si="27"/>
        <v>0</v>
      </c>
      <c r="X443" s="271">
        <f t="shared" si="24"/>
        <v>0</v>
      </c>
      <c r="Y443" s="271">
        <f t="shared" si="25"/>
        <v>0</v>
      </c>
      <c r="Z443" s="154"/>
    </row>
    <row r="444" s="243" customFormat="1" ht="22" customHeight="1" outlineLevel="2" spans="1:26">
      <c r="A444" s="154" t="s">
        <v>1936</v>
      </c>
      <c r="B444" s="259">
        <v>29</v>
      </c>
      <c r="C444" s="259">
        <v>1</v>
      </c>
      <c r="D444" s="154">
        <v>-1</v>
      </c>
      <c r="E444" s="263" t="s">
        <v>1937</v>
      </c>
      <c r="F444" s="259"/>
      <c r="G444" s="154" t="s">
        <v>536</v>
      </c>
      <c r="H444" s="154" t="s">
        <v>537</v>
      </c>
      <c r="I444" s="154"/>
      <c r="J444" s="269"/>
      <c r="K444" s="288"/>
      <c r="L444" s="271"/>
      <c r="M444" s="289"/>
      <c r="N444" s="271">
        <v>60.23</v>
      </c>
      <c r="O444" s="271"/>
      <c r="P444" s="290">
        <v>60.23</v>
      </c>
      <c r="Q444" s="271"/>
      <c r="R444" s="154"/>
      <c r="S444" s="189"/>
      <c r="T444" s="308"/>
      <c r="U444" s="305">
        <v>0</v>
      </c>
      <c r="V444" s="305">
        <f t="shared" si="26"/>
        <v>0</v>
      </c>
      <c r="W444" s="306">
        <f t="shared" si="27"/>
        <v>0</v>
      </c>
      <c r="X444" s="271">
        <f t="shared" si="24"/>
        <v>0</v>
      </c>
      <c r="Y444" s="271">
        <f t="shared" si="25"/>
        <v>0</v>
      </c>
      <c r="Z444" s="154"/>
    </row>
    <row r="445" s="243" customFormat="1" ht="22" customHeight="1" outlineLevel="2" spans="1:26">
      <c r="A445" s="154" t="s">
        <v>1938</v>
      </c>
      <c r="B445" s="259">
        <v>29</v>
      </c>
      <c r="C445" s="259">
        <v>1</v>
      </c>
      <c r="D445" s="154">
        <v>-1</v>
      </c>
      <c r="E445" s="263" t="s">
        <v>1939</v>
      </c>
      <c r="F445" s="259"/>
      <c r="G445" s="154" t="s">
        <v>536</v>
      </c>
      <c r="H445" s="154" t="s">
        <v>537</v>
      </c>
      <c r="I445" s="154"/>
      <c r="J445" s="269"/>
      <c r="K445" s="288"/>
      <c r="L445" s="271"/>
      <c r="M445" s="289"/>
      <c r="N445" s="271">
        <v>12.71</v>
      </c>
      <c r="O445" s="271"/>
      <c r="P445" s="290">
        <v>12.71</v>
      </c>
      <c r="Q445" s="271"/>
      <c r="R445" s="154"/>
      <c r="S445" s="189"/>
      <c r="T445" s="308"/>
      <c r="U445" s="305">
        <v>0</v>
      </c>
      <c r="V445" s="305">
        <f t="shared" si="26"/>
        <v>0</v>
      </c>
      <c r="W445" s="306">
        <f t="shared" si="27"/>
        <v>0</v>
      </c>
      <c r="X445" s="271">
        <f t="shared" si="24"/>
        <v>0</v>
      </c>
      <c r="Y445" s="271">
        <f t="shared" si="25"/>
        <v>0</v>
      </c>
      <c r="Z445" s="154"/>
    </row>
    <row r="446" s="243" customFormat="1" ht="22" customHeight="1" outlineLevel="2" spans="1:26">
      <c r="A446" s="154" t="s">
        <v>1940</v>
      </c>
      <c r="B446" s="259">
        <v>29</v>
      </c>
      <c r="C446" s="259">
        <v>1</v>
      </c>
      <c r="D446" s="154">
        <v>-1</v>
      </c>
      <c r="E446" s="263" t="s">
        <v>1941</v>
      </c>
      <c r="F446" s="259"/>
      <c r="G446" s="154" t="s">
        <v>536</v>
      </c>
      <c r="H446" s="154" t="s">
        <v>537</v>
      </c>
      <c r="I446" s="154"/>
      <c r="J446" s="269"/>
      <c r="K446" s="288"/>
      <c r="L446" s="271"/>
      <c r="M446" s="289"/>
      <c r="N446" s="271">
        <v>8.04</v>
      </c>
      <c r="O446" s="271"/>
      <c r="P446" s="290">
        <v>8.04</v>
      </c>
      <c r="Q446" s="271"/>
      <c r="R446" s="154"/>
      <c r="S446" s="189"/>
      <c r="T446" s="308"/>
      <c r="U446" s="305">
        <v>0</v>
      </c>
      <c r="V446" s="305">
        <f t="shared" si="26"/>
        <v>0</v>
      </c>
      <c r="W446" s="306">
        <f t="shared" si="27"/>
        <v>0</v>
      </c>
      <c r="X446" s="271">
        <f t="shared" si="24"/>
        <v>0</v>
      </c>
      <c r="Y446" s="271">
        <f t="shared" si="25"/>
        <v>0</v>
      </c>
      <c r="Z446" s="154"/>
    </row>
    <row r="447" s="243" customFormat="1" ht="22" customHeight="1" outlineLevel="2" spans="1:26">
      <c r="A447" s="154" t="s">
        <v>1942</v>
      </c>
      <c r="B447" s="259">
        <v>29</v>
      </c>
      <c r="C447" s="259">
        <v>1</v>
      </c>
      <c r="D447" s="154">
        <v>-1</v>
      </c>
      <c r="E447" s="263" t="s">
        <v>1943</v>
      </c>
      <c r="F447" s="259"/>
      <c r="G447" s="154" t="s">
        <v>536</v>
      </c>
      <c r="H447" s="154" t="s">
        <v>537</v>
      </c>
      <c r="I447" s="154"/>
      <c r="J447" s="269"/>
      <c r="K447" s="288"/>
      <c r="L447" s="271"/>
      <c r="M447" s="289"/>
      <c r="N447" s="271">
        <v>11.43</v>
      </c>
      <c r="O447" s="271"/>
      <c r="P447" s="290">
        <v>11.43</v>
      </c>
      <c r="Q447" s="271"/>
      <c r="R447" s="154"/>
      <c r="S447" s="189"/>
      <c r="T447" s="308"/>
      <c r="U447" s="305">
        <v>0</v>
      </c>
      <c r="V447" s="305">
        <f t="shared" si="26"/>
        <v>0</v>
      </c>
      <c r="W447" s="306">
        <f t="shared" si="27"/>
        <v>0</v>
      </c>
      <c r="X447" s="271">
        <f t="shared" si="24"/>
        <v>0</v>
      </c>
      <c r="Y447" s="271">
        <f t="shared" si="25"/>
        <v>0</v>
      </c>
      <c r="Z447" s="154"/>
    </row>
    <row r="448" s="243" customFormat="1" ht="22" customHeight="1" outlineLevel="2" spans="1:26">
      <c r="A448" s="154" t="s">
        <v>1944</v>
      </c>
      <c r="B448" s="259">
        <v>29</v>
      </c>
      <c r="C448" s="259">
        <v>1</v>
      </c>
      <c r="D448" s="154">
        <v>-1</v>
      </c>
      <c r="E448" s="263" t="s">
        <v>1945</v>
      </c>
      <c r="F448" s="259"/>
      <c r="G448" s="154" t="s">
        <v>536</v>
      </c>
      <c r="H448" s="154" t="s">
        <v>537</v>
      </c>
      <c r="I448" s="154"/>
      <c r="J448" s="269"/>
      <c r="K448" s="288"/>
      <c r="L448" s="271"/>
      <c r="M448" s="289"/>
      <c r="N448" s="271">
        <v>10.58</v>
      </c>
      <c r="O448" s="271"/>
      <c r="P448" s="290">
        <v>10.58</v>
      </c>
      <c r="Q448" s="271"/>
      <c r="R448" s="154"/>
      <c r="S448" s="189"/>
      <c r="T448" s="308"/>
      <c r="U448" s="305">
        <v>0</v>
      </c>
      <c r="V448" s="305">
        <f t="shared" si="26"/>
        <v>0</v>
      </c>
      <c r="W448" s="306">
        <f t="shared" si="27"/>
        <v>0</v>
      </c>
      <c r="X448" s="271">
        <f t="shared" si="24"/>
        <v>0</v>
      </c>
      <c r="Y448" s="271">
        <f t="shared" si="25"/>
        <v>0</v>
      </c>
      <c r="Z448" s="154"/>
    </row>
    <row r="449" s="243" customFormat="1" ht="22" customHeight="1" outlineLevel="2" spans="1:26">
      <c r="A449" s="154" t="s">
        <v>1946</v>
      </c>
      <c r="B449" s="259">
        <v>29</v>
      </c>
      <c r="C449" s="259">
        <v>1</v>
      </c>
      <c r="D449" s="154">
        <v>-1</v>
      </c>
      <c r="E449" s="263" t="s">
        <v>1947</v>
      </c>
      <c r="F449" s="259"/>
      <c r="G449" s="154" t="s">
        <v>536</v>
      </c>
      <c r="H449" s="154" t="s">
        <v>537</v>
      </c>
      <c r="I449" s="154"/>
      <c r="J449" s="269"/>
      <c r="K449" s="288"/>
      <c r="L449" s="271"/>
      <c r="M449" s="289"/>
      <c r="N449" s="271">
        <v>6.1</v>
      </c>
      <c r="O449" s="271"/>
      <c r="P449" s="290">
        <v>6.1</v>
      </c>
      <c r="Q449" s="271"/>
      <c r="R449" s="154"/>
      <c r="S449" s="189"/>
      <c r="T449" s="308"/>
      <c r="U449" s="305">
        <v>0</v>
      </c>
      <c r="V449" s="305">
        <f t="shared" si="26"/>
        <v>0</v>
      </c>
      <c r="W449" s="306">
        <f t="shared" si="27"/>
        <v>0</v>
      </c>
      <c r="X449" s="271">
        <f t="shared" si="24"/>
        <v>0</v>
      </c>
      <c r="Y449" s="271">
        <f t="shared" si="25"/>
        <v>0</v>
      </c>
      <c r="Z449" s="154"/>
    </row>
    <row r="450" s="243" customFormat="1" ht="22" customHeight="1" outlineLevel="2" spans="1:26">
      <c r="A450" s="154" t="s">
        <v>1948</v>
      </c>
      <c r="B450" s="259">
        <v>29</v>
      </c>
      <c r="C450" s="259">
        <v>2</v>
      </c>
      <c r="D450" s="154">
        <v>-1</v>
      </c>
      <c r="E450" s="263" t="s">
        <v>1949</v>
      </c>
      <c r="F450" s="259"/>
      <c r="G450" s="154" t="s">
        <v>536</v>
      </c>
      <c r="H450" s="154" t="s">
        <v>537</v>
      </c>
      <c r="I450" s="154"/>
      <c r="J450" s="269"/>
      <c r="K450" s="288"/>
      <c r="L450" s="271"/>
      <c r="M450" s="289"/>
      <c r="N450" s="271">
        <v>6.1</v>
      </c>
      <c r="O450" s="271"/>
      <c r="P450" s="290">
        <v>6.1</v>
      </c>
      <c r="Q450" s="271"/>
      <c r="R450" s="154"/>
      <c r="S450" s="189"/>
      <c r="T450" s="308"/>
      <c r="U450" s="305">
        <v>0</v>
      </c>
      <c r="V450" s="305">
        <f t="shared" si="26"/>
        <v>0</v>
      </c>
      <c r="W450" s="306">
        <f t="shared" si="27"/>
        <v>0</v>
      </c>
      <c r="X450" s="271">
        <f t="shared" si="24"/>
        <v>0</v>
      </c>
      <c r="Y450" s="271">
        <f t="shared" si="25"/>
        <v>0</v>
      </c>
      <c r="Z450" s="154"/>
    </row>
    <row r="451" s="243" customFormat="1" ht="22" customHeight="1" outlineLevel="2" spans="1:26">
      <c r="A451" s="154" t="s">
        <v>1950</v>
      </c>
      <c r="B451" s="259">
        <v>29</v>
      </c>
      <c r="C451" s="259">
        <v>2</v>
      </c>
      <c r="D451" s="154">
        <v>-1</v>
      </c>
      <c r="E451" s="263" t="s">
        <v>1951</v>
      </c>
      <c r="F451" s="259"/>
      <c r="G451" s="154" t="s">
        <v>536</v>
      </c>
      <c r="H451" s="154" t="s">
        <v>537</v>
      </c>
      <c r="I451" s="154"/>
      <c r="J451" s="269"/>
      <c r="K451" s="288"/>
      <c r="L451" s="271"/>
      <c r="M451" s="289"/>
      <c r="N451" s="271">
        <v>10.58</v>
      </c>
      <c r="O451" s="271"/>
      <c r="P451" s="290">
        <v>10.58</v>
      </c>
      <c r="Q451" s="271"/>
      <c r="R451" s="154"/>
      <c r="S451" s="189"/>
      <c r="T451" s="308"/>
      <c r="U451" s="305">
        <v>0</v>
      </c>
      <c r="V451" s="305">
        <f t="shared" si="26"/>
        <v>0</v>
      </c>
      <c r="W451" s="306">
        <f t="shared" si="27"/>
        <v>0</v>
      </c>
      <c r="X451" s="271">
        <f t="shared" si="24"/>
        <v>0</v>
      </c>
      <c r="Y451" s="271">
        <f t="shared" si="25"/>
        <v>0</v>
      </c>
      <c r="Z451" s="154"/>
    </row>
    <row r="452" s="243" customFormat="1" ht="22" customHeight="1" outlineLevel="2" spans="1:26">
      <c r="A452" s="154" t="s">
        <v>1952</v>
      </c>
      <c r="B452" s="259">
        <v>29</v>
      </c>
      <c r="C452" s="259">
        <v>2</v>
      </c>
      <c r="D452" s="154">
        <v>-1</v>
      </c>
      <c r="E452" s="263" t="s">
        <v>1953</v>
      </c>
      <c r="F452" s="259"/>
      <c r="G452" s="154" t="s">
        <v>536</v>
      </c>
      <c r="H452" s="154" t="s">
        <v>537</v>
      </c>
      <c r="I452" s="154"/>
      <c r="J452" s="269"/>
      <c r="K452" s="288"/>
      <c r="L452" s="271"/>
      <c r="M452" s="289"/>
      <c r="N452" s="271">
        <v>11.43</v>
      </c>
      <c r="O452" s="271"/>
      <c r="P452" s="290">
        <v>11.43</v>
      </c>
      <c r="Q452" s="271"/>
      <c r="R452" s="154"/>
      <c r="S452" s="189"/>
      <c r="T452" s="308"/>
      <c r="U452" s="305">
        <v>0</v>
      </c>
      <c r="V452" s="305">
        <f t="shared" si="26"/>
        <v>0</v>
      </c>
      <c r="W452" s="306">
        <f t="shared" si="27"/>
        <v>0</v>
      </c>
      <c r="X452" s="271">
        <f t="shared" si="24"/>
        <v>0</v>
      </c>
      <c r="Y452" s="271">
        <f t="shared" si="25"/>
        <v>0</v>
      </c>
      <c r="Z452" s="154"/>
    </row>
    <row r="453" s="243" customFormat="1" ht="22" customHeight="1" outlineLevel="2" spans="1:26">
      <c r="A453" s="154" t="s">
        <v>1954</v>
      </c>
      <c r="B453" s="259">
        <v>29</v>
      </c>
      <c r="C453" s="259">
        <v>2</v>
      </c>
      <c r="D453" s="154">
        <v>-1</v>
      </c>
      <c r="E453" s="263" t="s">
        <v>1955</v>
      </c>
      <c r="F453" s="259"/>
      <c r="G453" s="154" t="s">
        <v>536</v>
      </c>
      <c r="H453" s="154" t="s">
        <v>537</v>
      </c>
      <c r="I453" s="154"/>
      <c r="J453" s="269"/>
      <c r="K453" s="288"/>
      <c r="L453" s="271"/>
      <c r="M453" s="289"/>
      <c r="N453" s="271">
        <v>8.04</v>
      </c>
      <c r="O453" s="271"/>
      <c r="P453" s="290">
        <v>8.04</v>
      </c>
      <c r="Q453" s="271"/>
      <c r="R453" s="154"/>
      <c r="S453" s="189"/>
      <c r="T453" s="308"/>
      <c r="U453" s="305">
        <v>0</v>
      </c>
      <c r="V453" s="305">
        <f t="shared" si="26"/>
        <v>0</v>
      </c>
      <c r="W453" s="306">
        <f t="shared" si="27"/>
        <v>0</v>
      </c>
      <c r="X453" s="271">
        <f t="shared" si="24"/>
        <v>0</v>
      </c>
      <c r="Y453" s="271">
        <f t="shared" si="25"/>
        <v>0</v>
      </c>
      <c r="Z453" s="154"/>
    </row>
    <row r="454" s="243" customFormat="1" ht="22" customHeight="1" outlineLevel="2" spans="1:26">
      <c r="A454" s="154" t="s">
        <v>1956</v>
      </c>
      <c r="B454" s="259">
        <v>29</v>
      </c>
      <c r="C454" s="259">
        <v>2</v>
      </c>
      <c r="D454" s="154">
        <v>-1</v>
      </c>
      <c r="E454" s="263" t="s">
        <v>1957</v>
      </c>
      <c r="F454" s="259"/>
      <c r="G454" s="154" t="s">
        <v>536</v>
      </c>
      <c r="H454" s="154" t="s">
        <v>537</v>
      </c>
      <c r="I454" s="154"/>
      <c r="J454" s="269"/>
      <c r="K454" s="288"/>
      <c r="L454" s="271"/>
      <c r="M454" s="289"/>
      <c r="N454" s="271">
        <v>12.71</v>
      </c>
      <c r="O454" s="271"/>
      <c r="P454" s="290">
        <v>12.71</v>
      </c>
      <c r="Q454" s="271"/>
      <c r="R454" s="154"/>
      <c r="S454" s="189"/>
      <c r="T454" s="308"/>
      <c r="U454" s="305">
        <v>0</v>
      </c>
      <c r="V454" s="305">
        <f t="shared" si="26"/>
        <v>0</v>
      </c>
      <c r="W454" s="306">
        <f t="shared" si="27"/>
        <v>0</v>
      </c>
      <c r="X454" s="271">
        <f t="shared" si="24"/>
        <v>0</v>
      </c>
      <c r="Y454" s="271">
        <f t="shared" si="25"/>
        <v>0</v>
      </c>
      <c r="Z454" s="154"/>
    </row>
    <row r="455" s="243" customFormat="1" ht="22" customHeight="1" outlineLevel="2" spans="1:26">
      <c r="A455" s="154" t="s">
        <v>1958</v>
      </c>
      <c r="B455" s="259">
        <v>29</v>
      </c>
      <c r="C455" s="259">
        <v>2</v>
      </c>
      <c r="D455" s="154">
        <v>-1</v>
      </c>
      <c r="E455" s="263" t="s">
        <v>1959</v>
      </c>
      <c r="F455" s="259"/>
      <c r="G455" s="154" t="s">
        <v>536</v>
      </c>
      <c r="H455" s="154" t="s">
        <v>537</v>
      </c>
      <c r="I455" s="154"/>
      <c r="J455" s="269"/>
      <c r="K455" s="288"/>
      <c r="L455" s="271"/>
      <c r="M455" s="289"/>
      <c r="N455" s="271">
        <v>60.23</v>
      </c>
      <c r="O455" s="271"/>
      <c r="P455" s="290">
        <v>60.23</v>
      </c>
      <c r="Q455" s="271"/>
      <c r="R455" s="154"/>
      <c r="S455" s="189"/>
      <c r="T455" s="308"/>
      <c r="U455" s="305">
        <v>0</v>
      </c>
      <c r="V455" s="305">
        <f t="shared" si="26"/>
        <v>0</v>
      </c>
      <c r="W455" s="306">
        <f t="shared" si="27"/>
        <v>0</v>
      </c>
      <c r="X455" s="271">
        <f t="shared" ref="X455:X518" si="28">U455</f>
        <v>0</v>
      </c>
      <c r="Y455" s="271">
        <f t="shared" ref="Y455:Y518" si="29">ROUND(X455/P455,2)</f>
        <v>0</v>
      </c>
      <c r="Z455" s="154"/>
    </row>
    <row r="456" s="243" customFormat="1" ht="22" customHeight="1" outlineLevel="2" spans="1:26">
      <c r="A456" s="154" t="s">
        <v>1960</v>
      </c>
      <c r="B456" s="259">
        <v>29</v>
      </c>
      <c r="C456" s="259">
        <v>2</v>
      </c>
      <c r="D456" s="154">
        <v>-1</v>
      </c>
      <c r="E456" s="263" t="s">
        <v>1961</v>
      </c>
      <c r="F456" s="259"/>
      <c r="G456" s="154" t="s">
        <v>536</v>
      </c>
      <c r="H456" s="154" t="s">
        <v>537</v>
      </c>
      <c r="I456" s="154"/>
      <c r="J456" s="269"/>
      <c r="K456" s="288"/>
      <c r="L456" s="271"/>
      <c r="M456" s="289"/>
      <c r="N456" s="271">
        <v>16.6</v>
      </c>
      <c r="O456" s="271"/>
      <c r="P456" s="290">
        <v>16.6</v>
      </c>
      <c r="Q456" s="271"/>
      <c r="R456" s="154"/>
      <c r="S456" s="189"/>
      <c r="T456" s="308"/>
      <c r="U456" s="305">
        <v>0</v>
      </c>
      <c r="V456" s="305">
        <f t="shared" ref="V456:V519" si="30">L456-U456</f>
        <v>0</v>
      </c>
      <c r="W456" s="306">
        <f t="shared" ref="W456:W519" si="31">U456+V456</f>
        <v>0</v>
      </c>
      <c r="X456" s="271">
        <f t="shared" si="28"/>
        <v>0</v>
      </c>
      <c r="Y456" s="271">
        <f t="shared" si="29"/>
        <v>0</v>
      </c>
      <c r="Z456" s="154"/>
    </row>
    <row r="457" s="243" customFormat="1" ht="22" customHeight="1" outlineLevel="2" spans="1:26">
      <c r="A457" s="154" t="s">
        <v>1962</v>
      </c>
      <c r="B457" s="259">
        <v>29</v>
      </c>
      <c r="C457" s="259">
        <v>2</v>
      </c>
      <c r="D457" s="154">
        <v>-1</v>
      </c>
      <c r="E457" s="263" t="s">
        <v>1963</v>
      </c>
      <c r="F457" s="259"/>
      <c r="G457" s="154" t="s">
        <v>536</v>
      </c>
      <c r="H457" s="154" t="s">
        <v>537</v>
      </c>
      <c r="I457" s="154"/>
      <c r="J457" s="269"/>
      <c r="K457" s="288"/>
      <c r="L457" s="271"/>
      <c r="M457" s="289"/>
      <c r="N457" s="271">
        <v>16.6</v>
      </c>
      <c r="O457" s="271"/>
      <c r="P457" s="290">
        <v>16.6</v>
      </c>
      <c r="Q457" s="271"/>
      <c r="R457" s="154"/>
      <c r="S457" s="189"/>
      <c r="T457" s="308"/>
      <c r="U457" s="305">
        <v>0</v>
      </c>
      <c r="V457" s="305">
        <f t="shared" si="30"/>
        <v>0</v>
      </c>
      <c r="W457" s="306">
        <f t="shared" si="31"/>
        <v>0</v>
      </c>
      <c r="X457" s="271">
        <f t="shared" si="28"/>
        <v>0</v>
      </c>
      <c r="Y457" s="271">
        <f t="shared" si="29"/>
        <v>0</v>
      </c>
      <c r="Z457" s="154"/>
    </row>
    <row r="458" s="243" customFormat="1" ht="22" customHeight="1" outlineLevel="2" spans="1:26">
      <c r="A458" s="154" t="s">
        <v>1964</v>
      </c>
      <c r="B458" s="259">
        <v>29</v>
      </c>
      <c r="C458" s="259">
        <v>2</v>
      </c>
      <c r="D458" s="154">
        <v>-1</v>
      </c>
      <c r="E458" s="263" t="s">
        <v>1965</v>
      </c>
      <c r="F458" s="259"/>
      <c r="G458" s="154" t="s">
        <v>536</v>
      </c>
      <c r="H458" s="154" t="s">
        <v>537</v>
      </c>
      <c r="I458" s="154"/>
      <c r="J458" s="269"/>
      <c r="K458" s="288"/>
      <c r="L458" s="271"/>
      <c r="M458" s="289"/>
      <c r="N458" s="271">
        <v>60.34</v>
      </c>
      <c r="O458" s="271"/>
      <c r="P458" s="290">
        <v>60.34</v>
      </c>
      <c r="Q458" s="271"/>
      <c r="R458" s="154"/>
      <c r="S458" s="189"/>
      <c r="T458" s="308"/>
      <c r="U458" s="305">
        <v>0</v>
      </c>
      <c r="V458" s="305">
        <f t="shared" si="30"/>
        <v>0</v>
      </c>
      <c r="W458" s="306">
        <f t="shared" si="31"/>
        <v>0</v>
      </c>
      <c r="X458" s="271">
        <f t="shared" si="28"/>
        <v>0</v>
      </c>
      <c r="Y458" s="271">
        <f t="shared" si="29"/>
        <v>0</v>
      </c>
      <c r="Z458" s="154"/>
    </row>
    <row r="459" s="243" customFormat="1" ht="22" customHeight="1" outlineLevel="2" spans="1:26">
      <c r="A459" s="154" t="s">
        <v>1966</v>
      </c>
      <c r="B459" s="259">
        <v>29</v>
      </c>
      <c r="C459" s="259">
        <v>2</v>
      </c>
      <c r="D459" s="154">
        <v>-1</v>
      </c>
      <c r="E459" s="263" t="s">
        <v>1967</v>
      </c>
      <c r="F459" s="259"/>
      <c r="G459" s="154" t="s">
        <v>536</v>
      </c>
      <c r="H459" s="154" t="s">
        <v>537</v>
      </c>
      <c r="I459" s="154"/>
      <c r="J459" s="269"/>
      <c r="K459" s="288"/>
      <c r="L459" s="271"/>
      <c r="M459" s="289"/>
      <c r="N459" s="271">
        <v>7.35</v>
      </c>
      <c r="O459" s="271"/>
      <c r="P459" s="290">
        <v>7.35</v>
      </c>
      <c r="Q459" s="271"/>
      <c r="R459" s="154"/>
      <c r="S459" s="189"/>
      <c r="T459" s="308"/>
      <c r="U459" s="305">
        <v>0</v>
      </c>
      <c r="V459" s="305">
        <f t="shared" si="30"/>
        <v>0</v>
      </c>
      <c r="W459" s="306">
        <f t="shared" si="31"/>
        <v>0</v>
      </c>
      <c r="X459" s="271">
        <f t="shared" si="28"/>
        <v>0</v>
      </c>
      <c r="Y459" s="271">
        <f t="shared" si="29"/>
        <v>0</v>
      </c>
      <c r="Z459" s="154"/>
    </row>
    <row r="460" s="243" customFormat="1" ht="22" customHeight="1" outlineLevel="2" spans="1:26">
      <c r="A460" s="154" t="s">
        <v>1968</v>
      </c>
      <c r="B460" s="259">
        <v>29</v>
      </c>
      <c r="C460" s="259">
        <v>2</v>
      </c>
      <c r="D460" s="154">
        <v>-1</v>
      </c>
      <c r="E460" s="263" t="s">
        <v>1969</v>
      </c>
      <c r="F460" s="259"/>
      <c r="G460" s="154" t="s">
        <v>536</v>
      </c>
      <c r="H460" s="154" t="s">
        <v>537</v>
      </c>
      <c r="I460" s="154"/>
      <c r="J460" s="269"/>
      <c r="K460" s="288"/>
      <c r="L460" s="271"/>
      <c r="M460" s="289"/>
      <c r="N460" s="271">
        <v>9.07</v>
      </c>
      <c r="O460" s="271"/>
      <c r="P460" s="290">
        <v>9.07</v>
      </c>
      <c r="Q460" s="271"/>
      <c r="R460" s="154"/>
      <c r="S460" s="189"/>
      <c r="T460" s="308"/>
      <c r="U460" s="305">
        <v>0</v>
      </c>
      <c r="V460" s="305">
        <f t="shared" si="30"/>
        <v>0</v>
      </c>
      <c r="W460" s="306">
        <f t="shared" si="31"/>
        <v>0</v>
      </c>
      <c r="X460" s="271">
        <f t="shared" si="28"/>
        <v>0</v>
      </c>
      <c r="Y460" s="271">
        <f t="shared" si="29"/>
        <v>0</v>
      </c>
      <c r="Z460" s="154"/>
    </row>
    <row r="461" s="243" customFormat="1" ht="22" customHeight="1" outlineLevel="2" spans="1:26">
      <c r="A461" s="154" t="s">
        <v>1970</v>
      </c>
      <c r="B461" s="259">
        <v>29</v>
      </c>
      <c r="C461" s="259">
        <v>2</v>
      </c>
      <c r="D461" s="154">
        <v>-1</v>
      </c>
      <c r="E461" s="263" t="s">
        <v>1971</v>
      </c>
      <c r="F461" s="259"/>
      <c r="G461" s="154" t="s">
        <v>536</v>
      </c>
      <c r="H461" s="154" t="s">
        <v>537</v>
      </c>
      <c r="I461" s="154"/>
      <c r="J461" s="269"/>
      <c r="K461" s="288"/>
      <c r="L461" s="271"/>
      <c r="M461" s="289"/>
      <c r="N461" s="271">
        <v>6.67</v>
      </c>
      <c r="O461" s="271"/>
      <c r="P461" s="290">
        <v>6.67</v>
      </c>
      <c r="Q461" s="271"/>
      <c r="R461" s="154"/>
      <c r="S461" s="189"/>
      <c r="T461" s="308"/>
      <c r="U461" s="305">
        <v>0</v>
      </c>
      <c r="V461" s="305">
        <f t="shared" si="30"/>
        <v>0</v>
      </c>
      <c r="W461" s="306">
        <f t="shared" si="31"/>
        <v>0</v>
      </c>
      <c r="X461" s="271">
        <f t="shared" si="28"/>
        <v>0</v>
      </c>
      <c r="Y461" s="271">
        <f t="shared" si="29"/>
        <v>0</v>
      </c>
      <c r="Z461" s="154"/>
    </row>
    <row r="462" s="243" customFormat="1" ht="22" customHeight="1" outlineLevel="2" spans="1:26">
      <c r="A462" s="154" t="s">
        <v>1972</v>
      </c>
      <c r="B462" s="259">
        <v>29</v>
      </c>
      <c r="C462" s="259">
        <v>2</v>
      </c>
      <c r="D462" s="154">
        <v>-1</v>
      </c>
      <c r="E462" s="263" t="s">
        <v>1973</v>
      </c>
      <c r="F462" s="259"/>
      <c r="G462" s="154" t="s">
        <v>536</v>
      </c>
      <c r="H462" s="154" t="s">
        <v>537</v>
      </c>
      <c r="I462" s="154"/>
      <c r="J462" s="269"/>
      <c r="K462" s="288"/>
      <c r="L462" s="271"/>
      <c r="M462" s="289"/>
      <c r="N462" s="271">
        <v>6.1</v>
      </c>
      <c r="O462" s="271"/>
      <c r="P462" s="290">
        <v>6.1</v>
      </c>
      <c r="Q462" s="271"/>
      <c r="R462" s="154"/>
      <c r="S462" s="189"/>
      <c r="T462" s="308"/>
      <c r="U462" s="305">
        <v>0</v>
      </c>
      <c r="V462" s="305">
        <f t="shared" si="30"/>
        <v>0</v>
      </c>
      <c r="W462" s="306">
        <f t="shared" si="31"/>
        <v>0</v>
      </c>
      <c r="X462" s="271">
        <f t="shared" si="28"/>
        <v>0</v>
      </c>
      <c r="Y462" s="271">
        <f t="shared" si="29"/>
        <v>0</v>
      </c>
      <c r="Z462" s="154"/>
    </row>
    <row r="463" s="243" customFormat="1" ht="22" customHeight="1" outlineLevel="2" spans="1:26">
      <c r="A463" s="154" t="s">
        <v>1974</v>
      </c>
      <c r="B463" s="259">
        <v>29</v>
      </c>
      <c r="C463" s="259">
        <v>2</v>
      </c>
      <c r="D463" s="154">
        <v>-1</v>
      </c>
      <c r="E463" s="263" t="s">
        <v>1975</v>
      </c>
      <c r="F463" s="259"/>
      <c r="G463" s="154" t="s">
        <v>536</v>
      </c>
      <c r="H463" s="154" t="s">
        <v>537</v>
      </c>
      <c r="I463" s="154"/>
      <c r="J463" s="269"/>
      <c r="K463" s="288"/>
      <c r="L463" s="271"/>
      <c r="M463" s="289"/>
      <c r="N463" s="271">
        <v>12.77</v>
      </c>
      <c r="O463" s="271"/>
      <c r="P463" s="290">
        <v>12.77</v>
      </c>
      <c r="Q463" s="271"/>
      <c r="R463" s="154"/>
      <c r="S463" s="189"/>
      <c r="T463" s="308"/>
      <c r="U463" s="305">
        <v>0</v>
      </c>
      <c r="V463" s="305">
        <f t="shared" si="30"/>
        <v>0</v>
      </c>
      <c r="W463" s="306">
        <f t="shared" si="31"/>
        <v>0</v>
      </c>
      <c r="X463" s="271">
        <f t="shared" si="28"/>
        <v>0</v>
      </c>
      <c r="Y463" s="271">
        <f t="shared" si="29"/>
        <v>0</v>
      </c>
      <c r="Z463" s="154"/>
    </row>
    <row r="464" s="243" customFormat="1" ht="22" customHeight="1" outlineLevel="2" spans="1:26">
      <c r="A464" s="154" t="s">
        <v>1976</v>
      </c>
      <c r="B464" s="259">
        <v>30</v>
      </c>
      <c r="C464" s="259">
        <v>1</v>
      </c>
      <c r="D464" s="154">
        <v>1</v>
      </c>
      <c r="E464" s="263" t="s">
        <v>1977</v>
      </c>
      <c r="F464" s="259"/>
      <c r="G464" s="154" t="s">
        <v>256</v>
      </c>
      <c r="H464" s="154" t="s">
        <v>427</v>
      </c>
      <c r="I464" s="154" t="s">
        <v>334</v>
      </c>
      <c r="J464" s="269" t="s">
        <v>1978</v>
      </c>
      <c r="K464" s="288">
        <v>45117</v>
      </c>
      <c r="L464" s="271">
        <v>876540</v>
      </c>
      <c r="M464" s="289" t="s">
        <v>1979</v>
      </c>
      <c r="N464" s="271">
        <v>125.22</v>
      </c>
      <c r="O464" s="271"/>
      <c r="P464" s="290">
        <v>125.22</v>
      </c>
      <c r="Q464" s="271"/>
      <c r="R464" s="154"/>
      <c r="S464" s="189" t="s">
        <v>430</v>
      </c>
      <c r="T464" s="308" t="s">
        <v>1980</v>
      </c>
      <c r="U464" s="305">
        <v>804165.14</v>
      </c>
      <c r="V464" s="305">
        <f t="shared" si="30"/>
        <v>72374.86</v>
      </c>
      <c r="W464" s="306">
        <f t="shared" si="31"/>
        <v>876540</v>
      </c>
      <c r="X464" s="271">
        <f t="shared" si="28"/>
        <v>804165.14</v>
      </c>
      <c r="Y464" s="271">
        <f t="shared" si="29"/>
        <v>6422.02</v>
      </c>
      <c r="Z464" s="154"/>
    </row>
    <row r="465" s="243" customFormat="1" ht="22" customHeight="1" outlineLevel="2" spans="1:26">
      <c r="A465" s="154" t="s">
        <v>1981</v>
      </c>
      <c r="B465" s="259">
        <v>30</v>
      </c>
      <c r="C465" s="259">
        <v>1</v>
      </c>
      <c r="D465" s="154">
        <v>1</v>
      </c>
      <c r="E465" s="263" t="s">
        <v>1982</v>
      </c>
      <c r="F465" s="259"/>
      <c r="G465" s="154" t="s">
        <v>256</v>
      </c>
      <c r="H465" s="154" t="s">
        <v>427</v>
      </c>
      <c r="I465" s="154" t="s">
        <v>334</v>
      </c>
      <c r="J465" s="269">
        <v>20240004985</v>
      </c>
      <c r="K465" s="288">
        <v>45534</v>
      </c>
      <c r="L465" s="271">
        <v>898129</v>
      </c>
      <c r="M465" s="289" t="s">
        <v>1983</v>
      </c>
      <c r="N465" s="271">
        <v>124.74</v>
      </c>
      <c r="O465" s="271"/>
      <c r="P465" s="290">
        <v>124.74</v>
      </c>
      <c r="Q465" s="271"/>
      <c r="R465" s="154"/>
      <c r="S465" s="189"/>
      <c r="T465" s="308" t="s">
        <v>1984</v>
      </c>
      <c r="U465" s="305">
        <v>823971.56</v>
      </c>
      <c r="V465" s="305">
        <f t="shared" si="30"/>
        <v>74157.4399999999</v>
      </c>
      <c r="W465" s="306">
        <f t="shared" si="31"/>
        <v>898129</v>
      </c>
      <c r="X465" s="271">
        <f t="shared" si="28"/>
        <v>823971.56</v>
      </c>
      <c r="Y465" s="271">
        <f t="shared" si="29"/>
        <v>6605.51</v>
      </c>
      <c r="Z465" s="154"/>
    </row>
    <row r="466" s="243" customFormat="1" ht="22" customHeight="1" outlineLevel="2" spans="1:26">
      <c r="A466" s="154" t="s">
        <v>1985</v>
      </c>
      <c r="B466" s="259">
        <v>30</v>
      </c>
      <c r="C466" s="259">
        <v>1</v>
      </c>
      <c r="D466" s="154">
        <v>2</v>
      </c>
      <c r="E466" s="263" t="s">
        <v>1986</v>
      </c>
      <c r="F466" s="259"/>
      <c r="G466" s="154" t="s">
        <v>256</v>
      </c>
      <c r="H466" s="154" t="s">
        <v>427</v>
      </c>
      <c r="I466" s="154" t="s">
        <v>334</v>
      </c>
      <c r="J466" s="269">
        <v>20190005457</v>
      </c>
      <c r="K466" s="288">
        <v>43776</v>
      </c>
      <c r="L466" s="271">
        <v>504098</v>
      </c>
      <c r="M466" s="289" t="s">
        <v>1987</v>
      </c>
      <c r="N466" s="271">
        <v>125.22</v>
      </c>
      <c r="O466" s="271"/>
      <c r="P466" s="290">
        <v>125.22</v>
      </c>
      <c r="Q466" s="271"/>
      <c r="R466" s="154"/>
      <c r="S466" s="189" t="s">
        <v>430</v>
      </c>
      <c r="T466" s="308" t="s">
        <v>1988</v>
      </c>
      <c r="U466" s="305">
        <v>462475.23</v>
      </c>
      <c r="V466" s="305">
        <f t="shared" si="30"/>
        <v>41622.77</v>
      </c>
      <c r="W466" s="306">
        <f t="shared" si="31"/>
        <v>504098</v>
      </c>
      <c r="X466" s="271">
        <f t="shared" si="28"/>
        <v>462475.23</v>
      </c>
      <c r="Y466" s="271">
        <f t="shared" si="29"/>
        <v>3693.3</v>
      </c>
      <c r="Z466" s="154"/>
    </row>
    <row r="467" s="243" customFormat="1" ht="22" customHeight="1" outlineLevel="2" spans="1:26">
      <c r="A467" s="154" t="s">
        <v>1989</v>
      </c>
      <c r="B467" s="259">
        <v>30</v>
      </c>
      <c r="C467" s="259">
        <v>1</v>
      </c>
      <c r="D467" s="154">
        <v>2</v>
      </c>
      <c r="E467" s="263" t="s">
        <v>1990</v>
      </c>
      <c r="F467" s="259"/>
      <c r="G467" s="154" t="s">
        <v>256</v>
      </c>
      <c r="H467" s="154" t="s">
        <v>427</v>
      </c>
      <c r="I467" s="154" t="s">
        <v>334</v>
      </c>
      <c r="J467" s="269">
        <v>20190006416</v>
      </c>
      <c r="K467" s="288">
        <v>43795</v>
      </c>
      <c r="L467" s="271">
        <v>510229</v>
      </c>
      <c r="M467" s="289" t="s">
        <v>1991</v>
      </c>
      <c r="N467" s="271">
        <v>124.84</v>
      </c>
      <c r="O467" s="271"/>
      <c r="P467" s="290">
        <v>124.84</v>
      </c>
      <c r="Q467" s="271"/>
      <c r="R467" s="154"/>
      <c r="S467" s="189" t="s">
        <v>430</v>
      </c>
      <c r="T467" s="308" t="s">
        <v>1992</v>
      </c>
      <c r="U467" s="305">
        <v>468100</v>
      </c>
      <c r="V467" s="305">
        <f t="shared" si="30"/>
        <v>42129</v>
      </c>
      <c r="W467" s="306">
        <f t="shared" si="31"/>
        <v>510229</v>
      </c>
      <c r="X467" s="271">
        <f t="shared" si="28"/>
        <v>468100</v>
      </c>
      <c r="Y467" s="271">
        <f t="shared" si="29"/>
        <v>3749.6</v>
      </c>
      <c r="Z467" s="154"/>
    </row>
    <row r="468" s="243" customFormat="1" ht="22" customHeight="1" outlineLevel="2" spans="1:26">
      <c r="A468" s="154" t="s">
        <v>1993</v>
      </c>
      <c r="B468" s="259">
        <v>30</v>
      </c>
      <c r="C468" s="259">
        <v>1</v>
      </c>
      <c r="D468" s="154">
        <v>3</v>
      </c>
      <c r="E468" s="263" t="s">
        <v>1994</v>
      </c>
      <c r="F468" s="259"/>
      <c r="G468" s="154" t="s">
        <v>256</v>
      </c>
      <c r="H468" s="154" t="s">
        <v>427</v>
      </c>
      <c r="I468" s="154" t="s">
        <v>334</v>
      </c>
      <c r="J468" s="269">
        <v>20190005519</v>
      </c>
      <c r="K468" s="288">
        <v>43778</v>
      </c>
      <c r="L468" s="271">
        <v>510046</v>
      </c>
      <c r="M468" s="289" t="s">
        <v>1995</v>
      </c>
      <c r="N468" s="271">
        <v>125.22</v>
      </c>
      <c r="O468" s="271"/>
      <c r="P468" s="290">
        <v>125.22</v>
      </c>
      <c r="Q468" s="271"/>
      <c r="R468" s="154"/>
      <c r="S468" s="189" t="s">
        <v>430</v>
      </c>
      <c r="T468" s="308" t="s">
        <v>1996</v>
      </c>
      <c r="U468" s="305">
        <v>467932.11</v>
      </c>
      <c r="V468" s="305">
        <f t="shared" si="30"/>
        <v>42113.89</v>
      </c>
      <c r="W468" s="306">
        <f t="shared" si="31"/>
        <v>510046</v>
      </c>
      <c r="X468" s="271">
        <f t="shared" si="28"/>
        <v>467932.11</v>
      </c>
      <c r="Y468" s="271">
        <f t="shared" si="29"/>
        <v>3736.88</v>
      </c>
      <c r="Z468" s="154"/>
    </row>
    <row r="469" s="243" customFormat="1" ht="22" customHeight="1" outlineLevel="2" spans="1:26">
      <c r="A469" s="154" t="s">
        <v>1997</v>
      </c>
      <c r="B469" s="259">
        <v>30</v>
      </c>
      <c r="C469" s="259">
        <v>1</v>
      </c>
      <c r="D469" s="154">
        <v>3</v>
      </c>
      <c r="E469" s="263" t="s">
        <v>1998</v>
      </c>
      <c r="F469" s="259"/>
      <c r="G469" s="154" t="s">
        <v>256</v>
      </c>
      <c r="H469" s="154" t="s">
        <v>427</v>
      </c>
      <c r="I469" s="154" t="s">
        <v>334</v>
      </c>
      <c r="J469" s="269" t="s">
        <v>1999</v>
      </c>
      <c r="K469" s="288">
        <v>43799</v>
      </c>
      <c r="L469" s="271">
        <v>499045</v>
      </c>
      <c r="M469" s="289" t="s">
        <v>2000</v>
      </c>
      <c r="N469" s="271">
        <v>124.84</v>
      </c>
      <c r="O469" s="271"/>
      <c r="P469" s="290">
        <v>124.84</v>
      </c>
      <c r="Q469" s="271"/>
      <c r="R469" s="154"/>
      <c r="S469" s="189" t="s">
        <v>430</v>
      </c>
      <c r="T469" s="308" t="s">
        <v>2001</v>
      </c>
      <c r="U469" s="305">
        <v>457839.45</v>
      </c>
      <c r="V469" s="305">
        <f t="shared" si="30"/>
        <v>41205.55</v>
      </c>
      <c r="W469" s="306">
        <f t="shared" si="31"/>
        <v>499045</v>
      </c>
      <c r="X469" s="271">
        <f t="shared" si="28"/>
        <v>457839.45</v>
      </c>
      <c r="Y469" s="271">
        <f t="shared" si="29"/>
        <v>3667.41</v>
      </c>
      <c r="Z469" s="154"/>
    </row>
    <row r="470" s="243" customFormat="1" ht="22" customHeight="1" outlineLevel="2" spans="1:26">
      <c r="A470" s="154" t="s">
        <v>2002</v>
      </c>
      <c r="B470" s="259">
        <v>30</v>
      </c>
      <c r="C470" s="259">
        <v>1</v>
      </c>
      <c r="D470" s="154">
        <v>4</v>
      </c>
      <c r="E470" s="263" t="s">
        <v>2003</v>
      </c>
      <c r="F470" s="259"/>
      <c r="G470" s="154" t="s">
        <v>256</v>
      </c>
      <c r="H470" s="154" t="s">
        <v>427</v>
      </c>
      <c r="I470" s="154" t="s">
        <v>334</v>
      </c>
      <c r="J470" s="269" t="s">
        <v>2004</v>
      </c>
      <c r="K470" s="288">
        <v>43951</v>
      </c>
      <c r="L470" s="271">
        <v>516113</v>
      </c>
      <c r="M470" s="289" t="s">
        <v>2005</v>
      </c>
      <c r="N470" s="271">
        <v>125.22</v>
      </c>
      <c r="O470" s="271"/>
      <c r="P470" s="290">
        <v>125.22</v>
      </c>
      <c r="Q470" s="271"/>
      <c r="R470" s="154"/>
      <c r="S470" s="189" t="s">
        <v>430</v>
      </c>
      <c r="T470" s="308" t="s">
        <v>2006</v>
      </c>
      <c r="U470" s="305">
        <v>473498.17</v>
      </c>
      <c r="V470" s="305">
        <f t="shared" si="30"/>
        <v>42614.83</v>
      </c>
      <c r="W470" s="306">
        <f t="shared" si="31"/>
        <v>516113</v>
      </c>
      <c r="X470" s="271">
        <f t="shared" si="28"/>
        <v>473498.17</v>
      </c>
      <c r="Y470" s="271">
        <f t="shared" si="29"/>
        <v>3781.33</v>
      </c>
      <c r="Z470" s="154"/>
    </row>
    <row r="471" s="243" customFormat="1" ht="22" customHeight="1" outlineLevel="2" spans="1:26">
      <c r="A471" s="154" t="s">
        <v>2007</v>
      </c>
      <c r="B471" s="259">
        <v>30</v>
      </c>
      <c r="C471" s="259">
        <v>1</v>
      </c>
      <c r="D471" s="154">
        <v>4</v>
      </c>
      <c r="E471" s="263" t="s">
        <v>2008</v>
      </c>
      <c r="F471" s="259"/>
      <c r="G471" s="154" t="s">
        <v>256</v>
      </c>
      <c r="H471" s="154" t="s">
        <v>427</v>
      </c>
      <c r="I471" s="154" t="s">
        <v>334</v>
      </c>
      <c r="J471" s="269">
        <v>20190006397</v>
      </c>
      <c r="K471" s="288">
        <v>43795</v>
      </c>
      <c r="L471" s="271">
        <v>505093</v>
      </c>
      <c r="M471" s="289" t="s">
        <v>2009</v>
      </c>
      <c r="N471" s="271">
        <v>124.84</v>
      </c>
      <c r="O471" s="271"/>
      <c r="P471" s="290">
        <v>124.84</v>
      </c>
      <c r="Q471" s="271"/>
      <c r="R471" s="154"/>
      <c r="S471" s="189" t="s">
        <v>430</v>
      </c>
      <c r="T471" s="308" t="s">
        <v>2010</v>
      </c>
      <c r="U471" s="305">
        <v>463388.07</v>
      </c>
      <c r="V471" s="305">
        <f t="shared" si="30"/>
        <v>41704.93</v>
      </c>
      <c r="W471" s="306">
        <f t="shared" si="31"/>
        <v>505093</v>
      </c>
      <c r="X471" s="271">
        <f t="shared" si="28"/>
        <v>463388.07</v>
      </c>
      <c r="Y471" s="271">
        <f t="shared" si="29"/>
        <v>3711.86</v>
      </c>
      <c r="Z471" s="154"/>
    </row>
    <row r="472" s="243" customFormat="1" ht="22" customHeight="1" outlineLevel="2" spans="1:26">
      <c r="A472" s="154" t="s">
        <v>2011</v>
      </c>
      <c r="B472" s="259">
        <v>30</v>
      </c>
      <c r="C472" s="259">
        <v>1</v>
      </c>
      <c r="D472" s="154">
        <v>5</v>
      </c>
      <c r="E472" s="263" t="s">
        <v>2012</v>
      </c>
      <c r="F472" s="259"/>
      <c r="G472" s="154" t="s">
        <v>256</v>
      </c>
      <c r="H472" s="154" t="s">
        <v>427</v>
      </c>
      <c r="I472" s="154" t="s">
        <v>334</v>
      </c>
      <c r="J472" s="269" t="s">
        <v>2013</v>
      </c>
      <c r="K472" s="288">
        <v>43795</v>
      </c>
      <c r="L472" s="271">
        <v>535740</v>
      </c>
      <c r="M472" s="289" t="s">
        <v>2014</v>
      </c>
      <c r="N472" s="271">
        <v>125.22</v>
      </c>
      <c r="O472" s="271"/>
      <c r="P472" s="290">
        <v>125.22</v>
      </c>
      <c r="Q472" s="271"/>
      <c r="R472" s="154"/>
      <c r="S472" s="189" t="s">
        <v>430</v>
      </c>
      <c r="T472" s="308" t="s">
        <v>2015</v>
      </c>
      <c r="U472" s="305">
        <v>491504.59</v>
      </c>
      <c r="V472" s="305">
        <f t="shared" si="30"/>
        <v>44235.41</v>
      </c>
      <c r="W472" s="306">
        <f t="shared" si="31"/>
        <v>535740</v>
      </c>
      <c r="X472" s="271">
        <f t="shared" si="28"/>
        <v>491504.59</v>
      </c>
      <c r="Y472" s="271">
        <f t="shared" si="29"/>
        <v>3925.13</v>
      </c>
      <c r="Z472" s="154"/>
    </row>
    <row r="473" s="243" customFormat="1" ht="22" customHeight="1" outlineLevel="2" spans="1:26">
      <c r="A473" s="154" t="s">
        <v>2016</v>
      </c>
      <c r="B473" s="259">
        <v>30</v>
      </c>
      <c r="C473" s="259">
        <v>1</v>
      </c>
      <c r="D473" s="154">
        <v>5</v>
      </c>
      <c r="E473" s="263" t="s">
        <v>2017</v>
      </c>
      <c r="F473" s="259"/>
      <c r="G473" s="154" t="s">
        <v>256</v>
      </c>
      <c r="H473" s="154" t="s">
        <v>427</v>
      </c>
      <c r="I473" s="154" t="s">
        <v>334</v>
      </c>
      <c r="J473" s="269" t="s">
        <v>2018</v>
      </c>
      <c r="K473" s="288">
        <v>43911</v>
      </c>
      <c r="L473" s="271">
        <v>525090</v>
      </c>
      <c r="M473" s="289" t="s">
        <v>2019</v>
      </c>
      <c r="N473" s="271">
        <v>124.84</v>
      </c>
      <c r="O473" s="271"/>
      <c r="P473" s="290">
        <v>124.84</v>
      </c>
      <c r="Q473" s="271"/>
      <c r="R473" s="154"/>
      <c r="S473" s="189" t="s">
        <v>430</v>
      </c>
      <c r="T473" s="308" t="s">
        <v>2020</v>
      </c>
      <c r="U473" s="305">
        <v>481733.94</v>
      </c>
      <c r="V473" s="305">
        <f t="shared" si="30"/>
        <v>43356.06</v>
      </c>
      <c r="W473" s="306">
        <f t="shared" si="31"/>
        <v>525090</v>
      </c>
      <c r="X473" s="271">
        <f t="shared" si="28"/>
        <v>481733.94</v>
      </c>
      <c r="Y473" s="271">
        <f t="shared" si="29"/>
        <v>3858.81</v>
      </c>
      <c r="Z473" s="154"/>
    </row>
    <row r="474" s="243" customFormat="1" ht="22" customHeight="1" outlineLevel="2" spans="1:26">
      <c r="A474" s="154" t="s">
        <v>2021</v>
      </c>
      <c r="B474" s="259">
        <v>30</v>
      </c>
      <c r="C474" s="259">
        <v>1</v>
      </c>
      <c r="D474" s="154">
        <v>6</v>
      </c>
      <c r="E474" s="263" t="s">
        <v>2022</v>
      </c>
      <c r="F474" s="259"/>
      <c r="G474" s="154" t="s">
        <v>256</v>
      </c>
      <c r="H474" s="154" t="s">
        <v>427</v>
      </c>
      <c r="I474" s="154" t="s">
        <v>334</v>
      </c>
      <c r="J474" s="269">
        <v>20190007651</v>
      </c>
      <c r="K474" s="288">
        <v>43816</v>
      </c>
      <c r="L474" s="271">
        <v>540864</v>
      </c>
      <c r="M474" s="289" t="s">
        <v>2023</v>
      </c>
      <c r="N474" s="271">
        <v>125.22</v>
      </c>
      <c r="O474" s="271"/>
      <c r="P474" s="290">
        <v>125.22</v>
      </c>
      <c r="Q474" s="271"/>
      <c r="R474" s="154"/>
      <c r="S474" s="189" t="s">
        <v>430</v>
      </c>
      <c r="T474" s="308" t="s">
        <v>2024</v>
      </c>
      <c r="U474" s="305">
        <v>496205.5</v>
      </c>
      <c r="V474" s="305">
        <f t="shared" si="30"/>
        <v>44658.5</v>
      </c>
      <c r="W474" s="306">
        <f t="shared" si="31"/>
        <v>540864</v>
      </c>
      <c r="X474" s="271">
        <f t="shared" si="28"/>
        <v>496205.5</v>
      </c>
      <c r="Y474" s="271">
        <f t="shared" si="29"/>
        <v>3962.67</v>
      </c>
      <c r="Z474" s="154"/>
    </row>
    <row r="475" s="243" customFormat="1" ht="22" customHeight="1" outlineLevel="2" spans="1:26">
      <c r="A475" s="154" t="s">
        <v>2025</v>
      </c>
      <c r="B475" s="259">
        <v>30</v>
      </c>
      <c r="C475" s="259">
        <v>1</v>
      </c>
      <c r="D475" s="154">
        <v>6</v>
      </c>
      <c r="E475" s="263" t="s">
        <v>2026</v>
      </c>
      <c r="F475" s="259"/>
      <c r="G475" s="154" t="s">
        <v>256</v>
      </c>
      <c r="H475" s="154" t="s">
        <v>427</v>
      </c>
      <c r="I475" s="154" t="s">
        <v>334</v>
      </c>
      <c r="J475" s="269" t="s">
        <v>2027</v>
      </c>
      <c r="K475" s="288">
        <v>43794</v>
      </c>
      <c r="L475" s="271">
        <v>517071</v>
      </c>
      <c r="M475" s="289" t="s">
        <v>2028</v>
      </c>
      <c r="N475" s="271">
        <v>124.84</v>
      </c>
      <c r="O475" s="271"/>
      <c r="P475" s="290">
        <v>124.84</v>
      </c>
      <c r="Q475" s="271"/>
      <c r="R475" s="154"/>
      <c r="S475" s="189" t="s">
        <v>430</v>
      </c>
      <c r="T475" s="308" t="s">
        <v>2029</v>
      </c>
      <c r="U475" s="305">
        <v>474377.06</v>
      </c>
      <c r="V475" s="305">
        <f t="shared" si="30"/>
        <v>42693.94</v>
      </c>
      <c r="W475" s="306">
        <f t="shared" si="31"/>
        <v>517071</v>
      </c>
      <c r="X475" s="271">
        <f t="shared" si="28"/>
        <v>474377.06</v>
      </c>
      <c r="Y475" s="271">
        <f t="shared" si="29"/>
        <v>3799.88</v>
      </c>
      <c r="Z475" s="154"/>
    </row>
    <row r="476" s="243" customFormat="1" ht="22" customHeight="1" outlineLevel="2" spans="1:26">
      <c r="A476" s="154" t="s">
        <v>2030</v>
      </c>
      <c r="B476" s="259">
        <v>30</v>
      </c>
      <c r="C476" s="259">
        <v>1</v>
      </c>
      <c r="D476" s="154">
        <v>7</v>
      </c>
      <c r="E476" s="263" t="s">
        <v>2031</v>
      </c>
      <c r="F476" s="259"/>
      <c r="G476" s="154" t="s">
        <v>257</v>
      </c>
      <c r="H476" s="154" t="s">
        <v>427</v>
      </c>
      <c r="I476" s="154" t="s">
        <v>334</v>
      </c>
      <c r="J476" s="269" t="s">
        <v>2032</v>
      </c>
      <c r="K476" s="288">
        <v>44135</v>
      </c>
      <c r="L476" s="271">
        <v>795481</v>
      </c>
      <c r="M476" s="289" t="s">
        <v>2033</v>
      </c>
      <c r="N476" s="271">
        <v>185.86</v>
      </c>
      <c r="O476" s="271"/>
      <c r="P476" s="290">
        <v>185.86</v>
      </c>
      <c r="Q476" s="271"/>
      <c r="R476" s="154"/>
      <c r="S476" s="189" t="s">
        <v>430</v>
      </c>
      <c r="T476" s="308" t="s">
        <v>2034</v>
      </c>
      <c r="U476" s="305">
        <v>729799.08</v>
      </c>
      <c r="V476" s="305">
        <f t="shared" si="30"/>
        <v>65681.92</v>
      </c>
      <c r="W476" s="306">
        <f t="shared" si="31"/>
        <v>795481</v>
      </c>
      <c r="X476" s="271">
        <f t="shared" si="28"/>
        <v>729799.08</v>
      </c>
      <c r="Y476" s="271">
        <f t="shared" si="29"/>
        <v>3926.61</v>
      </c>
      <c r="Z476" s="154"/>
    </row>
    <row r="477" s="243" customFormat="1" ht="22" customHeight="1" outlineLevel="2" spans="1:26">
      <c r="A477" s="154" t="s">
        <v>2035</v>
      </c>
      <c r="B477" s="259">
        <v>30</v>
      </c>
      <c r="C477" s="259">
        <v>1</v>
      </c>
      <c r="D477" s="154">
        <v>7</v>
      </c>
      <c r="E477" s="263" t="s">
        <v>2036</v>
      </c>
      <c r="F477" s="259"/>
      <c r="G477" s="154" t="s">
        <v>257</v>
      </c>
      <c r="H477" s="154" t="s">
        <v>427</v>
      </c>
      <c r="I477" s="154" t="s">
        <v>334</v>
      </c>
      <c r="J477" s="269" t="s">
        <v>2037</v>
      </c>
      <c r="K477" s="288">
        <v>43987</v>
      </c>
      <c r="L477" s="271">
        <v>797564</v>
      </c>
      <c r="M477" s="289" t="s">
        <v>2038</v>
      </c>
      <c r="N477" s="271">
        <v>185.48</v>
      </c>
      <c r="O477" s="271"/>
      <c r="P477" s="290">
        <v>185.48</v>
      </c>
      <c r="Q477" s="271"/>
      <c r="R477" s="154"/>
      <c r="S477" s="189" t="s">
        <v>430</v>
      </c>
      <c r="T477" s="308" t="s">
        <v>2039</v>
      </c>
      <c r="U477" s="305">
        <v>731710.09</v>
      </c>
      <c r="V477" s="305">
        <f t="shared" si="30"/>
        <v>65853.91</v>
      </c>
      <c r="W477" s="306">
        <f t="shared" si="31"/>
        <v>797564</v>
      </c>
      <c r="X477" s="271">
        <f t="shared" si="28"/>
        <v>731710.09</v>
      </c>
      <c r="Y477" s="271">
        <f t="shared" si="29"/>
        <v>3944.95</v>
      </c>
      <c r="Z477" s="154"/>
    </row>
    <row r="478" s="243" customFormat="1" ht="22" customHeight="1" outlineLevel="2" spans="1:26">
      <c r="A478" s="154" t="s">
        <v>2040</v>
      </c>
      <c r="B478" s="259">
        <v>30</v>
      </c>
      <c r="C478" s="259">
        <v>2</v>
      </c>
      <c r="D478" s="154">
        <v>1</v>
      </c>
      <c r="E478" s="263" t="s">
        <v>2041</v>
      </c>
      <c r="F478" s="259"/>
      <c r="G478" s="154" t="s">
        <v>256</v>
      </c>
      <c r="H478" s="154" t="s">
        <v>427</v>
      </c>
      <c r="I478" s="154" t="s">
        <v>334</v>
      </c>
      <c r="J478" s="269" t="s">
        <v>2042</v>
      </c>
      <c r="K478" s="288">
        <v>45398</v>
      </c>
      <c r="L478" s="271">
        <v>913372</v>
      </c>
      <c r="M478" s="289" t="s">
        <v>2043</v>
      </c>
      <c r="N478" s="271">
        <v>124.78</v>
      </c>
      <c r="O478" s="271"/>
      <c r="P478" s="290">
        <v>124.78</v>
      </c>
      <c r="Q478" s="271"/>
      <c r="R478" s="154"/>
      <c r="S478" s="189"/>
      <c r="T478" s="308" t="s">
        <v>2044</v>
      </c>
      <c r="U478" s="305">
        <v>837955.96</v>
      </c>
      <c r="V478" s="305">
        <f t="shared" si="30"/>
        <v>75416.04</v>
      </c>
      <c r="W478" s="306">
        <f t="shared" si="31"/>
        <v>913372</v>
      </c>
      <c r="X478" s="271">
        <f t="shared" si="28"/>
        <v>837955.96</v>
      </c>
      <c r="Y478" s="271">
        <f t="shared" si="29"/>
        <v>6715.47</v>
      </c>
      <c r="Z478" s="154"/>
    </row>
    <row r="479" s="243" customFormat="1" ht="22" customHeight="1" outlineLevel="2" spans="1:26">
      <c r="A479" s="154" t="s">
        <v>2045</v>
      </c>
      <c r="B479" s="259">
        <v>30</v>
      </c>
      <c r="C479" s="259">
        <v>2</v>
      </c>
      <c r="D479" s="154">
        <v>1</v>
      </c>
      <c r="E479" s="263" t="s">
        <v>2046</v>
      </c>
      <c r="F479" s="259"/>
      <c r="G479" s="154" t="s">
        <v>256</v>
      </c>
      <c r="H479" s="154" t="s">
        <v>427</v>
      </c>
      <c r="I479" s="154" t="s">
        <v>334</v>
      </c>
      <c r="J479" s="269" t="s">
        <v>2047</v>
      </c>
      <c r="K479" s="288">
        <v>45100</v>
      </c>
      <c r="L479" s="271">
        <v>901296</v>
      </c>
      <c r="M479" s="289" t="s">
        <v>2048</v>
      </c>
      <c r="N479" s="271">
        <v>125.18</v>
      </c>
      <c r="O479" s="271"/>
      <c r="P479" s="290">
        <v>125.18</v>
      </c>
      <c r="Q479" s="271"/>
      <c r="R479" s="154"/>
      <c r="S479" s="189" t="s">
        <v>430</v>
      </c>
      <c r="T479" s="308" t="s">
        <v>2049</v>
      </c>
      <c r="U479" s="305">
        <v>826877.06</v>
      </c>
      <c r="V479" s="305">
        <f t="shared" si="30"/>
        <v>74418.9399999999</v>
      </c>
      <c r="W479" s="306">
        <f t="shared" si="31"/>
        <v>901296</v>
      </c>
      <c r="X479" s="271">
        <f t="shared" si="28"/>
        <v>826877.06</v>
      </c>
      <c r="Y479" s="271">
        <f t="shared" si="29"/>
        <v>6605.5</v>
      </c>
      <c r="Z479" s="154"/>
    </row>
    <row r="480" s="243" customFormat="1" ht="22" customHeight="1" outlineLevel="2" spans="1:26">
      <c r="A480" s="154" t="s">
        <v>2050</v>
      </c>
      <c r="B480" s="259">
        <v>30</v>
      </c>
      <c r="C480" s="259">
        <v>2</v>
      </c>
      <c r="D480" s="154">
        <v>2</v>
      </c>
      <c r="E480" s="263" t="s">
        <v>2051</v>
      </c>
      <c r="F480" s="259"/>
      <c r="G480" s="154" t="s">
        <v>256</v>
      </c>
      <c r="H480" s="154" t="s">
        <v>427</v>
      </c>
      <c r="I480" s="154" t="s">
        <v>334</v>
      </c>
      <c r="J480" s="269" t="s">
        <v>2052</v>
      </c>
      <c r="K480" s="288">
        <v>43784</v>
      </c>
      <c r="L480" s="271">
        <v>492851</v>
      </c>
      <c r="M480" s="289" t="s">
        <v>2053</v>
      </c>
      <c r="N480" s="271">
        <v>124.78</v>
      </c>
      <c r="O480" s="271"/>
      <c r="P480" s="290">
        <v>124.78</v>
      </c>
      <c r="Q480" s="271"/>
      <c r="R480" s="154"/>
      <c r="S480" s="189" t="s">
        <v>430</v>
      </c>
      <c r="T480" s="308" t="s">
        <v>2054</v>
      </c>
      <c r="U480" s="305">
        <v>452156.88</v>
      </c>
      <c r="V480" s="305">
        <f t="shared" si="30"/>
        <v>40694.12</v>
      </c>
      <c r="W480" s="306">
        <f t="shared" si="31"/>
        <v>492851</v>
      </c>
      <c r="X480" s="271">
        <f t="shared" si="28"/>
        <v>452156.88</v>
      </c>
      <c r="Y480" s="271">
        <f t="shared" si="29"/>
        <v>3623.63</v>
      </c>
      <c r="Z480" s="154"/>
    </row>
    <row r="481" s="243" customFormat="1" ht="22" customHeight="1" outlineLevel="2" spans="1:26">
      <c r="A481" s="154" t="s">
        <v>2055</v>
      </c>
      <c r="B481" s="259">
        <v>30</v>
      </c>
      <c r="C481" s="259">
        <v>2</v>
      </c>
      <c r="D481" s="154">
        <v>2</v>
      </c>
      <c r="E481" s="263" t="s">
        <v>2056</v>
      </c>
      <c r="F481" s="259"/>
      <c r="G481" s="154" t="s">
        <v>256</v>
      </c>
      <c r="H481" s="154" t="s">
        <v>427</v>
      </c>
      <c r="I481" s="154" t="s">
        <v>334</v>
      </c>
      <c r="J481" s="269">
        <v>20190006222</v>
      </c>
      <c r="K481" s="288">
        <v>43792</v>
      </c>
      <c r="L481" s="271">
        <v>517718</v>
      </c>
      <c r="M481" s="289" t="s">
        <v>2057</v>
      </c>
      <c r="N481" s="271">
        <v>125.28</v>
      </c>
      <c r="O481" s="271"/>
      <c r="P481" s="290">
        <v>125.28</v>
      </c>
      <c r="Q481" s="271"/>
      <c r="R481" s="154"/>
      <c r="S481" s="189" t="s">
        <v>430</v>
      </c>
      <c r="T481" s="308" t="s">
        <v>2058</v>
      </c>
      <c r="U481" s="305">
        <v>474970.64</v>
      </c>
      <c r="V481" s="305">
        <f t="shared" si="30"/>
        <v>42747.36</v>
      </c>
      <c r="W481" s="306">
        <f t="shared" si="31"/>
        <v>517718</v>
      </c>
      <c r="X481" s="271">
        <f t="shared" si="28"/>
        <v>474970.64</v>
      </c>
      <c r="Y481" s="271">
        <f t="shared" si="29"/>
        <v>3791.27</v>
      </c>
      <c r="Z481" s="154"/>
    </row>
    <row r="482" s="243" customFormat="1" ht="22" customHeight="1" outlineLevel="2" spans="1:26">
      <c r="A482" s="154" t="s">
        <v>2059</v>
      </c>
      <c r="B482" s="259">
        <v>30</v>
      </c>
      <c r="C482" s="259">
        <v>2</v>
      </c>
      <c r="D482" s="154">
        <v>3</v>
      </c>
      <c r="E482" s="263" t="s">
        <v>2060</v>
      </c>
      <c r="F482" s="259"/>
      <c r="G482" s="154" t="s">
        <v>256</v>
      </c>
      <c r="H482" s="154" t="s">
        <v>427</v>
      </c>
      <c r="I482" s="154" t="s">
        <v>334</v>
      </c>
      <c r="J482" s="269">
        <v>20190006276</v>
      </c>
      <c r="K482" s="288">
        <v>43793</v>
      </c>
      <c r="L482" s="271">
        <v>516237</v>
      </c>
      <c r="M482" s="289" t="s">
        <v>2061</v>
      </c>
      <c r="N482" s="271">
        <v>124.78</v>
      </c>
      <c r="O482" s="271"/>
      <c r="P482" s="290">
        <v>124.78</v>
      </c>
      <c r="Q482" s="271"/>
      <c r="R482" s="154"/>
      <c r="S482" s="189" t="s">
        <v>430</v>
      </c>
      <c r="T482" s="308" t="s">
        <v>2062</v>
      </c>
      <c r="U482" s="305">
        <v>473611.93</v>
      </c>
      <c r="V482" s="305">
        <f t="shared" si="30"/>
        <v>42625.07</v>
      </c>
      <c r="W482" s="306">
        <f t="shared" si="31"/>
        <v>516237</v>
      </c>
      <c r="X482" s="271">
        <f t="shared" si="28"/>
        <v>473611.93</v>
      </c>
      <c r="Y482" s="271">
        <f t="shared" si="29"/>
        <v>3795.58</v>
      </c>
      <c r="Z482" s="154"/>
    </row>
    <row r="483" s="243" customFormat="1" ht="22" customHeight="1" outlineLevel="2" spans="1:27">
      <c r="A483" s="154" t="s">
        <v>2063</v>
      </c>
      <c r="B483" s="259">
        <v>30</v>
      </c>
      <c r="C483" s="259">
        <v>2</v>
      </c>
      <c r="D483" s="154">
        <v>3</v>
      </c>
      <c r="E483" s="263" t="s">
        <v>2064</v>
      </c>
      <c r="F483" s="259"/>
      <c r="G483" s="154" t="s">
        <v>256</v>
      </c>
      <c r="H483" s="154" t="s">
        <v>427</v>
      </c>
      <c r="I483" s="154" t="s">
        <v>334</v>
      </c>
      <c r="J483" s="269">
        <v>20190005518</v>
      </c>
      <c r="K483" s="288">
        <v>43778</v>
      </c>
      <c r="L483" s="271">
        <v>515184</v>
      </c>
      <c r="M483" s="289" t="s">
        <v>2065</v>
      </c>
      <c r="N483" s="271">
        <v>125.28</v>
      </c>
      <c r="O483" s="271"/>
      <c r="P483" s="290">
        <v>125.28</v>
      </c>
      <c r="Q483" s="271"/>
      <c r="R483" s="154"/>
      <c r="S483" s="189" t="s">
        <v>430</v>
      </c>
      <c r="T483" s="308" t="s">
        <v>2066</v>
      </c>
      <c r="U483" s="305">
        <v>472645.87</v>
      </c>
      <c r="V483" s="305">
        <f t="shared" si="30"/>
        <v>42538.13</v>
      </c>
      <c r="W483" s="306">
        <f t="shared" si="31"/>
        <v>515184</v>
      </c>
      <c r="X483" s="271">
        <f t="shared" si="28"/>
        <v>472645.87</v>
      </c>
      <c r="Y483" s="271">
        <f t="shared" si="29"/>
        <v>3772.72</v>
      </c>
      <c r="Z483" s="154"/>
      <c r="AA483" s="243">
        <f>X483+U483</f>
        <v>945291.74</v>
      </c>
    </row>
    <row r="484" s="243" customFormat="1" ht="22" customHeight="1" outlineLevel="2" spans="1:26">
      <c r="A484" s="154" t="s">
        <v>2067</v>
      </c>
      <c r="B484" s="259">
        <v>30</v>
      </c>
      <c r="C484" s="259">
        <v>2</v>
      </c>
      <c r="D484" s="154">
        <v>4</v>
      </c>
      <c r="E484" s="263" t="s">
        <v>2068</v>
      </c>
      <c r="F484" s="259"/>
      <c r="G484" s="154" t="s">
        <v>256</v>
      </c>
      <c r="H484" s="154" t="s">
        <v>427</v>
      </c>
      <c r="I484" s="154" t="s">
        <v>334</v>
      </c>
      <c r="J484" s="269" t="s">
        <v>2069</v>
      </c>
      <c r="K484" s="288">
        <v>43828</v>
      </c>
      <c r="L484" s="271">
        <v>522271</v>
      </c>
      <c r="M484" s="289" t="s">
        <v>2070</v>
      </c>
      <c r="N484" s="271">
        <v>124.78</v>
      </c>
      <c r="O484" s="271"/>
      <c r="P484" s="290">
        <v>124.78</v>
      </c>
      <c r="Q484" s="271"/>
      <c r="R484" s="154"/>
      <c r="S484" s="189" t="s">
        <v>430</v>
      </c>
      <c r="T484" s="308" t="s">
        <v>2071</v>
      </c>
      <c r="U484" s="305">
        <v>479147.71</v>
      </c>
      <c r="V484" s="305">
        <f t="shared" si="30"/>
        <v>43123.29</v>
      </c>
      <c r="W484" s="306">
        <f t="shared" si="31"/>
        <v>522271</v>
      </c>
      <c r="X484" s="271">
        <f t="shared" si="28"/>
        <v>479147.71</v>
      </c>
      <c r="Y484" s="271">
        <f t="shared" si="29"/>
        <v>3839.94</v>
      </c>
      <c r="Z484" s="154"/>
    </row>
    <row r="485" s="243" customFormat="1" ht="22" customHeight="1" outlineLevel="2" spans="1:26">
      <c r="A485" s="154" t="s">
        <v>2072</v>
      </c>
      <c r="B485" s="259">
        <v>30</v>
      </c>
      <c r="C485" s="259">
        <v>2</v>
      </c>
      <c r="D485" s="154">
        <v>4</v>
      </c>
      <c r="E485" s="263" t="s">
        <v>2073</v>
      </c>
      <c r="F485" s="259"/>
      <c r="G485" s="154" t="s">
        <v>256</v>
      </c>
      <c r="H485" s="154" t="s">
        <v>427</v>
      </c>
      <c r="I485" s="154" t="s">
        <v>334</v>
      </c>
      <c r="J485" s="269" t="s">
        <v>2074</v>
      </c>
      <c r="K485" s="288">
        <v>43801</v>
      </c>
      <c r="L485" s="271">
        <v>529719</v>
      </c>
      <c r="M485" s="289" t="s">
        <v>2075</v>
      </c>
      <c r="N485" s="271">
        <v>125.28</v>
      </c>
      <c r="O485" s="271"/>
      <c r="P485" s="290">
        <v>125.28</v>
      </c>
      <c r="Q485" s="271"/>
      <c r="R485" s="154"/>
      <c r="S485" s="189" t="s">
        <v>430</v>
      </c>
      <c r="T485" s="308" t="s">
        <v>2076</v>
      </c>
      <c r="U485" s="305">
        <v>485980.73</v>
      </c>
      <c r="V485" s="305">
        <f t="shared" si="30"/>
        <v>43738.27</v>
      </c>
      <c r="W485" s="306">
        <f t="shared" si="31"/>
        <v>529719</v>
      </c>
      <c r="X485" s="271">
        <f t="shared" si="28"/>
        <v>485980.73</v>
      </c>
      <c r="Y485" s="271">
        <f t="shared" si="29"/>
        <v>3879.16</v>
      </c>
      <c r="Z485" s="154"/>
    </row>
    <row r="486" s="243" customFormat="1" ht="22" customHeight="1" outlineLevel="2" spans="1:26">
      <c r="A486" s="154" t="s">
        <v>2077</v>
      </c>
      <c r="B486" s="259">
        <v>30</v>
      </c>
      <c r="C486" s="259">
        <v>2</v>
      </c>
      <c r="D486" s="154">
        <v>5</v>
      </c>
      <c r="E486" s="263" t="s">
        <v>2078</v>
      </c>
      <c r="F486" s="259"/>
      <c r="G486" s="154" t="s">
        <v>256</v>
      </c>
      <c r="H486" s="154" t="s">
        <v>427</v>
      </c>
      <c r="I486" s="154" t="s">
        <v>334</v>
      </c>
      <c r="J486" s="269">
        <v>20190006251</v>
      </c>
      <c r="K486" s="288">
        <v>43488</v>
      </c>
      <c r="L486" s="271">
        <v>510883</v>
      </c>
      <c r="M486" s="289" t="s">
        <v>2079</v>
      </c>
      <c r="N486" s="271">
        <v>124.78</v>
      </c>
      <c r="O486" s="271"/>
      <c r="P486" s="290">
        <v>124.78</v>
      </c>
      <c r="Q486" s="271"/>
      <c r="R486" s="154"/>
      <c r="S486" s="189" t="s">
        <v>430</v>
      </c>
      <c r="T486" s="308" t="s">
        <v>2080</v>
      </c>
      <c r="U486" s="305">
        <v>468700</v>
      </c>
      <c r="V486" s="305">
        <f t="shared" si="30"/>
        <v>42183</v>
      </c>
      <c r="W486" s="306">
        <f t="shared" si="31"/>
        <v>510883</v>
      </c>
      <c r="X486" s="271">
        <f t="shared" si="28"/>
        <v>468700</v>
      </c>
      <c r="Y486" s="271">
        <f t="shared" si="29"/>
        <v>3756.21</v>
      </c>
      <c r="Z486" s="154"/>
    </row>
    <row r="487" s="243" customFormat="1" ht="22" customHeight="1" outlineLevel="2" spans="1:26">
      <c r="A487" s="154" t="s">
        <v>2081</v>
      </c>
      <c r="B487" s="259">
        <v>30</v>
      </c>
      <c r="C487" s="259">
        <v>2</v>
      </c>
      <c r="D487" s="154">
        <v>5</v>
      </c>
      <c r="E487" s="263" t="s">
        <v>2082</v>
      </c>
      <c r="F487" s="259"/>
      <c r="G487" s="154" t="s">
        <v>256</v>
      </c>
      <c r="H487" s="154" t="s">
        <v>427</v>
      </c>
      <c r="I487" s="154" t="s">
        <v>334</v>
      </c>
      <c r="J487" s="269" t="s">
        <v>2083</v>
      </c>
      <c r="K487" s="288">
        <v>43799</v>
      </c>
      <c r="L487" s="271">
        <v>535777</v>
      </c>
      <c r="M487" s="289" t="s">
        <v>2084</v>
      </c>
      <c r="N487" s="271">
        <v>125.28</v>
      </c>
      <c r="O487" s="271"/>
      <c r="P487" s="290">
        <v>125.28</v>
      </c>
      <c r="Q487" s="271"/>
      <c r="R487" s="154"/>
      <c r="S487" s="189" t="s">
        <v>430</v>
      </c>
      <c r="T487" s="308" t="s">
        <v>2085</v>
      </c>
      <c r="U487" s="305">
        <v>491538.53</v>
      </c>
      <c r="V487" s="305">
        <f t="shared" si="30"/>
        <v>44238.47</v>
      </c>
      <c r="W487" s="306">
        <f t="shared" si="31"/>
        <v>535777</v>
      </c>
      <c r="X487" s="271">
        <f t="shared" si="28"/>
        <v>491538.53</v>
      </c>
      <c r="Y487" s="271">
        <f t="shared" si="29"/>
        <v>3923.52</v>
      </c>
      <c r="Z487" s="154"/>
    </row>
    <row r="488" s="243" customFormat="1" ht="22" customHeight="1" outlineLevel="2" spans="1:26">
      <c r="A488" s="154" t="s">
        <v>2086</v>
      </c>
      <c r="B488" s="259">
        <v>30</v>
      </c>
      <c r="C488" s="259">
        <v>2</v>
      </c>
      <c r="D488" s="154">
        <v>6</v>
      </c>
      <c r="E488" s="263" t="s">
        <v>2087</v>
      </c>
      <c r="F488" s="259"/>
      <c r="G488" s="154" t="s">
        <v>256</v>
      </c>
      <c r="H488" s="154" t="s">
        <v>427</v>
      </c>
      <c r="I488" s="154" t="s">
        <v>334</v>
      </c>
      <c r="J488" s="269">
        <v>20190006256</v>
      </c>
      <c r="K488" s="288">
        <v>43488</v>
      </c>
      <c r="L488" s="271">
        <v>516809</v>
      </c>
      <c r="M488" s="289" t="s">
        <v>2088</v>
      </c>
      <c r="N488" s="271">
        <v>124.78</v>
      </c>
      <c r="O488" s="271"/>
      <c r="P488" s="290">
        <v>124.78</v>
      </c>
      <c r="Q488" s="271"/>
      <c r="R488" s="154"/>
      <c r="S488" s="189" t="s">
        <v>430</v>
      </c>
      <c r="T488" s="308" t="s">
        <v>2089</v>
      </c>
      <c r="U488" s="305">
        <v>474136.7</v>
      </c>
      <c r="V488" s="305">
        <f t="shared" si="30"/>
        <v>42672.3</v>
      </c>
      <c r="W488" s="306">
        <f t="shared" si="31"/>
        <v>516809</v>
      </c>
      <c r="X488" s="271">
        <f t="shared" si="28"/>
        <v>474136.7</v>
      </c>
      <c r="Y488" s="271">
        <f t="shared" si="29"/>
        <v>3799.78</v>
      </c>
      <c r="Z488" s="154"/>
    </row>
    <row r="489" s="243" customFormat="1" ht="22" customHeight="1" outlineLevel="2" spans="1:26">
      <c r="A489" s="154" t="s">
        <v>2090</v>
      </c>
      <c r="B489" s="259">
        <v>30</v>
      </c>
      <c r="C489" s="259">
        <v>2</v>
      </c>
      <c r="D489" s="154">
        <v>6</v>
      </c>
      <c r="E489" s="263" t="s">
        <v>2091</v>
      </c>
      <c r="F489" s="259"/>
      <c r="G489" s="154" t="s">
        <v>256</v>
      </c>
      <c r="H489" s="154" t="s">
        <v>427</v>
      </c>
      <c r="I489" s="154" t="s">
        <v>334</v>
      </c>
      <c r="J489" s="269">
        <v>20190006250</v>
      </c>
      <c r="K489" s="288">
        <v>43488</v>
      </c>
      <c r="L489" s="271">
        <v>533276</v>
      </c>
      <c r="M489" s="289" t="s">
        <v>2092</v>
      </c>
      <c r="N489" s="271">
        <v>125.28</v>
      </c>
      <c r="O489" s="271"/>
      <c r="P489" s="290">
        <v>125.28</v>
      </c>
      <c r="Q489" s="271"/>
      <c r="R489" s="154"/>
      <c r="S489" s="189" t="s">
        <v>430</v>
      </c>
      <c r="T489" s="308" t="s">
        <v>2093</v>
      </c>
      <c r="U489" s="305">
        <v>489244.04</v>
      </c>
      <c r="V489" s="305">
        <f t="shared" si="30"/>
        <v>44031.96</v>
      </c>
      <c r="W489" s="306">
        <f t="shared" si="31"/>
        <v>533276</v>
      </c>
      <c r="X489" s="271">
        <f t="shared" si="28"/>
        <v>489244.04</v>
      </c>
      <c r="Y489" s="271">
        <f t="shared" si="29"/>
        <v>3905.2</v>
      </c>
      <c r="Z489" s="154"/>
    </row>
    <row r="490" s="243" customFormat="1" ht="22" customHeight="1" outlineLevel="2" spans="1:26">
      <c r="A490" s="154" t="s">
        <v>2094</v>
      </c>
      <c r="B490" s="259">
        <v>30</v>
      </c>
      <c r="C490" s="259">
        <v>2</v>
      </c>
      <c r="D490" s="154">
        <v>7</v>
      </c>
      <c r="E490" s="263" t="s">
        <v>2095</v>
      </c>
      <c r="F490" s="259"/>
      <c r="G490" s="154" t="s">
        <v>257</v>
      </c>
      <c r="H490" s="154" t="s">
        <v>427</v>
      </c>
      <c r="I490" s="154" t="s">
        <v>334</v>
      </c>
      <c r="J490" s="269" t="s">
        <v>2096</v>
      </c>
      <c r="K490" s="288">
        <v>43999</v>
      </c>
      <c r="L490" s="271">
        <v>780618</v>
      </c>
      <c r="M490" s="289" t="s">
        <v>2097</v>
      </c>
      <c r="N490" s="271">
        <v>185.42</v>
      </c>
      <c r="O490" s="271"/>
      <c r="P490" s="290">
        <v>185.42</v>
      </c>
      <c r="Q490" s="271"/>
      <c r="R490" s="154"/>
      <c r="S490" s="189" t="s">
        <v>430</v>
      </c>
      <c r="T490" s="308" t="s">
        <v>2098</v>
      </c>
      <c r="U490" s="305">
        <v>716163.3</v>
      </c>
      <c r="V490" s="305">
        <f t="shared" si="30"/>
        <v>64454.7</v>
      </c>
      <c r="W490" s="306">
        <f t="shared" si="31"/>
        <v>780618</v>
      </c>
      <c r="X490" s="271">
        <f t="shared" si="28"/>
        <v>716163.3</v>
      </c>
      <c r="Y490" s="271">
        <f t="shared" si="29"/>
        <v>3862.38</v>
      </c>
      <c r="Z490" s="154"/>
    </row>
    <row r="491" s="243" customFormat="1" ht="22" customHeight="1" outlineLevel="2" spans="1:26">
      <c r="A491" s="154" t="s">
        <v>2099</v>
      </c>
      <c r="B491" s="259">
        <v>30</v>
      </c>
      <c r="C491" s="259">
        <v>2</v>
      </c>
      <c r="D491" s="154">
        <v>7</v>
      </c>
      <c r="E491" s="263" t="s">
        <v>2100</v>
      </c>
      <c r="F491" s="259"/>
      <c r="G491" s="154" t="s">
        <v>257</v>
      </c>
      <c r="H491" s="154" t="s">
        <v>427</v>
      </c>
      <c r="I491" s="154" t="s">
        <v>334</v>
      </c>
      <c r="J491" s="269" t="s">
        <v>2101</v>
      </c>
      <c r="K491" s="288">
        <v>43957</v>
      </c>
      <c r="L491" s="271">
        <v>788888</v>
      </c>
      <c r="M491" s="289" t="s">
        <v>2102</v>
      </c>
      <c r="N491" s="271">
        <v>185.92</v>
      </c>
      <c r="O491" s="271"/>
      <c r="P491" s="290">
        <v>185.92</v>
      </c>
      <c r="Q491" s="271"/>
      <c r="R491" s="154"/>
      <c r="S491" s="189" t="s">
        <v>430</v>
      </c>
      <c r="T491" s="308" t="s">
        <v>2103</v>
      </c>
      <c r="U491" s="305">
        <v>723750.46</v>
      </c>
      <c r="V491" s="305">
        <f t="shared" si="30"/>
        <v>65137.54</v>
      </c>
      <c r="W491" s="306">
        <f t="shared" si="31"/>
        <v>788888</v>
      </c>
      <c r="X491" s="271">
        <f t="shared" si="28"/>
        <v>723750.46</v>
      </c>
      <c r="Y491" s="271">
        <f t="shared" si="29"/>
        <v>3892.81</v>
      </c>
      <c r="Z491" s="154"/>
    </row>
    <row r="492" s="243" customFormat="1" ht="22" customHeight="1" outlineLevel="2" spans="1:26">
      <c r="A492" s="154" t="s">
        <v>2104</v>
      </c>
      <c r="B492" s="259">
        <v>30</v>
      </c>
      <c r="C492" s="259">
        <v>1</v>
      </c>
      <c r="D492" s="154">
        <v>-1</v>
      </c>
      <c r="E492" s="263" t="s">
        <v>2105</v>
      </c>
      <c r="F492" s="259"/>
      <c r="G492" s="154" t="s">
        <v>536</v>
      </c>
      <c r="H492" s="154" t="s">
        <v>537</v>
      </c>
      <c r="I492" s="154"/>
      <c r="J492" s="269"/>
      <c r="K492" s="288"/>
      <c r="L492" s="271"/>
      <c r="M492" s="289"/>
      <c r="N492" s="271">
        <v>12.77</v>
      </c>
      <c r="O492" s="271"/>
      <c r="P492" s="290">
        <v>12.77</v>
      </c>
      <c r="Q492" s="271"/>
      <c r="R492" s="154"/>
      <c r="S492" s="189"/>
      <c r="T492" s="308"/>
      <c r="U492" s="305">
        <v>0</v>
      </c>
      <c r="V492" s="305">
        <f t="shared" si="30"/>
        <v>0</v>
      </c>
      <c r="W492" s="306">
        <f t="shared" si="31"/>
        <v>0</v>
      </c>
      <c r="X492" s="271">
        <f t="shared" si="28"/>
        <v>0</v>
      </c>
      <c r="Y492" s="271">
        <f t="shared" si="29"/>
        <v>0</v>
      </c>
      <c r="Z492" s="154"/>
    </row>
    <row r="493" s="243" customFormat="1" ht="22" customHeight="1" outlineLevel="2" spans="1:26">
      <c r="A493" s="154" t="s">
        <v>2106</v>
      </c>
      <c r="B493" s="259">
        <v>30</v>
      </c>
      <c r="C493" s="259">
        <v>1</v>
      </c>
      <c r="D493" s="154">
        <v>-1</v>
      </c>
      <c r="E493" s="263" t="s">
        <v>2107</v>
      </c>
      <c r="F493" s="259"/>
      <c r="G493" s="154" t="s">
        <v>536</v>
      </c>
      <c r="H493" s="154" t="s">
        <v>537</v>
      </c>
      <c r="I493" s="154"/>
      <c r="J493" s="269"/>
      <c r="K493" s="288"/>
      <c r="L493" s="271"/>
      <c r="M493" s="289"/>
      <c r="N493" s="271">
        <v>6.1</v>
      </c>
      <c r="O493" s="271"/>
      <c r="P493" s="290">
        <v>6.1</v>
      </c>
      <c r="Q493" s="271"/>
      <c r="R493" s="154"/>
      <c r="S493" s="189"/>
      <c r="T493" s="308"/>
      <c r="U493" s="305">
        <v>0</v>
      </c>
      <c r="V493" s="305">
        <f t="shared" si="30"/>
        <v>0</v>
      </c>
      <c r="W493" s="306">
        <f t="shared" si="31"/>
        <v>0</v>
      </c>
      <c r="X493" s="271">
        <f t="shared" si="28"/>
        <v>0</v>
      </c>
      <c r="Y493" s="271">
        <f t="shared" si="29"/>
        <v>0</v>
      </c>
      <c r="Z493" s="154"/>
    </row>
    <row r="494" s="243" customFormat="1" ht="22" customHeight="1" outlineLevel="2" spans="1:26">
      <c r="A494" s="154" t="s">
        <v>2108</v>
      </c>
      <c r="B494" s="259">
        <v>30</v>
      </c>
      <c r="C494" s="259">
        <v>1</v>
      </c>
      <c r="D494" s="154">
        <v>-1</v>
      </c>
      <c r="E494" s="263" t="s">
        <v>2109</v>
      </c>
      <c r="F494" s="259"/>
      <c r="G494" s="154" t="s">
        <v>536</v>
      </c>
      <c r="H494" s="154" t="s">
        <v>537</v>
      </c>
      <c r="I494" s="154"/>
      <c r="J494" s="269"/>
      <c r="K494" s="288"/>
      <c r="L494" s="271"/>
      <c r="M494" s="289"/>
      <c r="N494" s="271">
        <v>6.67</v>
      </c>
      <c r="O494" s="271"/>
      <c r="P494" s="290">
        <v>6.67</v>
      </c>
      <c r="Q494" s="271"/>
      <c r="R494" s="154"/>
      <c r="S494" s="189"/>
      <c r="T494" s="308"/>
      <c r="U494" s="305">
        <v>0</v>
      </c>
      <c r="V494" s="305">
        <f t="shared" si="30"/>
        <v>0</v>
      </c>
      <c r="W494" s="306">
        <f t="shared" si="31"/>
        <v>0</v>
      </c>
      <c r="X494" s="271">
        <f t="shared" si="28"/>
        <v>0</v>
      </c>
      <c r="Y494" s="271">
        <f t="shared" si="29"/>
        <v>0</v>
      </c>
      <c r="Z494" s="154"/>
    </row>
    <row r="495" s="243" customFormat="1" ht="22" customHeight="1" outlineLevel="2" spans="1:26">
      <c r="A495" s="154" t="s">
        <v>2110</v>
      </c>
      <c r="B495" s="259">
        <v>30</v>
      </c>
      <c r="C495" s="259">
        <v>1</v>
      </c>
      <c r="D495" s="154">
        <v>-1</v>
      </c>
      <c r="E495" s="263" t="s">
        <v>2111</v>
      </c>
      <c r="F495" s="259"/>
      <c r="G495" s="154" t="s">
        <v>536</v>
      </c>
      <c r="H495" s="154" t="s">
        <v>537</v>
      </c>
      <c r="I495" s="154"/>
      <c r="J495" s="269"/>
      <c r="K495" s="288"/>
      <c r="L495" s="271"/>
      <c r="M495" s="289"/>
      <c r="N495" s="271">
        <v>9.07</v>
      </c>
      <c r="O495" s="271"/>
      <c r="P495" s="290">
        <v>9.07</v>
      </c>
      <c r="Q495" s="271"/>
      <c r="R495" s="154"/>
      <c r="S495" s="189"/>
      <c r="T495" s="308"/>
      <c r="U495" s="305">
        <v>0</v>
      </c>
      <c r="V495" s="305">
        <f t="shared" si="30"/>
        <v>0</v>
      </c>
      <c r="W495" s="306">
        <f t="shared" si="31"/>
        <v>0</v>
      </c>
      <c r="X495" s="271">
        <f t="shared" si="28"/>
        <v>0</v>
      </c>
      <c r="Y495" s="271">
        <f t="shared" si="29"/>
        <v>0</v>
      </c>
      <c r="Z495" s="154"/>
    </row>
    <row r="496" s="243" customFormat="1" ht="22" customHeight="1" outlineLevel="2" spans="1:26">
      <c r="A496" s="154" t="s">
        <v>2112</v>
      </c>
      <c r="B496" s="259">
        <v>30</v>
      </c>
      <c r="C496" s="259">
        <v>1</v>
      </c>
      <c r="D496" s="154">
        <v>-1</v>
      </c>
      <c r="E496" s="263" t="s">
        <v>2113</v>
      </c>
      <c r="F496" s="259"/>
      <c r="G496" s="154" t="s">
        <v>536</v>
      </c>
      <c r="H496" s="154" t="s">
        <v>537</v>
      </c>
      <c r="I496" s="154"/>
      <c r="J496" s="269"/>
      <c r="K496" s="288"/>
      <c r="L496" s="271"/>
      <c r="M496" s="289"/>
      <c r="N496" s="271">
        <v>7.35</v>
      </c>
      <c r="O496" s="271"/>
      <c r="P496" s="290">
        <v>7.35</v>
      </c>
      <c r="Q496" s="271"/>
      <c r="R496" s="154"/>
      <c r="S496" s="189"/>
      <c r="T496" s="308"/>
      <c r="U496" s="305">
        <v>0</v>
      </c>
      <c r="V496" s="305">
        <f t="shared" si="30"/>
        <v>0</v>
      </c>
      <c r="W496" s="306">
        <f t="shared" si="31"/>
        <v>0</v>
      </c>
      <c r="X496" s="271">
        <f t="shared" si="28"/>
        <v>0</v>
      </c>
      <c r="Y496" s="271">
        <f t="shared" si="29"/>
        <v>0</v>
      </c>
      <c r="Z496" s="154"/>
    </row>
    <row r="497" s="243" customFormat="1" ht="22" customHeight="1" outlineLevel="2" spans="1:26">
      <c r="A497" s="154" t="s">
        <v>2114</v>
      </c>
      <c r="B497" s="259">
        <v>30</v>
      </c>
      <c r="C497" s="259">
        <v>1</v>
      </c>
      <c r="D497" s="154">
        <v>-1</v>
      </c>
      <c r="E497" s="263" t="s">
        <v>2115</v>
      </c>
      <c r="F497" s="259"/>
      <c r="G497" s="154" t="s">
        <v>536</v>
      </c>
      <c r="H497" s="154" t="s">
        <v>537</v>
      </c>
      <c r="I497" s="154"/>
      <c r="J497" s="269"/>
      <c r="K497" s="288"/>
      <c r="L497" s="271"/>
      <c r="M497" s="289"/>
      <c r="N497" s="271">
        <v>60.34</v>
      </c>
      <c r="O497" s="271"/>
      <c r="P497" s="290">
        <v>60.34</v>
      </c>
      <c r="Q497" s="271"/>
      <c r="R497" s="154"/>
      <c r="S497" s="189"/>
      <c r="T497" s="308"/>
      <c r="U497" s="305">
        <v>0</v>
      </c>
      <c r="V497" s="305">
        <f t="shared" si="30"/>
        <v>0</v>
      </c>
      <c r="W497" s="306">
        <f t="shared" si="31"/>
        <v>0</v>
      </c>
      <c r="X497" s="271">
        <f t="shared" si="28"/>
        <v>0</v>
      </c>
      <c r="Y497" s="271">
        <f t="shared" si="29"/>
        <v>0</v>
      </c>
      <c r="Z497" s="154"/>
    </row>
    <row r="498" s="243" customFormat="1" ht="22" customHeight="1" outlineLevel="2" spans="1:26">
      <c r="A498" s="154" t="s">
        <v>2116</v>
      </c>
      <c r="B498" s="259">
        <v>30</v>
      </c>
      <c r="C498" s="259">
        <v>1</v>
      </c>
      <c r="D498" s="154">
        <v>-1</v>
      </c>
      <c r="E498" s="263" t="s">
        <v>2117</v>
      </c>
      <c r="F498" s="259"/>
      <c r="G498" s="154" t="s">
        <v>536</v>
      </c>
      <c r="H498" s="154" t="s">
        <v>537</v>
      </c>
      <c r="I498" s="154"/>
      <c r="J498" s="269"/>
      <c r="K498" s="288"/>
      <c r="L498" s="271"/>
      <c r="M498" s="289"/>
      <c r="N498" s="271">
        <v>16.6</v>
      </c>
      <c r="O498" s="271"/>
      <c r="P498" s="290">
        <v>16.6</v>
      </c>
      <c r="Q498" s="271"/>
      <c r="R498" s="154"/>
      <c r="S498" s="189"/>
      <c r="T498" s="308"/>
      <c r="U498" s="305">
        <v>0</v>
      </c>
      <c r="V498" s="305">
        <f t="shared" si="30"/>
        <v>0</v>
      </c>
      <c r="W498" s="306">
        <f t="shared" si="31"/>
        <v>0</v>
      </c>
      <c r="X498" s="271">
        <f t="shared" si="28"/>
        <v>0</v>
      </c>
      <c r="Y498" s="271">
        <f t="shared" si="29"/>
        <v>0</v>
      </c>
      <c r="Z498" s="154"/>
    </row>
    <row r="499" s="243" customFormat="1" ht="22" customHeight="1" outlineLevel="2" spans="1:26">
      <c r="A499" s="154" t="s">
        <v>2118</v>
      </c>
      <c r="B499" s="259">
        <v>30</v>
      </c>
      <c r="C499" s="259">
        <v>1</v>
      </c>
      <c r="D499" s="154">
        <v>-1</v>
      </c>
      <c r="E499" s="263" t="s">
        <v>2119</v>
      </c>
      <c r="F499" s="259"/>
      <c r="G499" s="154" t="s">
        <v>536</v>
      </c>
      <c r="H499" s="154" t="s">
        <v>537</v>
      </c>
      <c r="I499" s="154"/>
      <c r="J499" s="269"/>
      <c r="K499" s="288"/>
      <c r="L499" s="271"/>
      <c r="M499" s="289"/>
      <c r="N499" s="271">
        <v>16.6</v>
      </c>
      <c r="O499" s="271"/>
      <c r="P499" s="290">
        <v>16.6</v>
      </c>
      <c r="Q499" s="271"/>
      <c r="R499" s="154"/>
      <c r="S499" s="189"/>
      <c r="T499" s="308"/>
      <c r="U499" s="305"/>
      <c r="V499" s="305">
        <f t="shared" si="30"/>
        <v>0</v>
      </c>
      <c r="W499" s="306">
        <f t="shared" si="31"/>
        <v>0</v>
      </c>
      <c r="X499" s="271">
        <f t="shared" si="28"/>
        <v>0</v>
      </c>
      <c r="Y499" s="271">
        <f t="shared" si="29"/>
        <v>0</v>
      </c>
      <c r="Z499" s="154"/>
    </row>
    <row r="500" s="243" customFormat="1" ht="22" customHeight="1" outlineLevel="2" spans="1:26">
      <c r="A500" s="154" t="s">
        <v>2120</v>
      </c>
      <c r="B500" s="259">
        <v>30</v>
      </c>
      <c r="C500" s="259">
        <v>1</v>
      </c>
      <c r="D500" s="154">
        <v>-1</v>
      </c>
      <c r="E500" s="263" t="s">
        <v>2121</v>
      </c>
      <c r="F500" s="259"/>
      <c r="G500" s="154" t="s">
        <v>536</v>
      </c>
      <c r="H500" s="154" t="s">
        <v>537</v>
      </c>
      <c r="I500" s="154"/>
      <c r="J500" s="269"/>
      <c r="K500" s="288"/>
      <c r="L500" s="271"/>
      <c r="M500" s="289"/>
      <c r="N500" s="271">
        <v>60.23</v>
      </c>
      <c r="O500" s="271"/>
      <c r="P500" s="290">
        <v>60.23</v>
      </c>
      <c r="Q500" s="271"/>
      <c r="R500" s="154"/>
      <c r="S500" s="189"/>
      <c r="T500" s="308"/>
      <c r="U500" s="305"/>
      <c r="V500" s="305">
        <f t="shared" si="30"/>
        <v>0</v>
      </c>
      <c r="W500" s="306">
        <f t="shared" si="31"/>
        <v>0</v>
      </c>
      <c r="X500" s="271">
        <f t="shared" si="28"/>
        <v>0</v>
      </c>
      <c r="Y500" s="271">
        <f t="shared" si="29"/>
        <v>0</v>
      </c>
      <c r="Z500" s="154"/>
    </row>
    <row r="501" s="243" customFormat="1" ht="22" customHeight="1" outlineLevel="2" spans="1:26">
      <c r="A501" s="154" t="s">
        <v>2122</v>
      </c>
      <c r="B501" s="259">
        <v>30</v>
      </c>
      <c r="C501" s="259">
        <v>1</v>
      </c>
      <c r="D501" s="154">
        <v>-1</v>
      </c>
      <c r="E501" s="263" t="s">
        <v>2123</v>
      </c>
      <c r="F501" s="259"/>
      <c r="G501" s="154" t="s">
        <v>536</v>
      </c>
      <c r="H501" s="154" t="s">
        <v>537</v>
      </c>
      <c r="I501" s="154"/>
      <c r="J501" s="269"/>
      <c r="K501" s="288"/>
      <c r="L501" s="271"/>
      <c r="M501" s="289"/>
      <c r="N501" s="271">
        <v>12.71</v>
      </c>
      <c r="O501" s="271"/>
      <c r="P501" s="290">
        <v>12.71</v>
      </c>
      <c r="Q501" s="271"/>
      <c r="R501" s="154"/>
      <c r="S501" s="189"/>
      <c r="T501" s="308"/>
      <c r="U501" s="305"/>
      <c r="V501" s="305">
        <f t="shared" si="30"/>
        <v>0</v>
      </c>
      <c r="W501" s="306">
        <f t="shared" si="31"/>
        <v>0</v>
      </c>
      <c r="X501" s="271">
        <f t="shared" si="28"/>
        <v>0</v>
      </c>
      <c r="Y501" s="271">
        <f t="shared" si="29"/>
        <v>0</v>
      </c>
      <c r="Z501" s="154"/>
    </row>
    <row r="502" s="243" customFormat="1" ht="22" customHeight="1" outlineLevel="2" spans="1:26">
      <c r="A502" s="154" t="s">
        <v>2124</v>
      </c>
      <c r="B502" s="259">
        <v>30</v>
      </c>
      <c r="C502" s="259">
        <v>1</v>
      </c>
      <c r="D502" s="154">
        <v>-1</v>
      </c>
      <c r="E502" s="263" t="s">
        <v>2125</v>
      </c>
      <c r="F502" s="259"/>
      <c r="G502" s="154" t="s">
        <v>536</v>
      </c>
      <c r="H502" s="154" t="s">
        <v>537</v>
      </c>
      <c r="I502" s="154"/>
      <c r="J502" s="269"/>
      <c r="K502" s="288"/>
      <c r="L502" s="271"/>
      <c r="M502" s="289"/>
      <c r="N502" s="271">
        <v>8.04</v>
      </c>
      <c r="O502" s="271"/>
      <c r="P502" s="290">
        <v>8.04</v>
      </c>
      <c r="Q502" s="271"/>
      <c r="R502" s="154"/>
      <c r="S502" s="189"/>
      <c r="T502" s="308"/>
      <c r="U502" s="305"/>
      <c r="V502" s="305">
        <f t="shared" si="30"/>
        <v>0</v>
      </c>
      <c r="W502" s="306">
        <f t="shared" si="31"/>
        <v>0</v>
      </c>
      <c r="X502" s="271">
        <f t="shared" si="28"/>
        <v>0</v>
      </c>
      <c r="Y502" s="271">
        <f t="shared" si="29"/>
        <v>0</v>
      </c>
      <c r="Z502" s="154"/>
    </row>
    <row r="503" s="243" customFormat="1" ht="22" customHeight="1" outlineLevel="2" spans="1:26">
      <c r="A503" s="154" t="s">
        <v>2126</v>
      </c>
      <c r="B503" s="259">
        <v>30</v>
      </c>
      <c r="C503" s="259">
        <v>1</v>
      </c>
      <c r="D503" s="154">
        <v>-1</v>
      </c>
      <c r="E503" s="263" t="s">
        <v>2127</v>
      </c>
      <c r="F503" s="259"/>
      <c r="G503" s="154" t="s">
        <v>536</v>
      </c>
      <c r="H503" s="154" t="s">
        <v>537</v>
      </c>
      <c r="I503" s="154"/>
      <c r="J503" s="269"/>
      <c r="K503" s="288"/>
      <c r="L503" s="271"/>
      <c r="M503" s="289"/>
      <c r="N503" s="271">
        <v>11.43</v>
      </c>
      <c r="O503" s="271"/>
      <c r="P503" s="290">
        <v>11.43</v>
      </c>
      <c r="Q503" s="271"/>
      <c r="R503" s="154"/>
      <c r="S503" s="189"/>
      <c r="T503" s="308"/>
      <c r="U503" s="305"/>
      <c r="V503" s="305">
        <f t="shared" si="30"/>
        <v>0</v>
      </c>
      <c r="W503" s="306">
        <f t="shared" si="31"/>
        <v>0</v>
      </c>
      <c r="X503" s="271">
        <f t="shared" si="28"/>
        <v>0</v>
      </c>
      <c r="Y503" s="271">
        <f t="shared" si="29"/>
        <v>0</v>
      </c>
      <c r="Z503" s="154"/>
    </row>
    <row r="504" s="243" customFormat="1" ht="22" customHeight="1" outlineLevel="2" spans="1:26">
      <c r="A504" s="154" t="s">
        <v>2128</v>
      </c>
      <c r="B504" s="259">
        <v>30</v>
      </c>
      <c r="C504" s="259">
        <v>1</v>
      </c>
      <c r="D504" s="154">
        <v>-1</v>
      </c>
      <c r="E504" s="263" t="s">
        <v>2129</v>
      </c>
      <c r="F504" s="259"/>
      <c r="G504" s="154" t="s">
        <v>536</v>
      </c>
      <c r="H504" s="154" t="s">
        <v>537</v>
      </c>
      <c r="I504" s="154"/>
      <c r="J504" s="269"/>
      <c r="K504" s="288"/>
      <c r="L504" s="271"/>
      <c r="M504" s="289"/>
      <c r="N504" s="271">
        <v>10.58</v>
      </c>
      <c r="O504" s="271"/>
      <c r="P504" s="290">
        <v>10.58</v>
      </c>
      <c r="Q504" s="271"/>
      <c r="R504" s="154"/>
      <c r="S504" s="189"/>
      <c r="T504" s="308"/>
      <c r="U504" s="305"/>
      <c r="V504" s="305">
        <f t="shared" si="30"/>
        <v>0</v>
      </c>
      <c r="W504" s="306">
        <f t="shared" si="31"/>
        <v>0</v>
      </c>
      <c r="X504" s="271">
        <f t="shared" si="28"/>
        <v>0</v>
      </c>
      <c r="Y504" s="271">
        <f t="shared" si="29"/>
        <v>0</v>
      </c>
      <c r="Z504" s="154"/>
    </row>
    <row r="505" s="243" customFormat="1" ht="22" customHeight="1" outlineLevel="2" spans="1:26">
      <c r="A505" s="154" t="s">
        <v>2130</v>
      </c>
      <c r="B505" s="259">
        <v>30</v>
      </c>
      <c r="C505" s="259">
        <v>1</v>
      </c>
      <c r="D505" s="154">
        <v>-1</v>
      </c>
      <c r="E505" s="263" t="s">
        <v>2131</v>
      </c>
      <c r="F505" s="259"/>
      <c r="G505" s="154" t="s">
        <v>536</v>
      </c>
      <c r="H505" s="154" t="s">
        <v>537</v>
      </c>
      <c r="I505" s="154"/>
      <c r="J505" s="269"/>
      <c r="K505" s="288"/>
      <c r="L505" s="271"/>
      <c r="M505" s="289"/>
      <c r="N505" s="271">
        <v>6.1</v>
      </c>
      <c r="O505" s="271"/>
      <c r="P505" s="290">
        <v>6.1</v>
      </c>
      <c r="Q505" s="271"/>
      <c r="R505" s="154"/>
      <c r="S505" s="189"/>
      <c r="T505" s="308"/>
      <c r="U505" s="305"/>
      <c r="V505" s="305">
        <f t="shared" si="30"/>
        <v>0</v>
      </c>
      <c r="W505" s="306">
        <f t="shared" si="31"/>
        <v>0</v>
      </c>
      <c r="X505" s="271">
        <f t="shared" si="28"/>
        <v>0</v>
      </c>
      <c r="Y505" s="271">
        <f t="shared" si="29"/>
        <v>0</v>
      </c>
      <c r="Z505" s="154"/>
    </row>
    <row r="506" s="243" customFormat="1" ht="22" customHeight="1" outlineLevel="2" spans="1:26">
      <c r="A506" s="154" t="s">
        <v>2132</v>
      </c>
      <c r="B506" s="259">
        <v>30</v>
      </c>
      <c r="C506" s="259">
        <v>2</v>
      </c>
      <c r="D506" s="154">
        <v>-1</v>
      </c>
      <c r="E506" s="263" t="s">
        <v>2133</v>
      </c>
      <c r="F506" s="259"/>
      <c r="G506" s="154" t="s">
        <v>536</v>
      </c>
      <c r="H506" s="154" t="s">
        <v>537</v>
      </c>
      <c r="I506" s="154"/>
      <c r="J506" s="269"/>
      <c r="K506" s="288"/>
      <c r="L506" s="271"/>
      <c r="M506" s="289"/>
      <c r="N506" s="271">
        <v>6.1</v>
      </c>
      <c r="O506" s="271"/>
      <c r="P506" s="290">
        <v>6.1</v>
      </c>
      <c r="Q506" s="271"/>
      <c r="R506" s="154"/>
      <c r="S506" s="189"/>
      <c r="T506" s="308"/>
      <c r="U506" s="305"/>
      <c r="V506" s="305">
        <f t="shared" si="30"/>
        <v>0</v>
      </c>
      <c r="W506" s="306">
        <f t="shared" si="31"/>
        <v>0</v>
      </c>
      <c r="X506" s="271">
        <f t="shared" si="28"/>
        <v>0</v>
      </c>
      <c r="Y506" s="271">
        <f t="shared" si="29"/>
        <v>0</v>
      </c>
      <c r="Z506" s="154"/>
    </row>
    <row r="507" s="243" customFormat="1" ht="22" customHeight="1" outlineLevel="2" spans="1:26">
      <c r="A507" s="154" t="s">
        <v>2134</v>
      </c>
      <c r="B507" s="259">
        <v>30</v>
      </c>
      <c r="C507" s="259">
        <v>2</v>
      </c>
      <c r="D507" s="154">
        <v>-1</v>
      </c>
      <c r="E507" s="263" t="s">
        <v>2135</v>
      </c>
      <c r="F507" s="259"/>
      <c r="G507" s="154" t="s">
        <v>536</v>
      </c>
      <c r="H507" s="154" t="s">
        <v>537</v>
      </c>
      <c r="I507" s="154"/>
      <c r="J507" s="269"/>
      <c r="K507" s="288"/>
      <c r="L507" s="271"/>
      <c r="M507" s="289"/>
      <c r="N507" s="271">
        <v>10.58</v>
      </c>
      <c r="O507" s="271"/>
      <c r="P507" s="290">
        <v>10.58</v>
      </c>
      <c r="Q507" s="271"/>
      <c r="R507" s="154"/>
      <c r="S507" s="189"/>
      <c r="T507" s="308"/>
      <c r="U507" s="305"/>
      <c r="V507" s="305">
        <f t="shared" si="30"/>
        <v>0</v>
      </c>
      <c r="W507" s="306">
        <f t="shared" si="31"/>
        <v>0</v>
      </c>
      <c r="X507" s="271">
        <f t="shared" si="28"/>
        <v>0</v>
      </c>
      <c r="Y507" s="271">
        <f t="shared" si="29"/>
        <v>0</v>
      </c>
      <c r="Z507" s="154"/>
    </row>
    <row r="508" s="243" customFormat="1" ht="22" customHeight="1" outlineLevel="2" spans="1:26">
      <c r="A508" s="154" t="s">
        <v>2136</v>
      </c>
      <c r="B508" s="259">
        <v>30</v>
      </c>
      <c r="C508" s="259">
        <v>2</v>
      </c>
      <c r="D508" s="154">
        <v>-1</v>
      </c>
      <c r="E508" s="263" t="s">
        <v>2137</v>
      </c>
      <c r="F508" s="259"/>
      <c r="G508" s="154" t="s">
        <v>536</v>
      </c>
      <c r="H508" s="154" t="s">
        <v>537</v>
      </c>
      <c r="I508" s="154"/>
      <c r="J508" s="269"/>
      <c r="K508" s="288"/>
      <c r="L508" s="271"/>
      <c r="M508" s="289"/>
      <c r="N508" s="271">
        <v>11.43</v>
      </c>
      <c r="O508" s="271"/>
      <c r="P508" s="290">
        <v>11.43</v>
      </c>
      <c r="Q508" s="271"/>
      <c r="R508" s="154"/>
      <c r="S508" s="189"/>
      <c r="T508" s="308"/>
      <c r="U508" s="305"/>
      <c r="V508" s="305">
        <f t="shared" si="30"/>
        <v>0</v>
      </c>
      <c r="W508" s="306">
        <f t="shared" si="31"/>
        <v>0</v>
      </c>
      <c r="X508" s="271">
        <f t="shared" si="28"/>
        <v>0</v>
      </c>
      <c r="Y508" s="271">
        <f t="shared" si="29"/>
        <v>0</v>
      </c>
      <c r="Z508" s="154"/>
    </row>
    <row r="509" s="243" customFormat="1" ht="22" customHeight="1" outlineLevel="2" spans="1:26">
      <c r="A509" s="154" t="s">
        <v>2138</v>
      </c>
      <c r="B509" s="259">
        <v>30</v>
      </c>
      <c r="C509" s="259">
        <v>2</v>
      </c>
      <c r="D509" s="154">
        <v>-1</v>
      </c>
      <c r="E509" s="263" t="s">
        <v>2139</v>
      </c>
      <c r="F509" s="259"/>
      <c r="G509" s="154" t="s">
        <v>536</v>
      </c>
      <c r="H509" s="154" t="s">
        <v>537</v>
      </c>
      <c r="I509" s="154"/>
      <c r="J509" s="269"/>
      <c r="K509" s="288"/>
      <c r="L509" s="271"/>
      <c r="M509" s="289"/>
      <c r="N509" s="271">
        <v>8.04</v>
      </c>
      <c r="O509" s="271"/>
      <c r="P509" s="290">
        <v>8.04</v>
      </c>
      <c r="Q509" s="271"/>
      <c r="R509" s="154"/>
      <c r="S509" s="189"/>
      <c r="T509" s="308"/>
      <c r="U509" s="305"/>
      <c r="V509" s="305">
        <f t="shared" si="30"/>
        <v>0</v>
      </c>
      <c r="W509" s="306">
        <f t="shared" si="31"/>
        <v>0</v>
      </c>
      <c r="X509" s="271">
        <f t="shared" si="28"/>
        <v>0</v>
      </c>
      <c r="Y509" s="271">
        <f t="shared" si="29"/>
        <v>0</v>
      </c>
      <c r="Z509" s="154"/>
    </row>
    <row r="510" s="243" customFormat="1" ht="22" customHeight="1" outlineLevel="2" spans="1:26">
      <c r="A510" s="154" t="s">
        <v>2140</v>
      </c>
      <c r="B510" s="259">
        <v>30</v>
      </c>
      <c r="C510" s="259">
        <v>2</v>
      </c>
      <c r="D510" s="154">
        <v>-1</v>
      </c>
      <c r="E510" s="263" t="s">
        <v>2141</v>
      </c>
      <c r="F510" s="259"/>
      <c r="G510" s="154" t="s">
        <v>536</v>
      </c>
      <c r="H510" s="154" t="s">
        <v>537</v>
      </c>
      <c r="I510" s="154"/>
      <c r="J510" s="269"/>
      <c r="K510" s="288"/>
      <c r="L510" s="271"/>
      <c r="M510" s="289"/>
      <c r="N510" s="271">
        <v>12.71</v>
      </c>
      <c r="O510" s="271"/>
      <c r="P510" s="290">
        <v>12.71</v>
      </c>
      <c r="Q510" s="271"/>
      <c r="R510" s="154"/>
      <c r="S510" s="189"/>
      <c r="T510" s="308"/>
      <c r="U510" s="305"/>
      <c r="V510" s="305">
        <f t="shared" si="30"/>
        <v>0</v>
      </c>
      <c r="W510" s="306">
        <f t="shared" si="31"/>
        <v>0</v>
      </c>
      <c r="X510" s="271">
        <f t="shared" si="28"/>
        <v>0</v>
      </c>
      <c r="Y510" s="271">
        <f t="shared" si="29"/>
        <v>0</v>
      </c>
      <c r="Z510" s="154"/>
    </row>
    <row r="511" s="243" customFormat="1" ht="22" customHeight="1" outlineLevel="2" spans="1:26">
      <c r="A511" s="154" t="s">
        <v>2142</v>
      </c>
      <c r="B511" s="259">
        <v>30</v>
      </c>
      <c r="C511" s="259">
        <v>2</v>
      </c>
      <c r="D511" s="154">
        <v>-1</v>
      </c>
      <c r="E511" s="263" t="s">
        <v>2143</v>
      </c>
      <c r="F511" s="259"/>
      <c r="G511" s="154" t="s">
        <v>536</v>
      </c>
      <c r="H511" s="154" t="s">
        <v>537</v>
      </c>
      <c r="I511" s="154"/>
      <c r="J511" s="269"/>
      <c r="K511" s="288"/>
      <c r="L511" s="271"/>
      <c r="M511" s="289"/>
      <c r="N511" s="271">
        <v>60.23</v>
      </c>
      <c r="O511" s="271"/>
      <c r="P511" s="290">
        <v>60.23</v>
      </c>
      <c r="Q511" s="271"/>
      <c r="R511" s="154"/>
      <c r="S511" s="189"/>
      <c r="T511" s="308"/>
      <c r="U511" s="305"/>
      <c r="V511" s="305">
        <f t="shared" si="30"/>
        <v>0</v>
      </c>
      <c r="W511" s="306">
        <f t="shared" si="31"/>
        <v>0</v>
      </c>
      <c r="X511" s="271">
        <f t="shared" si="28"/>
        <v>0</v>
      </c>
      <c r="Y511" s="271">
        <f t="shared" si="29"/>
        <v>0</v>
      </c>
      <c r="Z511" s="154"/>
    </row>
    <row r="512" s="243" customFormat="1" ht="22" customHeight="1" outlineLevel="2" spans="1:26">
      <c r="A512" s="154" t="s">
        <v>2144</v>
      </c>
      <c r="B512" s="259">
        <v>30</v>
      </c>
      <c r="C512" s="259">
        <v>2</v>
      </c>
      <c r="D512" s="154">
        <v>-1</v>
      </c>
      <c r="E512" s="263" t="s">
        <v>2145</v>
      </c>
      <c r="F512" s="259"/>
      <c r="G512" s="154" t="s">
        <v>536</v>
      </c>
      <c r="H512" s="154" t="s">
        <v>537</v>
      </c>
      <c r="I512" s="154"/>
      <c r="J512" s="269"/>
      <c r="K512" s="288"/>
      <c r="L512" s="271"/>
      <c r="M512" s="289"/>
      <c r="N512" s="271">
        <v>16.6</v>
      </c>
      <c r="O512" s="271"/>
      <c r="P512" s="290">
        <v>16.6</v>
      </c>
      <c r="Q512" s="271"/>
      <c r="R512" s="154"/>
      <c r="S512" s="189"/>
      <c r="T512" s="308"/>
      <c r="U512" s="305"/>
      <c r="V512" s="305">
        <f t="shared" si="30"/>
        <v>0</v>
      </c>
      <c r="W512" s="306">
        <f t="shared" si="31"/>
        <v>0</v>
      </c>
      <c r="X512" s="271">
        <f t="shared" si="28"/>
        <v>0</v>
      </c>
      <c r="Y512" s="271">
        <f t="shared" si="29"/>
        <v>0</v>
      </c>
      <c r="Z512" s="154"/>
    </row>
    <row r="513" s="243" customFormat="1" ht="22" customHeight="1" outlineLevel="2" spans="1:26">
      <c r="A513" s="154" t="s">
        <v>2146</v>
      </c>
      <c r="B513" s="259">
        <v>30</v>
      </c>
      <c r="C513" s="259">
        <v>2</v>
      </c>
      <c r="D513" s="154">
        <v>-1</v>
      </c>
      <c r="E513" s="263" t="s">
        <v>2147</v>
      </c>
      <c r="F513" s="259"/>
      <c r="G513" s="154" t="s">
        <v>536</v>
      </c>
      <c r="H513" s="154" t="s">
        <v>537</v>
      </c>
      <c r="I513" s="154"/>
      <c r="J513" s="269"/>
      <c r="K513" s="288"/>
      <c r="L513" s="271"/>
      <c r="M513" s="289"/>
      <c r="N513" s="271">
        <v>16.6</v>
      </c>
      <c r="O513" s="271"/>
      <c r="P513" s="290">
        <v>16.6</v>
      </c>
      <c r="Q513" s="271"/>
      <c r="R513" s="154"/>
      <c r="S513" s="189"/>
      <c r="T513" s="308"/>
      <c r="U513" s="305"/>
      <c r="V513" s="305">
        <f t="shared" si="30"/>
        <v>0</v>
      </c>
      <c r="W513" s="306">
        <f t="shared" si="31"/>
        <v>0</v>
      </c>
      <c r="X513" s="271">
        <f t="shared" si="28"/>
        <v>0</v>
      </c>
      <c r="Y513" s="271">
        <f t="shared" si="29"/>
        <v>0</v>
      </c>
      <c r="Z513" s="154"/>
    </row>
    <row r="514" s="243" customFormat="1" ht="22" customHeight="1" outlineLevel="2" spans="1:26">
      <c r="A514" s="154" t="s">
        <v>2148</v>
      </c>
      <c r="B514" s="259">
        <v>30</v>
      </c>
      <c r="C514" s="259">
        <v>2</v>
      </c>
      <c r="D514" s="154">
        <v>-1</v>
      </c>
      <c r="E514" s="263" t="s">
        <v>2149</v>
      </c>
      <c r="F514" s="259"/>
      <c r="G514" s="154" t="s">
        <v>536</v>
      </c>
      <c r="H514" s="154" t="s">
        <v>537</v>
      </c>
      <c r="I514" s="154"/>
      <c r="J514" s="269"/>
      <c r="K514" s="288"/>
      <c r="L514" s="271"/>
      <c r="M514" s="289"/>
      <c r="N514" s="271">
        <v>60.34</v>
      </c>
      <c r="O514" s="271"/>
      <c r="P514" s="290">
        <v>60.34</v>
      </c>
      <c r="Q514" s="271"/>
      <c r="R514" s="154"/>
      <c r="S514" s="189"/>
      <c r="T514" s="308"/>
      <c r="U514" s="305"/>
      <c r="V514" s="305">
        <f t="shared" si="30"/>
        <v>0</v>
      </c>
      <c r="W514" s="306">
        <f t="shared" si="31"/>
        <v>0</v>
      </c>
      <c r="X514" s="271">
        <f t="shared" si="28"/>
        <v>0</v>
      </c>
      <c r="Y514" s="271">
        <f t="shared" si="29"/>
        <v>0</v>
      </c>
      <c r="Z514" s="154"/>
    </row>
    <row r="515" s="243" customFormat="1" ht="22" customHeight="1" outlineLevel="2" spans="1:26">
      <c r="A515" s="154" t="s">
        <v>2150</v>
      </c>
      <c r="B515" s="259">
        <v>30</v>
      </c>
      <c r="C515" s="259">
        <v>2</v>
      </c>
      <c r="D515" s="154">
        <v>-1</v>
      </c>
      <c r="E515" s="263" t="s">
        <v>2151</v>
      </c>
      <c r="F515" s="259"/>
      <c r="G515" s="154" t="s">
        <v>536</v>
      </c>
      <c r="H515" s="154" t="s">
        <v>537</v>
      </c>
      <c r="I515" s="154"/>
      <c r="J515" s="269"/>
      <c r="K515" s="288"/>
      <c r="L515" s="271"/>
      <c r="M515" s="289"/>
      <c r="N515" s="271">
        <v>7.35</v>
      </c>
      <c r="O515" s="271"/>
      <c r="P515" s="290">
        <v>7.35</v>
      </c>
      <c r="Q515" s="271"/>
      <c r="R515" s="154"/>
      <c r="S515" s="189"/>
      <c r="T515" s="308"/>
      <c r="U515" s="305"/>
      <c r="V515" s="305">
        <f t="shared" si="30"/>
        <v>0</v>
      </c>
      <c r="W515" s="306">
        <f t="shared" si="31"/>
        <v>0</v>
      </c>
      <c r="X515" s="271">
        <f t="shared" si="28"/>
        <v>0</v>
      </c>
      <c r="Y515" s="271">
        <f t="shared" si="29"/>
        <v>0</v>
      </c>
      <c r="Z515" s="154"/>
    </row>
    <row r="516" s="243" customFormat="1" ht="22" customHeight="1" outlineLevel="2" spans="1:26">
      <c r="A516" s="154" t="s">
        <v>2152</v>
      </c>
      <c r="B516" s="259">
        <v>30</v>
      </c>
      <c r="C516" s="259">
        <v>2</v>
      </c>
      <c r="D516" s="154">
        <v>-1</v>
      </c>
      <c r="E516" s="263" t="s">
        <v>2153</v>
      </c>
      <c r="F516" s="259"/>
      <c r="G516" s="154" t="s">
        <v>536</v>
      </c>
      <c r="H516" s="154" t="s">
        <v>537</v>
      </c>
      <c r="I516" s="154"/>
      <c r="J516" s="269"/>
      <c r="K516" s="288"/>
      <c r="L516" s="271"/>
      <c r="M516" s="289"/>
      <c r="N516" s="271">
        <v>9.07</v>
      </c>
      <c r="O516" s="271"/>
      <c r="P516" s="290">
        <v>9.07</v>
      </c>
      <c r="Q516" s="271"/>
      <c r="R516" s="154"/>
      <c r="S516" s="189"/>
      <c r="T516" s="308"/>
      <c r="U516" s="305"/>
      <c r="V516" s="305">
        <f t="shared" si="30"/>
        <v>0</v>
      </c>
      <c r="W516" s="306">
        <f t="shared" si="31"/>
        <v>0</v>
      </c>
      <c r="X516" s="271">
        <f t="shared" si="28"/>
        <v>0</v>
      </c>
      <c r="Y516" s="271">
        <f t="shared" si="29"/>
        <v>0</v>
      </c>
      <c r="Z516" s="154"/>
    </row>
    <row r="517" s="243" customFormat="1" ht="22" customHeight="1" outlineLevel="2" spans="1:26">
      <c r="A517" s="154" t="s">
        <v>2154</v>
      </c>
      <c r="B517" s="259">
        <v>30</v>
      </c>
      <c r="C517" s="259">
        <v>2</v>
      </c>
      <c r="D517" s="154">
        <v>-1</v>
      </c>
      <c r="E517" s="263" t="s">
        <v>2155</v>
      </c>
      <c r="F517" s="259"/>
      <c r="G517" s="154" t="s">
        <v>536</v>
      </c>
      <c r="H517" s="154" t="s">
        <v>537</v>
      </c>
      <c r="I517" s="154"/>
      <c r="J517" s="269"/>
      <c r="K517" s="288"/>
      <c r="L517" s="271"/>
      <c r="M517" s="289"/>
      <c r="N517" s="271">
        <v>6.67</v>
      </c>
      <c r="O517" s="271"/>
      <c r="P517" s="290">
        <v>6.67</v>
      </c>
      <c r="Q517" s="271"/>
      <c r="R517" s="154"/>
      <c r="S517" s="189"/>
      <c r="T517" s="308"/>
      <c r="U517" s="305"/>
      <c r="V517" s="305">
        <f t="shared" si="30"/>
        <v>0</v>
      </c>
      <c r="W517" s="306">
        <f t="shared" si="31"/>
        <v>0</v>
      </c>
      <c r="X517" s="271">
        <f t="shared" si="28"/>
        <v>0</v>
      </c>
      <c r="Y517" s="271">
        <f t="shared" si="29"/>
        <v>0</v>
      </c>
      <c r="Z517" s="154"/>
    </row>
    <row r="518" s="243" customFormat="1" ht="22" customHeight="1" outlineLevel="2" spans="1:26">
      <c r="A518" s="154" t="s">
        <v>2156</v>
      </c>
      <c r="B518" s="259">
        <v>30</v>
      </c>
      <c r="C518" s="259">
        <v>2</v>
      </c>
      <c r="D518" s="154">
        <v>-1</v>
      </c>
      <c r="E518" s="263" t="s">
        <v>2157</v>
      </c>
      <c r="F518" s="259"/>
      <c r="G518" s="154" t="s">
        <v>536</v>
      </c>
      <c r="H518" s="154" t="s">
        <v>537</v>
      </c>
      <c r="I518" s="154"/>
      <c r="J518" s="269"/>
      <c r="K518" s="288"/>
      <c r="L518" s="271"/>
      <c r="M518" s="289"/>
      <c r="N518" s="271">
        <v>6.1</v>
      </c>
      <c r="O518" s="271"/>
      <c r="P518" s="290">
        <v>6.1</v>
      </c>
      <c r="Q518" s="271"/>
      <c r="R518" s="154"/>
      <c r="S518" s="189"/>
      <c r="T518" s="308"/>
      <c r="U518" s="305"/>
      <c r="V518" s="305">
        <f t="shared" si="30"/>
        <v>0</v>
      </c>
      <c r="W518" s="306">
        <f t="shared" si="31"/>
        <v>0</v>
      </c>
      <c r="X518" s="271">
        <f t="shared" si="28"/>
        <v>0</v>
      </c>
      <c r="Y518" s="271">
        <f t="shared" si="29"/>
        <v>0</v>
      </c>
      <c r="Z518" s="154"/>
    </row>
    <row r="519" s="243" customFormat="1" ht="22" customHeight="1" outlineLevel="2" spans="1:26">
      <c r="A519" s="154" t="s">
        <v>2158</v>
      </c>
      <c r="B519" s="259">
        <v>30</v>
      </c>
      <c r="C519" s="259">
        <v>2</v>
      </c>
      <c r="D519" s="154">
        <v>-1</v>
      </c>
      <c r="E519" s="263" t="s">
        <v>2159</v>
      </c>
      <c r="F519" s="259"/>
      <c r="G519" s="154" t="s">
        <v>536</v>
      </c>
      <c r="H519" s="154" t="s">
        <v>537</v>
      </c>
      <c r="I519" s="154"/>
      <c r="J519" s="269"/>
      <c r="K519" s="288"/>
      <c r="L519" s="271"/>
      <c r="M519" s="289"/>
      <c r="N519" s="271">
        <v>12.77</v>
      </c>
      <c r="O519" s="271"/>
      <c r="P519" s="290">
        <v>12.77</v>
      </c>
      <c r="Q519" s="271"/>
      <c r="R519" s="154"/>
      <c r="S519" s="189"/>
      <c r="T519" s="308"/>
      <c r="U519" s="305"/>
      <c r="V519" s="305">
        <f t="shared" si="30"/>
        <v>0</v>
      </c>
      <c r="W519" s="306">
        <f t="shared" si="31"/>
        <v>0</v>
      </c>
      <c r="X519" s="271">
        <f t="shared" ref="X519:X557" si="32">U519</f>
        <v>0</v>
      </c>
      <c r="Y519" s="271">
        <f t="shared" ref="Y519:Y557" si="33">ROUND(X519/P519,2)</f>
        <v>0</v>
      </c>
      <c r="Z519" s="154"/>
    </row>
    <row r="520" s="243" customFormat="1" ht="22" customHeight="1" outlineLevel="2" spans="1:26">
      <c r="A520" s="154" t="s">
        <v>2160</v>
      </c>
      <c r="B520" s="259">
        <v>32</v>
      </c>
      <c r="C520" s="259">
        <v>1</v>
      </c>
      <c r="D520" s="154">
        <v>1</v>
      </c>
      <c r="E520" s="263" t="s">
        <v>2161</v>
      </c>
      <c r="F520" s="259"/>
      <c r="G520" s="154" t="s">
        <v>180</v>
      </c>
      <c r="H520" s="154" t="s">
        <v>537</v>
      </c>
      <c r="I520" s="154"/>
      <c r="J520" s="269"/>
      <c r="K520" s="288"/>
      <c r="L520" s="271"/>
      <c r="M520" s="289"/>
      <c r="N520" s="271"/>
      <c r="O520" s="271"/>
      <c r="P520" s="290">
        <v>50.86</v>
      </c>
      <c r="Q520" s="271"/>
      <c r="R520" s="154"/>
      <c r="S520" s="189"/>
      <c r="T520" s="308"/>
      <c r="U520" s="305"/>
      <c r="V520" s="305">
        <f t="shared" ref="V520:V557" si="34">L520-U520</f>
        <v>0</v>
      </c>
      <c r="W520" s="306">
        <f t="shared" ref="W520:W557" si="35">U520+V520</f>
        <v>0</v>
      </c>
      <c r="X520" s="271">
        <f t="shared" si="32"/>
        <v>0</v>
      </c>
      <c r="Y520" s="271">
        <f t="shared" si="33"/>
        <v>0</v>
      </c>
      <c r="Z520" s="154"/>
    </row>
    <row r="521" s="243" customFormat="1" ht="22" customHeight="1" outlineLevel="2" spans="1:26">
      <c r="A521" s="154" t="s">
        <v>2162</v>
      </c>
      <c r="B521" s="259">
        <v>32</v>
      </c>
      <c r="C521" s="259">
        <v>1</v>
      </c>
      <c r="D521" s="154">
        <v>1</v>
      </c>
      <c r="E521" s="263" t="s">
        <v>2163</v>
      </c>
      <c r="F521" s="259"/>
      <c r="G521" s="154" t="s">
        <v>180</v>
      </c>
      <c r="H521" s="154" t="s">
        <v>537</v>
      </c>
      <c r="I521" s="154"/>
      <c r="J521" s="269"/>
      <c r="K521" s="288"/>
      <c r="L521" s="271"/>
      <c r="M521" s="289"/>
      <c r="N521" s="271"/>
      <c r="O521" s="271"/>
      <c r="P521" s="290">
        <v>50.21</v>
      </c>
      <c r="Q521" s="271"/>
      <c r="R521" s="154"/>
      <c r="S521" s="189"/>
      <c r="T521" s="308"/>
      <c r="U521" s="305"/>
      <c r="V521" s="305">
        <f t="shared" si="34"/>
        <v>0</v>
      </c>
      <c r="W521" s="306">
        <f t="shared" si="35"/>
        <v>0</v>
      </c>
      <c r="X521" s="271">
        <f t="shared" si="32"/>
        <v>0</v>
      </c>
      <c r="Y521" s="271">
        <f t="shared" si="33"/>
        <v>0</v>
      </c>
      <c r="Z521" s="154"/>
    </row>
    <row r="522" s="243" customFormat="1" ht="22" customHeight="1" outlineLevel="2" spans="1:26">
      <c r="A522" s="154" t="s">
        <v>2164</v>
      </c>
      <c r="B522" s="259">
        <v>32</v>
      </c>
      <c r="C522" s="259">
        <v>1</v>
      </c>
      <c r="D522" s="154">
        <v>1</v>
      </c>
      <c r="E522" s="263" t="s">
        <v>2165</v>
      </c>
      <c r="F522" s="259"/>
      <c r="G522" s="154" t="s">
        <v>180</v>
      </c>
      <c r="H522" s="154" t="s">
        <v>537</v>
      </c>
      <c r="I522" s="154"/>
      <c r="J522" s="269"/>
      <c r="K522" s="288"/>
      <c r="L522" s="271"/>
      <c r="M522" s="289"/>
      <c r="N522" s="271"/>
      <c r="O522" s="271"/>
      <c r="P522" s="290">
        <v>50.21</v>
      </c>
      <c r="Q522" s="271"/>
      <c r="R522" s="154"/>
      <c r="S522" s="189"/>
      <c r="T522" s="308"/>
      <c r="U522" s="305"/>
      <c r="V522" s="305">
        <f t="shared" si="34"/>
        <v>0</v>
      </c>
      <c r="W522" s="306">
        <f t="shared" si="35"/>
        <v>0</v>
      </c>
      <c r="X522" s="271">
        <f t="shared" si="32"/>
        <v>0</v>
      </c>
      <c r="Y522" s="271">
        <f t="shared" si="33"/>
        <v>0</v>
      </c>
      <c r="Z522" s="154"/>
    </row>
    <row r="523" s="243" customFormat="1" ht="22" customHeight="1" outlineLevel="2" spans="1:26">
      <c r="A523" s="154" t="s">
        <v>2166</v>
      </c>
      <c r="B523" s="259">
        <v>32</v>
      </c>
      <c r="C523" s="259">
        <v>1</v>
      </c>
      <c r="D523" s="154">
        <v>1</v>
      </c>
      <c r="E523" s="263" t="s">
        <v>2167</v>
      </c>
      <c r="F523" s="259"/>
      <c r="G523" s="154" t="s">
        <v>180</v>
      </c>
      <c r="H523" s="154" t="s">
        <v>537</v>
      </c>
      <c r="I523" s="154"/>
      <c r="J523" s="269"/>
      <c r="K523" s="288"/>
      <c r="L523" s="271"/>
      <c r="M523" s="289"/>
      <c r="N523" s="271"/>
      <c r="O523" s="271"/>
      <c r="P523" s="290">
        <v>50.21</v>
      </c>
      <c r="Q523" s="271"/>
      <c r="R523" s="154"/>
      <c r="S523" s="189"/>
      <c r="T523" s="308"/>
      <c r="U523" s="305">
        <v>0</v>
      </c>
      <c r="V523" s="305">
        <f t="shared" si="34"/>
        <v>0</v>
      </c>
      <c r="W523" s="306">
        <f t="shared" si="35"/>
        <v>0</v>
      </c>
      <c r="X523" s="271">
        <f t="shared" si="32"/>
        <v>0</v>
      </c>
      <c r="Y523" s="271">
        <f t="shared" si="33"/>
        <v>0</v>
      </c>
      <c r="Z523" s="154"/>
    </row>
    <row r="524" s="243" customFormat="1" ht="22" customHeight="1" outlineLevel="2" spans="1:26">
      <c r="A524" s="154" t="s">
        <v>2168</v>
      </c>
      <c r="B524" s="259">
        <v>32</v>
      </c>
      <c r="C524" s="259">
        <v>1</v>
      </c>
      <c r="D524" s="154">
        <v>1</v>
      </c>
      <c r="E524" s="263" t="s">
        <v>2169</v>
      </c>
      <c r="F524" s="259"/>
      <c r="G524" s="154" t="s">
        <v>180</v>
      </c>
      <c r="H524" s="154" t="s">
        <v>537</v>
      </c>
      <c r="I524" s="154"/>
      <c r="J524" s="269"/>
      <c r="K524" s="288"/>
      <c r="L524" s="271"/>
      <c r="M524" s="289"/>
      <c r="N524" s="271"/>
      <c r="O524" s="271"/>
      <c r="P524" s="290">
        <v>50.21</v>
      </c>
      <c r="Q524" s="271"/>
      <c r="R524" s="154"/>
      <c r="S524" s="189"/>
      <c r="T524" s="308"/>
      <c r="U524" s="305"/>
      <c r="V524" s="305">
        <f t="shared" si="34"/>
        <v>0</v>
      </c>
      <c r="W524" s="306">
        <f t="shared" si="35"/>
        <v>0</v>
      </c>
      <c r="X524" s="271">
        <f t="shared" si="32"/>
        <v>0</v>
      </c>
      <c r="Y524" s="271">
        <f t="shared" si="33"/>
        <v>0</v>
      </c>
      <c r="Z524" s="154"/>
    </row>
    <row r="525" s="243" customFormat="1" ht="22" customHeight="1" outlineLevel="2" spans="1:26">
      <c r="A525" s="154" t="s">
        <v>2170</v>
      </c>
      <c r="B525" s="259">
        <v>32</v>
      </c>
      <c r="C525" s="259">
        <v>1</v>
      </c>
      <c r="D525" s="154">
        <v>1</v>
      </c>
      <c r="E525" s="263" t="s">
        <v>2171</v>
      </c>
      <c r="F525" s="259"/>
      <c r="G525" s="154" t="s">
        <v>180</v>
      </c>
      <c r="H525" s="154" t="s">
        <v>537</v>
      </c>
      <c r="I525" s="154"/>
      <c r="J525" s="269"/>
      <c r="K525" s="288"/>
      <c r="L525" s="271"/>
      <c r="M525" s="289"/>
      <c r="N525" s="271"/>
      <c r="O525" s="271"/>
      <c r="P525" s="290">
        <v>50.21</v>
      </c>
      <c r="Q525" s="271"/>
      <c r="R525" s="154"/>
      <c r="S525" s="189"/>
      <c r="T525" s="308"/>
      <c r="U525" s="305"/>
      <c r="V525" s="305">
        <f t="shared" si="34"/>
        <v>0</v>
      </c>
      <c r="W525" s="306">
        <f t="shared" si="35"/>
        <v>0</v>
      </c>
      <c r="X525" s="271">
        <f t="shared" si="32"/>
        <v>0</v>
      </c>
      <c r="Y525" s="271">
        <f t="shared" si="33"/>
        <v>0</v>
      </c>
      <c r="Z525" s="154"/>
    </row>
    <row r="526" s="243" customFormat="1" ht="22" customHeight="1" outlineLevel="2" spans="1:26">
      <c r="A526" s="154" t="s">
        <v>2172</v>
      </c>
      <c r="B526" s="259">
        <v>32</v>
      </c>
      <c r="C526" s="259">
        <v>1</v>
      </c>
      <c r="D526" s="154">
        <v>1</v>
      </c>
      <c r="E526" s="263" t="s">
        <v>2173</v>
      </c>
      <c r="F526" s="259"/>
      <c r="G526" s="154" t="s">
        <v>180</v>
      </c>
      <c r="H526" s="154" t="s">
        <v>427</v>
      </c>
      <c r="I526" s="154" t="s">
        <v>334</v>
      </c>
      <c r="J526" s="269" t="s">
        <v>2174</v>
      </c>
      <c r="K526" s="288">
        <v>44700</v>
      </c>
      <c r="L526" s="271">
        <v>1100000</v>
      </c>
      <c r="M526" s="289" t="s">
        <v>2175</v>
      </c>
      <c r="N526" s="271">
        <v>50.21</v>
      </c>
      <c r="O526" s="271"/>
      <c r="P526" s="290">
        <v>50.21</v>
      </c>
      <c r="Q526" s="271"/>
      <c r="R526" s="154"/>
      <c r="S526" s="189" t="s">
        <v>430</v>
      </c>
      <c r="T526" s="308" t="s">
        <v>2176</v>
      </c>
      <c r="U526" s="305">
        <v>1009174.32</v>
      </c>
      <c r="V526" s="305">
        <f t="shared" si="34"/>
        <v>90825.6800000001</v>
      </c>
      <c r="W526" s="306">
        <f t="shared" si="35"/>
        <v>1100000</v>
      </c>
      <c r="X526" s="271">
        <f t="shared" si="32"/>
        <v>1009174.32</v>
      </c>
      <c r="Y526" s="271">
        <f t="shared" si="33"/>
        <v>20099.07</v>
      </c>
      <c r="Z526" s="154"/>
    </row>
    <row r="527" s="243" customFormat="1" ht="22" customHeight="1" outlineLevel="2" spans="1:26">
      <c r="A527" s="154" t="s">
        <v>2177</v>
      </c>
      <c r="B527" s="259">
        <v>32</v>
      </c>
      <c r="C527" s="259">
        <v>1</v>
      </c>
      <c r="D527" s="154">
        <v>1</v>
      </c>
      <c r="E527" s="263" t="s">
        <v>2178</v>
      </c>
      <c r="F527" s="259"/>
      <c r="G527" s="154" t="s">
        <v>180</v>
      </c>
      <c r="H527" s="154" t="s">
        <v>427</v>
      </c>
      <c r="I527" s="154" t="s">
        <v>334</v>
      </c>
      <c r="J527" s="269" t="s">
        <v>2179</v>
      </c>
      <c r="K527" s="288">
        <v>44561</v>
      </c>
      <c r="L527" s="271">
        <v>1121878</v>
      </c>
      <c r="M527" s="289" t="s">
        <v>2180</v>
      </c>
      <c r="N527" s="271">
        <v>51.49</v>
      </c>
      <c r="O527" s="271"/>
      <c r="P527" s="290">
        <v>51.49</v>
      </c>
      <c r="Q527" s="271"/>
      <c r="R527" s="154"/>
      <c r="S527" s="189" t="s">
        <v>430</v>
      </c>
      <c r="T527" s="308" t="s">
        <v>2181</v>
      </c>
      <c r="U527" s="305">
        <v>1029245.88</v>
      </c>
      <c r="V527" s="305">
        <f t="shared" si="34"/>
        <v>92632.12</v>
      </c>
      <c r="W527" s="306">
        <f t="shared" si="35"/>
        <v>1121878</v>
      </c>
      <c r="X527" s="271">
        <f t="shared" si="32"/>
        <v>1029245.88</v>
      </c>
      <c r="Y527" s="271">
        <f t="shared" si="33"/>
        <v>19989.24</v>
      </c>
      <c r="Z527" s="154"/>
    </row>
    <row r="528" s="243" customFormat="1" ht="22" customHeight="1" outlineLevel="2" spans="1:26">
      <c r="A528" s="154" t="s">
        <v>2182</v>
      </c>
      <c r="B528" s="259">
        <v>32</v>
      </c>
      <c r="C528" s="259">
        <v>1</v>
      </c>
      <c r="D528" s="154">
        <v>1</v>
      </c>
      <c r="E528" s="263" t="s">
        <v>2183</v>
      </c>
      <c r="F528" s="259"/>
      <c r="G528" s="154" t="s">
        <v>180</v>
      </c>
      <c r="H528" s="154" t="s">
        <v>427</v>
      </c>
      <c r="I528" s="154" t="s">
        <v>334</v>
      </c>
      <c r="J528" s="269" t="s">
        <v>2184</v>
      </c>
      <c r="K528" s="288">
        <v>44561</v>
      </c>
      <c r="L528" s="271">
        <v>1188122</v>
      </c>
      <c r="M528" s="289" t="s">
        <v>2180</v>
      </c>
      <c r="N528" s="271">
        <v>51.77</v>
      </c>
      <c r="O528" s="271"/>
      <c r="P528" s="290">
        <v>51.77</v>
      </c>
      <c r="Q528" s="271"/>
      <c r="R528" s="154"/>
      <c r="S528" s="189" t="s">
        <v>430</v>
      </c>
      <c r="T528" s="308" t="s">
        <v>2185</v>
      </c>
      <c r="U528" s="305">
        <f>ROUND(L528/1.09,2)</f>
        <v>1090020.18</v>
      </c>
      <c r="V528" s="305">
        <f t="shared" si="34"/>
        <v>98101.8200000001</v>
      </c>
      <c r="W528" s="306">
        <f t="shared" si="35"/>
        <v>1188122</v>
      </c>
      <c r="X528" s="271">
        <f t="shared" si="32"/>
        <v>1090020.18</v>
      </c>
      <c r="Y528" s="271">
        <f t="shared" si="33"/>
        <v>21055.05</v>
      </c>
      <c r="Z528" s="154"/>
    </row>
    <row r="529" s="243" customFormat="1" ht="22" customHeight="1" outlineLevel="2" spans="1:26">
      <c r="A529" s="154" t="s">
        <v>2186</v>
      </c>
      <c r="B529" s="259">
        <v>32</v>
      </c>
      <c r="C529" s="259">
        <v>1</v>
      </c>
      <c r="D529" s="154">
        <v>2</v>
      </c>
      <c r="E529" s="263" t="s">
        <v>2187</v>
      </c>
      <c r="F529" s="259"/>
      <c r="G529" s="154" t="s">
        <v>180</v>
      </c>
      <c r="H529" s="154" t="s">
        <v>537</v>
      </c>
      <c r="I529" s="154"/>
      <c r="J529" s="269"/>
      <c r="K529" s="288"/>
      <c r="L529" s="271"/>
      <c r="M529" s="289"/>
      <c r="N529" s="271"/>
      <c r="O529" s="271"/>
      <c r="P529" s="290">
        <v>241.59</v>
      </c>
      <c r="Q529" s="271"/>
      <c r="R529" s="154"/>
      <c r="S529" s="189"/>
      <c r="T529" s="308"/>
      <c r="U529" s="305"/>
      <c r="V529" s="305">
        <f t="shared" si="34"/>
        <v>0</v>
      </c>
      <c r="W529" s="306">
        <f t="shared" si="35"/>
        <v>0</v>
      </c>
      <c r="X529" s="271">
        <f t="shared" si="32"/>
        <v>0</v>
      </c>
      <c r="Y529" s="271">
        <f t="shared" si="33"/>
        <v>0</v>
      </c>
      <c r="Z529" s="154"/>
    </row>
    <row r="530" s="243" customFormat="1" ht="22" customHeight="1" outlineLevel="2" spans="1:26">
      <c r="A530" s="154" t="s">
        <v>2188</v>
      </c>
      <c r="B530" s="259">
        <v>32</v>
      </c>
      <c r="C530" s="259">
        <v>1</v>
      </c>
      <c r="D530" s="154">
        <v>2</v>
      </c>
      <c r="E530" s="263" t="s">
        <v>2189</v>
      </c>
      <c r="F530" s="259"/>
      <c r="G530" s="154" t="s">
        <v>180</v>
      </c>
      <c r="H530" s="154" t="s">
        <v>537</v>
      </c>
      <c r="I530" s="154"/>
      <c r="J530" s="269"/>
      <c r="K530" s="288"/>
      <c r="L530" s="271"/>
      <c r="M530" s="289"/>
      <c r="N530" s="271"/>
      <c r="O530" s="271"/>
      <c r="P530" s="290">
        <v>243.81</v>
      </c>
      <c r="Q530" s="271"/>
      <c r="R530" s="154"/>
      <c r="S530" s="189"/>
      <c r="T530" s="308"/>
      <c r="U530" s="305"/>
      <c r="V530" s="305">
        <f t="shared" si="34"/>
        <v>0</v>
      </c>
      <c r="W530" s="306">
        <f t="shared" si="35"/>
        <v>0</v>
      </c>
      <c r="X530" s="271">
        <f t="shared" si="32"/>
        <v>0</v>
      </c>
      <c r="Y530" s="271">
        <f t="shared" si="33"/>
        <v>0</v>
      </c>
      <c r="Z530" s="154"/>
    </row>
    <row r="531" s="243" customFormat="1" ht="22" customHeight="1" outlineLevel="2" spans="1:26">
      <c r="A531" s="154" t="s">
        <v>2190</v>
      </c>
      <c r="B531" s="259">
        <v>32</v>
      </c>
      <c r="C531" s="259">
        <v>1</v>
      </c>
      <c r="D531" s="154">
        <v>1</v>
      </c>
      <c r="E531" s="263" t="s">
        <v>2191</v>
      </c>
      <c r="F531" s="259"/>
      <c r="G531" s="154" t="s">
        <v>1918</v>
      </c>
      <c r="H531" s="154" t="s">
        <v>1919</v>
      </c>
      <c r="I531" s="154"/>
      <c r="J531" s="269"/>
      <c r="K531" s="288"/>
      <c r="L531" s="271"/>
      <c r="M531" s="289"/>
      <c r="N531" s="271">
        <v>27.14</v>
      </c>
      <c r="O531" s="271"/>
      <c r="P531" s="290">
        <v>27.14</v>
      </c>
      <c r="Q531" s="271"/>
      <c r="R531" s="154"/>
      <c r="S531" s="189"/>
      <c r="T531" s="308"/>
      <c r="U531" s="305"/>
      <c r="V531" s="305">
        <f t="shared" si="34"/>
        <v>0</v>
      </c>
      <c r="W531" s="306">
        <f t="shared" si="35"/>
        <v>0</v>
      </c>
      <c r="X531" s="271">
        <f t="shared" si="32"/>
        <v>0</v>
      </c>
      <c r="Y531" s="271">
        <f t="shared" si="33"/>
        <v>0</v>
      </c>
      <c r="Z531" s="154"/>
    </row>
    <row r="532" s="243" customFormat="1" ht="22" customHeight="1" outlineLevel="2" spans="1:26">
      <c r="A532" s="154" t="s">
        <v>2192</v>
      </c>
      <c r="B532" s="259">
        <v>33</v>
      </c>
      <c r="C532" s="259">
        <v>1</v>
      </c>
      <c r="D532" s="154">
        <v>1</v>
      </c>
      <c r="E532" s="263" t="s">
        <v>2193</v>
      </c>
      <c r="F532" s="259"/>
      <c r="G532" s="154" t="s">
        <v>180</v>
      </c>
      <c r="H532" s="154" t="s">
        <v>537</v>
      </c>
      <c r="I532" s="154"/>
      <c r="J532" s="269"/>
      <c r="K532" s="288"/>
      <c r="L532" s="271"/>
      <c r="M532" s="289"/>
      <c r="N532" s="271"/>
      <c r="O532" s="271"/>
      <c r="P532" s="290">
        <v>56.51</v>
      </c>
      <c r="Q532" s="271"/>
      <c r="R532" s="154"/>
      <c r="S532" s="189"/>
      <c r="T532" s="308"/>
      <c r="U532" s="305"/>
      <c r="V532" s="305">
        <f t="shared" si="34"/>
        <v>0</v>
      </c>
      <c r="W532" s="306">
        <f t="shared" si="35"/>
        <v>0</v>
      </c>
      <c r="X532" s="271">
        <f t="shared" si="32"/>
        <v>0</v>
      </c>
      <c r="Y532" s="271">
        <f t="shared" si="33"/>
        <v>0</v>
      </c>
      <c r="Z532" s="154"/>
    </row>
    <row r="533" s="243" customFormat="1" ht="22" customHeight="1" outlineLevel="2" spans="1:26">
      <c r="A533" s="154" t="s">
        <v>2194</v>
      </c>
      <c r="B533" s="259">
        <v>33</v>
      </c>
      <c r="C533" s="259">
        <v>1</v>
      </c>
      <c r="D533" s="154">
        <v>1</v>
      </c>
      <c r="E533" s="263" t="s">
        <v>2195</v>
      </c>
      <c r="F533" s="259"/>
      <c r="G533" s="154" t="s">
        <v>180</v>
      </c>
      <c r="H533" s="154" t="s">
        <v>537</v>
      </c>
      <c r="I533" s="154"/>
      <c r="J533" s="269"/>
      <c r="K533" s="288"/>
      <c r="L533" s="271"/>
      <c r="M533" s="289"/>
      <c r="N533" s="271"/>
      <c r="O533" s="271"/>
      <c r="P533" s="290">
        <v>50.14</v>
      </c>
      <c r="Q533" s="271"/>
      <c r="R533" s="154"/>
      <c r="S533" s="189"/>
      <c r="T533" s="308"/>
      <c r="U533" s="305"/>
      <c r="V533" s="305">
        <f t="shared" si="34"/>
        <v>0</v>
      </c>
      <c r="W533" s="306">
        <f t="shared" si="35"/>
        <v>0</v>
      </c>
      <c r="X533" s="271">
        <f t="shared" si="32"/>
        <v>0</v>
      </c>
      <c r="Y533" s="271">
        <f t="shared" si="33"/>
        <v>0</v>
      </c>
      <c r="Z533" s="154"/>
    </row>
    <row r="534" s="243" customFormat="1" ht="22" customHeight="1" outlineLevel="2" spans="1:26">
      <c r="A534" s="154" t="s">
        <v>2196</v>
      </c>
      <c r="B534" s="259">
        <v>33</v>
      </c>
      <c r="C534" s="259">
        <v>1</v>
      </c>
      <c r="D534" s="154">
        <v>1</v>
      </c>
      <c r="E534" s="263" t="s">
        <v>2197</v>
      </c>
      <c r="F534" s="259"/>
      <c r="G534" s="154" t="s">
        <v>180</v>
      </c>
      <c r="H534" s="154" t="s">
        <v>537</v>
      </c>
      <c r="I534" s="154"/>
      <c r="J534" s="269"/>
      <c r="K534" s="288"/>
      <c r="L534" s="271"/>
      <c r="M534" s="289"/>
      <c r="N534" s="271"/>
      <c r="O534" s="271"/>
      <c r="P534" s="290">
        <v>50.14</v>
      </c>
      <c r="Q534" s="271"/>
      <c r="R534" s="154"/>
      <c r="S534" s="189"/>
      <c r="T534" s="308"/>
      <c r="U534" s="305"/>
      <c r="V534" s="305">
        <f t="shared" si="34"/>
        <v>0</v>
      </c>
      <c r="W534" s="306">
        <f t="shared" si="35"/>
        <v>0</v>
      </c>
      <c r="X534" s="271">
        <f t="shared" si="32"/>
        <v>0</v>
      </c>
      <c r="Y534" s="271">
        <f t="shared" si="33"/>
        <v>0</v>
      </c>
      <c r="Z534" s="154"/>
    </row>
    <row r="535" s="243" customFormat="1" ht="22" customHeight="1" outlineLevel="2" spans="1:26">
      <c r="A535" s="154" t="s">
        <v>2198</v>
      </c>
      <c r="B535" s="259">
        <v>33</v>
      </c>
      <c r="C535" s="259">
        <v>1</v>
      </c>
      <c r="D535" s="154">
        <v>1</v>
      </c>
      <c r="E535" s="263" t="s">
        <v>2199</v>
      </c>
      <c r="F535" s="259"/>
      <c r="G535" s="154" t="s">
        <v>180</v>
      </c>
      <c r="H535" s="154" t="s">
        <v>537</v>
      </c>
      <c r="I535" s="154"/>
      <c r="J535" s="269"/>
      <c r="K535" s="288"/>
      <c r="L535" s="271"/>
      <c r="M535" s="289"/>
      <c r="N535" s="271"/>
      <c r="O535" s="271"/>
      <c r="P535" s="290">
        <v>50.14</v>
      </c>
      <c r="Q535" s="271"/>
      <c r="R535" s="154"/>
      <c r="S535" s="189"/>
      <c r="T535" s="308"/>
      <c r="U535" s="305"/>
      <c r="V535" s="305">
        <f t="shared" si="34"/>
        <v>0</v>
      </c>
      <c r="W535" s="306">
        <f t="shared" si="35"/>
        <v>0</v>
      </c>
      <c r="X535" s="271">
        <f t="shared" si="32"/>
        <v>0</v>
      </c>
      <c r="Y535" s="271">
        <f t="shared" si="33"/>
        <v>0</v>
      </c>
      <c r="Z535" s="154"/>
    </row>
    <row r="536" s="243" customFormat="1" ht="22" customHeight="1" outlineLevel="2" spans="1:26">
      <c r="A536" s="154" t="s">
        <v>2200</v>
      </c>
      <c r="B536" s="259">
        <v>33</v>
      </c>
      <c r="C536" s="259">
        <v>1</v>
      </c>
      <c r="D536" s="154">
        <v>1</v>
      </c>
      <c r="E536" s="263" t="s">
        <v>2201</v>
      </c>
      <c r="F536" s="259"/>
      <c r="G536" s="154" t="s">
        <v>180</v>
      </c>
      <c r="H536" s="154" t="s">
        <v>537</v>
      </c>
      <c r="I536" s="154"/>
      <c r="J536" s="269"/>
      <c r="K536" s="288"/>
      <c r="L536" s="271"/>
      <c r="M536" s="289"/>
      <c r="N536" s="271"/>
      <c r="O536" s="271"/>
      <c r="P536" s="290">
        <v>50.14</v>
      </c>
      <c r="Q536" s="271"/>
      <c r="R536" s="154"/>
      <c r="S536" s="189"/>
      <c r="T536" s="308"/>
      <c r="U536" s="305"/>
      <c r="V536" s="305">
        <f t="shared" si="34"/>
        <v>0</v>
      </c>
      <c r="W536" s="306">
        <f t="shared" si="35"/>
        <v>0</v>
      </c>
      <c r="X536" s="271">
        <f t="shared" si="32"/>
        <v>0</v>
      </c>
      <c r="Y536" s="271">
        <f t="shared" si="33"/>
        <v>0</v>
      </c>
      <c r="Z536" s="154"/>
    </row>
    <row r="537" s="243" customFormat="1" ht="22" customHeight="1" outlineLevel="2" spans="1:26">
      <c r="A537" s="154" t="s">
        <v>2202</v>
      </c>
      <c r="B537" s="259">
        <v>33</v>
      </c>
      <c r="C537" s="259">
        <v>1</v>
      </c>
      <c r="D537" s="154">
        <v>1</v>
      </c>
      <c r="E537" s="263" t="s">
        <v>2203</v>
      </c>
      <c r="F537" s="259"/>
      <c r="G537" s="154" t="s">
        <v>180</v>
      </c>
      <c r="H537" s="154" t="s">
        <v>537</v>
      </c>
      <c r="I537" s="154"/>
      <c r="J537" s="269"/>
      <c r="K537" s="288"/>
      <c r="L537" s="271"/>
      <c r="M537" s="289"/>
      <c r="N537" s="271"/>
      <c r="O537" s="271"/>
      <c r="P537" s="290">
        <v>50.14</v>
      </c>
      <c r="Q537" s="271"/>
      <c r="R537" s="154"/>
      <c r="S537" s="189"/>
      <c r="T537" s="308"/>
      <c r="U537" s="305"/>
      <c r="V537" s="305">
        <f t="shared" si="34"/>
        <v>0</v>
      </c>
      <c r="W537" s="306">
        <f t="shared" si="35"/>
        <v>0</v>
      </c>
      <c r="X537" s="271">
        <f t="shared" si="32"/>
        <v>0</v>
      </c>
      <c r="Y537" s="271">
        <f t="shared" si="33"/>
        <v>0</v>
      </c>
      <c r="Z537" s="154"/>
    </row>
    <row r="538" s="243" customFormat="1" ht="22" customHeight="1" outlineLevel="2" spans="1:26">
      <c r="A538" s="154" t="s">
        <v>2204</v>
      </c>
      <c r="B538" s="259">
        <v>33</v>
      </c>
      <c r="C538" s="259">
        <v>1</v>
      </c>
      <c r="D538" s="154">
        <v>1</v>
      </c>
      <c r="E538" s="263" t="s">
        <v>2205</v>
      </c>
      <c r="F538" s="259"/>
      <c r="G538" s="154" t="s">
        <v>180</v>
      </c>
      <c r="H538" s="154" t="s">
        <v>537</v>
      </c>
      <c r="I538" s="154"/>
      <c r="J538" s="269"/>
      <c r="K538" s="288"/>
      <c r="L538" s="271"/>
      <c r="M538" s="289"/>
      <c r="N538" s="271"/>
      <c r="O538" s="271"/>
      <c r="P538" s="290">
        <v>50.14</v>
      </c>
      <c r="Q538" s="271"/>
      <c r="R538" s="154"/>
      <c r="S538" s="189"/>
      <c r="T538" s="308"/>
      <c r="U538" s="305"/>
      <c r="V538" s="305">
        <f t="shared" si="34"/>
        <v>0</v>
      </c>
      <c r="W538" s="306">
        <f t="shared" si="35"/>
        <v>0</v>
      </c>
      <c r="X538" s="271">
        <f t="shared" si="32"/>
        <v>0</v>
      </c>
      <c r="Y538" s="271">
        <f t="shared" si="33"/>
        <v>0</v>
      </c>
      <c r="Z538" s="154"/>
    </row>
    <row r="539" s="243" customFormat="1" ht="22" customHeight="1" outlineLevel="2" spans="1:26">
      <c r="A539" s="154" t="s">
        <v>2206</v>
      </c>
      <c r="B539" s="259">
        <v>33</v>
      </c>
      <c r="C539" s="259">
        <v>1</v>
      </c>
      <c r="D539" s="154">
        <v>1</v>
      </c>
      <c r="E539" s="263" t="s">
        <v>2207</v>
      </c>
      <c r="F539" s="259"/>
      <c r="G539" s="154" t="s">
        <v>180</v>
      </c>
      <c r="H539" s="154" t="s">
        <v>537</v>
      </c>
      <c r="I539" s="154"/>
      <c r="J539" s="269"/>
      <c r="K539" s="288"/>
      <c r="L539" s="271"/>
      <c r="M539" s="289"/>
      <c r="N539" s="271"/>
      <c r="O539" s="271"/>
      <c r="P539" s="290">
        <v>50.14</v>
      </c>
      <c r="Q539" s="271"/>
      <c r="R539" s="154"/>
      <c r="S539" s="189"/>
      <c r="T539" s="308"/>
      <c r="U539" s="305"/>
      <c r="V539" s="305">
        <f t="shared" si="34"/>
        <v>0</v>
      </c>
      <c r="W539" s="306">
        <f t="shared" si="35"/>
        <v>0</v>
      </c>
      <c r="X539" s="271">
        <f t="shared" si="32"/>
        <v>0</v>
      </c>
      <c r="Y539" s="271">
        <f t="shared" si="33"/>
        <v>0</v>
      </c>
      <c r="Z539" s="154"/>
    </row>
    <row r="540" s="243" customFormat="1" ht="22" customHeight="1" outlineLevel="2" spans="1:26">
      <c r="A540" s="154" t="s">
        <v>2208</v>
      </c>
      <c r="B540" s="259">
        <v>33</v>
      </c>
      <c r="C540" s="259">
        <v>1</v>
      </c>
      <c r="D540" s="154">
        <v>1</v>
      </c>
      <c r="E540" s="263" t="s">
        <v>2209</v>
      </c>
      <c r="F540" s="259"/>
      <c r="G540" s="154" t="s">
        <v>180</v>
      </c>
      <c r="H540" s="154" t="s">
        <v>537</v>
      </c>
      <c r="I540" s="154"/>
      <c r="J540" s="269"/>
      <c r="K540" s="288"/>
      <c r="L540" s="271"/>
      <c r="M540" s="289"/>
      <c r="N540" s="271"/>
      <c r="O540" s="271"/>
      <c r="P540" s="290">
        <v>56.51</v>
      </c>
      <c r="Q540" s="271"/>
      <c r="R540" s="154"/>
      <c r="S540" s="189"/>
      <c r="T540" s="308"/>
      <c r="U540" s="305"/>
      <c r="V540" s="305">
        <f t="shared" si="34"/>
        <v>0</v>
      </c>
      <c r="W540" s="306">
        <f t="shared" si="35"/>
        <v>0</v>
      </c>
      <c r="X540" s="271">
        <f t="shared" si="32"/>
        <v>0</v>
      </c>
      <c r="Y540" s="271">
        <f t="shared" si="33"/>
        <v>0</v>
      </c>
      <c r="Z540" s="154"/>
    </row>
    <row r="541" s="243" customFormat="1" ht="22" customHeight="1" outlineLevel="2" spans="1:26">
      <c r="A541" s="154" t="s">
        <v>2210</v>
      </c>
      <c r="B541" s="259">
        <v>33</v>
      </c>
      <c r="C541" s="259">
        <v>1</v>
      </c>
      <c r="D541" s="154">
        <v>2</v>
      </c>
      <c r="E541" s="263" t="s">
        <v>2211</v>
      </c>
      <c r="F541" s="259"/>
      <c r="G541" s="154" t="s">
        <v>180</v>
      </c>
      <c r="H541" s="154" t="s">
        <v>537</v>
      </c>
      <c r="I541" s="154"/>
      <c r="J541" s="269"/>
      <c r="K541" s="288"/>
      <c r="L541" s="271"/>
      <c r="M541" s="289"/>
      <c r="N541" s="271"/>
      <c r="O541" s="271"/>
      <c r="P541" s="290">
        <v>164.7</v>
      </c>
      <c r="Q541" s="271"/>
      <c r="R541" s="154"/>
      <c r="S541" s="189"/>
      <c r="T541" s="308"/>
      <c r="U541" s="305"/>
      <c r="V541" s="305">
        <f t="shared" si="34"/>
        <v>0</v>
      </c>
      <c r="W541" s="306">
        <f t="shared" si="35"/>
        <v>0</v>
      </c>
      <c r="X541" s="271">
        <f t="shared" si="32"/>
        <v>0</v>
      </c>
      <c r="Y541" s="271">
        <f t="shared" si="33"/>
        <v>0</v>
      </c>
      <c r="Z541" s="154"/>
    </row>
    <row r="542" s="243" customFormat="1" ht="22" customHeight="1" outlineLevel="2" spans="1:26">
      <c r="A542" s="154" t="s">
        <v>2212</v>
      </c>
      <c r="B542" s="259">
        <v>33</v>
      </c>
      <c r="C542" s="259">
        <v>1</v>
      </c>
      <c r="D542" s="154">
        <v>2</v>
      </c>
      <c r="E542" s="263" t="s">
        <v>2213</v>
      </c>
      <c r="F542" s="259"/>
      <c r="G542" s="154" t="s">
        <v>180</v>
      </c>
      <c r="H542" s="154" t="s">
        <v>537</v>
      </c>
      <c r="I542" s="154"/>
      <c r="J542" s="269"/>
      <c r="K542" s="288"/>
      <c r="L542" s="271"/>
      <c r="M542" s="289"/>
      <c r="N542" s="271"/>
      <c r="O542" s="271"/>
      <c r="P542" s="290">
        <v>154.85</v>
      </c>
      <c r="Q542" s="271"/>
      <c r="R542" s="154"/>
      <c r="S542" s="189"/>
      <c r="T542" s="308"/>
      <c r="U542" s="305"/>
      <c r="V542" s="305">
        <f t="shared" si="34"/>
        <v>0</v>
      </c>
      <c r="W542" s="306">
        <f t="shared" si="35"/>
        <v>0</v>
      </c>
      <c r="X542" s="271">
        <f t="shared" si="32"/>
        <v>0</v>
      </c>
      <c r="Y542" s="271">
        <f t="shared" si="33"/>
        <v>0</v>
      </c>
      <c r="Z542" s="154"/>
    </row>
    <row r="543" s="243" customFormat="1" ht="22" customHeight="1" outlineLevel="2" spans="1:26">
      <c r="A543" s="154" t="s">
        <v>2214</v>
      </c>
      <c r="B543" s="259">
        <v>33</v>
      </c>
      <c r="C543" s="259">
        <v>1</v>
      </c>
      <c r="D543" s="154">
        <v>2</v>
      </c>
      <c r="E543" s="263" t="s">
        <v>2215</v>
      </c>
      <c r="F543" s="259"/>
      <c r="G543" s="154" t="s">
        <v>180</v>
      </c>
      <c r="H543" s="154" t="s">
        <v>537</v>
      </c>
      <c r="I543" s="154"/>
      <c r="J543" s="269"/>
      <c r="K543" s="288"/>
      <c r="L543" s="271"/>
      <c r="M543" s="289"/>
      <c r="N543" s="271"/>
      <c r="O543" s="271"/>
      <c r="P543" s="290">
        <v>152.88</v>
      </c>
      <c r="Q543" s="271"/>
      <c r="R543" s="154"/>
      <c r="S543" s="189"/>
      <c r="T543" s="308"/>
      <c r="U543" s="305"/>
      <c r="V543" s="305">
        <f t="shared" si="34"/>
        <v>0</v>
      </c>
      <c r="W543" s="306">
        <f t="shared" si="35"/>
        <v>0</v>
      </c>
      <c r="X543" s="271">
        <f t="shared" si="32"/>
        <v>0</v>
      </c>
      <c r="Y543" s="271">
        <f t="shared" si="33"/>
        <v>0</v>
      </c>
      <c r="Z543" s="154"/>
    </row>
    <row r="544" s="243" customFormat="1" ht="22" customHeight="1" outlineLevel="2" spans="1:26">
      <c r="A544" s="154" t="s">
        <v>2216</v>
      </c>
      <c r="B544" s="259">
        <v>33</v>
      </c>
      <c r="C544" s="259">
        <v>1</v>
      </c>
      <c r="D544" s="154">
        <v>2</v>
      </c>
      <c r="E544" s="263" t="s">
        <v>2217</v>
      </c>
      <c r="F544" s="259"/>
      <c r="G544" s="154" t="s">
        <v>180</v>
      </c>
      <c r="H544" s="154" t="s">
        <v>537</v>
      </c>
      <c r="I544" s="154"/>
      <c r="J544" s="269"/>
      <c r="K544" s="288"/>
      <c r="L544" s="271"/>
      <c r="M544" s="289"/>
      <c r="N544" s="271"/>
      <c r="O544" s="271"/>
      <c r="P544" s="290">
        <v>244.09</v>
      </c>
      <c r="Q544" s="271"/>
      <c r="R544" s="154"/>
      <c r="S544" s="189"/>
      <c r="T544" s="308"/>
      <c r="U544" s="305"/>
      <c r="V544" s="305">
        <f t="shared" si="34"/>
        <v>0</v>
      </c>
      <c r="W544" s="306">
        <f t="shared" si="35"/>
        <v>0</v>
      </c>
      <c r="X544" s="271">
        <f t="shared" si="32"/>
        <v>0</v>
      </c>
      <c r="Y544" s="271">
        <f t="shared" si="33"/>
        <v>0</v>
      </c>
      <c r="Z544" s="154"/>
    </row>
    <row r="545" s="243" customFormat="1" ht="22" customHeight="1" outlineLevel="2" spans="1:26">
      <c r="A545" s="154" t="s">
        <v>2218</v>
      </c>
      <c r="B545" s="259">
        <v>34</v>
      </c>
      <c r="C545" s="259">
        <v>1</v>
      </c>
      <c r="D545" s="154">
        <v>1</v>
      </c>
      <c r="E545" s="263" t="s">
        <v>2219</v>
      </c>
      <c r="F545" s="259"/>
      <c r="G545" s="154" t="s">
        <v>180</v>
      </c>
      <c r="H545" s="154" t="s">
        <v>427</v>
      </c>
      <c r="I545" s="154" t="s">
        <v>334</v>
      </c>
      <c r="J545" s="269" t="s">
        <v>2220</v>
      </c>
      <c r="K545" s="288">
        <v>44650</v>
      </c>
      <c r="L545" s="271">
        <v>1178018</v>
      </c>
      <c r="M545" s="289" t="s">
        <v>2221</v>
      </c>
      <c r="N545" s="271">
        <v>55.16</v>
      </c>
      <c r="O545" s="271"/>
      <c r="P545" s="290">
        <v>55.16</v>
      </c>
      <c r="Q545" s="271"/>
      <c r="R545" s="154"/>
      <c r="S545" s="189" t="s">
        <v>430</v>
      </c>
      <c r="T545" s="308" t="s">
        <v>2222</v>
      </c>
      <c r="U545" s="305">
        <f>ROUND(L545/1.09,2)</f>
        <v>1080750.46</v>
      </c>
      <c r="V545" s="305">
        <f t="shared" si="34"/>
        <v>97267.54</v>
      </c>
      <c r="W545" s="306">
        <f t="shared" si="35"/>
        <v>1178018</v>
      </c>
      <c r="X545" s="271">
        <f t="shared" si="32"/>
        <v>1080750.46</v>
      </c>
      <c r="Y545" s="271">
        <f t="shared" si="33"/>
        <v>19593.01</v>
      </c>
      <c r="Z545" s="154"/>
    </row>
    <row r="546" s="243" customFormat="1" ht="22" customHeight="1" outlineLevel="2" spans="1:26">
      <c r="A546" s="154" t="s">
        <v>2223</v>
      </c>
      <c r="B546" s="259">
        <v>34</v>
      </c>
      <c r="C546" s="259">
        <v>1</v>
      </c>
      <c r="D546" s="154">
        <v>1</v>
      </c>
      <c r="E546" s="263" t="s">
        <v>2224</v>
      </c>
      <c r="F546" s="259"/>
      <c r="G546" s="154" t="s">
        <v>180</v>
      </c>
      <c r="H546" s="154" t="s">
        <v>427</v>
      </c>
      <c r="I546" s="154" t="s">
        <v>334</v>
      </c>
      <c r="J546" s="269" t="s">
        <v>2225</v>
      </c>
      <c r="K546" s="288">
        <v>44650</v>
      </c>
      <c r="L546" s="271">
        <v>950724</v>
      </c>
      <c r="M546" s="289" t="s">
        <v>2221</v>
      </c>
      <c r="N546" s="271">
        <v>50.06</v>
      </c>
      <c r="O546" s="271"/>
      <c r="P546" s="290">
        <v>50.06</v>
      </c>
      <c r="Q546" s="271"/>
      <c r="R546" s="154"/>
      <c r="S546" s="189" t="s">
        <v>430</v>
      </c>
      <c r="T546" s="308" t="s">
        <v>2226</v>
      </c>
      <c r="U546" s="305">
        <f>ROUND(L546/1.09,2)</f>
        <v>872223.85</v>
      </c>
      <c r="V546" s="305">
        <f t="shared" si="34"/>
        <v>78500.15</v>
      </c>
      <c r="W546" s="306">
        <f t="shared" si="35"/>
        <v>950724</v>
      </c>
      <c r="X546" s="271">
        <f t="shared" si="32"/>
        <v>872223.85</v>
      </c>
      <c r="Y546" s="271">
        <f t="shared" si="33"/>
        <v>17423.57</v>
      </c>
      <c r="Z546" s="154"/>
    </row>
    <row r="547" s="243" customFormat="1" ht="22" customHeight="1" outlineLevel="2" spans="1:26">
      <c r="A547" s="154" t="s">
        <v>2227</v>
      </c>
      <c r="B547" s="259">
        <v>34</v>
      </c>
      <c r="C547" s="259">
        <v>1</v>
      </c>
      <c r="D547" s="154">
        <v>1</v>
      </c>
      <c r="E547" s="263" t="s">
        <v>2228</v>
      </c>
      <c r="F547" s="259"/>
      <c r="G547" s="154" t="s">
        <v>180</v>
      </c>
      <c r="H547" s="154" t="s">
        <v>537</v>
      </c>
      <c r="I547" s="154"/>
      <c r="J547" s="269"/>
      <c r="K547" s="288"/>
      <c r="L547" s="271"/>
      <c r="M547" s="289"/>
      <c r="N547" s="271"/>
      <c r="O547" s="271"/>
      <c r="P547" s="290">
        <v>50.06</v>
      </c>
      <c r="Q547" s="271"/>
      <c r="R547" s="154"/>
      <c r="S547" s="189"/>
      <c r="T547" s="308"/>
      <c r="U547" s="305"/>
      <c r="V547" s="305">
        <f t="shared" si="34"/>
        <v>0</v>
      </c>
      <c r="W547" s="306">
        <f t="shared" si="35"/>
        <v>0</v>
      </c>
      <c r="X547" s="271">
        <f t="shared" si="32"/>
        <v>0</v>
      </c>
      <c r="Y547" s="271">
        <f t="shared" si="33"/>
        <v>0</v>
      </c>
      <c r="Z547" s="154"/>
    </row>
    <row r="548" s="243" customFormat="1" ht="22" customHeight="1" outlineLevel="2" spans="1:26">
      <c r="A548" s="154" t="s">
        <v>2229</v>
      </c>
      <c r="B548" s="259">
        <v>34</v>
      </c>
      <c r="C548" s="259">
        <v>1</v>
      </c>
      <c r="D548" s="154">
        <v>1</v>
      </c>
      <c r="E548" s="263" t="s">
        <v>2230</v>
      </c>
      <c r="F548" s="259"/>
      <c r="G548" s="154" t="s">
        <v>180</v>
      </c>
      <c r="H548" s="154" t="s">
        <v>537</v>
      </c>
      <c r="I548" s="154"/>
      <c r="J548" s="269"/>
      <c r="K548" s="288"/>
      <c r="L548" s="271"/>
      <c r="M548" s="289"/>
      <c r="N548" s="271"/>
      <c r="O548" s="271"/>
      <c r="P548" s="290">
        <v>50.06</v>
      </c>
      <c r="Q548" s="271"/>
      <c r="R548" s="154"/>
      <c r="S548" s="189"/>
      <c r="T548" s="308"/>
      <c r="U548" s="305"/>
      <c r="V548" s="305">
        <f t="shared" si="34"/>
        <v>0</v>
      </c>
      <c r="W548" s="306">
        <f t="shared" si="35"/>
        <v>0</v>
      </c>
      <c r="X548" s="271">
        <f t="shared" si="32"/>
        <v>0</v>
      </c>
      <c r="Y548" s="271">
        <f t="shared" si="33"/>
        <v>0</v>
      </c>
      <c r="Z548" s="154"/>
    </row>
    <row r="549" s="243" customFormat="1" ht="22" customHeight="1" outlineLevel="2" spans="1:26">
      <c r="A549" s="154" t="s">
        <v>2231</v>
      </c>
      <c r="B549" s="259">
        <v>34</v>
      </c>
      <c r="C549" s="259">
        <v>1</v>
      </c>
      <c r="D549" s="154">
        <v>1</v>
      </c>
      <c r="E549" s="263" t="s">
        <v>2232</v>
      </c>
      <c r="F549" s="259"/>
      <c r="G549" s="154" t="s">
        <v>180</v>
      </c>
      <c r="H549" s="154" t="s">
        <v>427</v>
      </c>
      <c r="I549" s="154" t="s">
        <v>334</v>
      </c>
      <c r="J549" s="269">
        <v>20210009212</v>
      </c>
      <c r="K549" s="288">
        <v>44457</v>
      </c>
      <c r="L549" s="271">
        <v>1201440</v>
      </c>
      <c r="M549" s="289" t="s">
        <v>2233</v>
      </c>
      <c r="N549" s="271">
        <v>50.06</v>
      </c>
      <c r="O549" s="271"/>
      <c r="P549" s="290">
        <v>50.06</v>
      </c>
      <c r="Q549" s="271"/>
      <c r="R549" s="154"/>
      <c r="S549" s="189" t="s">
        <v>430</v>
      </c>
      <c r="T549" s="308" t="s">
        <v>2234</v>
      </c>
      <c r="U549" s="305">
        <v>1102238.54</v>
      </c>
      <c r="V549" s="305">
        <f t="shared" si="34"/>
        <v>99201.46</v>
      </c>
      <c r="W549" s="306">
        <f t="shared" si="35"/>
        <v>1201440</v>
      </c>
      <c r="X549" s="271">
        <f t="shared" si="32"/>
        <v>1102238.54</v>
      </c>
      <c r="Y549" s="271">
        <f t="shared" si="33"/>
        <v>22018.35</v>
      </c>
      <c r="Z549" s="154"/>
    </row>
    <row r="550" s="243" customFormat="1" ht="22" customHeight="1" outlineLevel="2" spans="1:26">
      <c r="A550" s="154" t="s">
        <v>2235</v>
      </c>
      <c r="B550" s="259">
        <v>34</v>
      </c>
      <c r="C550" s="259">
        <v>1</v>
      </c>
      <c r="D550" s="154">
        <v>1</v>
      </c>
      <c r="E550" s="263" t="s">
        <v>2236</v>
      </c>
      <c r="F550" s="259"/>
      <c r="G550" s="154" t="s">
        <v>180</v>
      </c>
      <c r="H550" s="154" t="s">
        <v>537</v>
      </c>
      <c r="I550" s="154"/>
      <c r="J550" s="269"/>
      <c r="K550" s="288"/>
      <c r="L550" s="271"/>
      <c r="M550" s="289"/>
      <c r="N550" s="271"/>
      <c r="O550" s="271"/>
      <c r="P550" s="290">
        <v>50.06</v>
      </c>
      <c r="Q550" s="271"/>
      <c r="R550" s="154"/>
      <c r="S550" s="189"/>
      <c r="T550" s="308"/>
      <c r="U550" s="305"/>
      <c r="V550" s="305">
        <f t="shared" si="34"/>
        <v>0</v>
      </c>
      <c r="W550" s="306">
        <f t="shared" si="35"/>
        <v>0</v>
      </c>
      <c r="X550" s="271">
        <f t="shared" si="32"/>
        <v>0</v>
      </c>
      <c r="Y550" s="271">
        <f t="shared" si="33"/>
        <v>0</v>
      </c>
      <c r="Z550" s="154"/>
    </row>
    <row r="551" s="243" customFormat="1" ht="22" customHeight="1" outlineLevel="2" spans="1:26">
      <c r="A551" s="154" t="s">
        <v>2237</v>
      </c>
      <c r="B551" s="259">
        <v>34</v>
      </c>
      <c r="C551" s="259">
        <v>1</v>
      </c>
      <c r="D551" s="154">
        <v>1</v>
      </c>
      <c r="E551" s="263" t="s">
        <v>2238</v>
      </c>
      <c r="F551" s="259"/>
      <c r="G551" s="154" t="s">
        <v>180</v>
      </c>
      <c r="H551" s="154" t="s">
        <v>537</v>
      </c>
      <c r="I551" s="154"/>
      <c r="J551" s="269"/>
      <c r="K551" s="288"/>
      <c r="L551" s="271"/>
      <c r="M551" s="289"/>
      <c r="N551" s="271"/>
      <c r="O551" s="271"/>
      <c r="P551" s="290">
        <v>50.06</v>
      </c>
      <c r="Q551" s="271"/>
      <c r="R551" s="154"/>
      <c r="S551" s="189"/>
      <c r="T551" s="308"/>
      <c r="U551" s="305"/>
      <c r="V551" s="305">
        <f t="shared" si="34"/>
        <v>0</v>
      </c>
      <c r="W551" s="306">
        <f t="shared" si="35"/>
        <v>0</v>
      </c>
      <c r="X551" s="271">
        <f t="shared" si="32"/>
        <v>0</v>
      </c>
      <c r="Y551" s="271">
        <f t="shared" si="33"/>
        <v>0</v>
      </c>
      <c r="Z551" s="154"/>
    </row>
    <row r="552" s="243" customFormat="1" ht="22" customHeight="1" outlineLevel="2" spans="1:26">
      <c r="A552" s="154" t="s">
        <v>2239</v>
      </c>
      <c r="B552" s="259">
        <v>34</v>
      </c>
      <c r="C552" s="259">
        <v>1</v>
      </c>
      <c r="D552" s="154">
        <v>1</v>
      </c>
      <c r="E552" s="263" t="s">
        <v>2240</v>
      </c>
      <c r="F552" s="259"/>
      <c r="G552" s="154" t="s">
        <v>180</v>
      </c>
      <c r="H552" s="154" t="s">
        <v>537</v>
      </c>
      <c r="I552" s="154"/>
      <c r="J552" s="269"/>
      <c r="K552" s="288"/>
      <c r="L552" s="271"/>
      <c r="M552" s="289"/>
      <c r="N552" s="271"/>
      <c r="O552" s="271"/>
      <c r="P552" s="290">
        <v>50.06</v>
      </c>
      <c r="Q552" s="271"/>
      <c r="R552" s="154"/>
      <c r="S552" s="189"/>
      <c r="T552" s="308"/>
      <c r="U552" s="305"/>
      <c r="V552" s="305">
        <f t="shared" si="34"/>
        <v>0</v>
      </c>
      <c r="W552" s="306">
        <f t="shared" si="35"/>
        <v>0</v>
      </c>
      <c r="X552" s="271">
        <f t="shared" si="32"/>
        <v>0</v>
      </c>
      <c r="Y552" s="271">
        <f t="shared" si="33"/>
        <v>0</v>
      </c>
      <c r="Z552" s="154"/>
    </row>
    <row r="553" s="243" customFormat="1" ht="22" customHeight="1" outlineLevel="2" spans="1:26">
      <c r="A553" s="154" t="s">
        <v>2241</v>
      </c>
      <c r="B553" s="259">
        <v>34</v>
      </c>
      <c r="C553" s="259">
        <v>1</v>
      </c>
      <c r="D553" s="154">
        <v>1</v>
      </c>
      <c r="E553" s="263" t="s">
        <v>2242</v>
      </c>
      <c r="F553" s="259"/>
      <c r="G553" s="154" t="s">
        <v>180</v>
      </c>
      <c r="H553" s="154" t="s">
        <v>537</v>
      </c>
      <c r="I553" s="154"/>
      <c r="J553" s="269"/>
      <c r="K553" s="288"/>
      <c r="L553" s="271"/>
      <c r="M553" s="289"/>
      <c r="N553" s="271"/>
      <c r="O553" s="271"/>
      <c r="P553" s="290">
        <v>50.7</v>
      </c>
      <c r="Q553" s="271"/>
      <c r="R553" s="154"/>
      <c r="S553" s="189"/>
      <c r="T553" s="308"/>
      <c r="U553" s="305"/>
      <c r="V553" s="305">
        <f t="shared" si="34"/>
        <v>0</v>
      </c>
      <c r="W553" s="306">
        <f t="shared" si="35"/>
        <v>0</v>
      </c>
      <c r="X553" s="271">
        <f t="shared" si="32"/>
        <v>0</v>
      </c>
      <c r="Y553" s="271">
        <f t="shared" si="33"/>
        <v>0</v>
      </c>
      <c r="Z553" s="154"/>
    </row>
    <row r="554" s="243" customFormat="1" ht="22" customHeight="1" outlineLevel="2" spans="1:26">
      <c r="A554" s="154" t="s">
        <v>2243</v>
      </c>
      <c r="B554" s="259">
        <v>34</v>
      </c>
      <c r="C554" s="259">
        <v>1</v>
      </c>
      <c r="D554" s="154">
        <v>2</v>
      </c>
      <c r="E554" s="263" t="s">
        <v>2244</v>
      </c>
      <c r="F554" s="259"/>
      <c r="G554" s="154" t="s">
        <v>180</v>
      </c>
      <c r="H554" s="154" t="s">
        <v>537</v>
      </c>
      <c r="I554" s="154"/>
      <c r="J554" s="269"/>
      <c r="K554" s="288"/>
      <c r="L554" s="271"/>
      <c r="M554" s="289"/>
      <c r="N554" s="271"/>
      <c r="O554" s="271"/>
      <c r="P554" s="290">
        <v>186.02</v>
      </c>
      <c r="Q554" s="271"/>
      <c r="R554" s="154"/>
      <c r="S554" s="189"/>
      <c r="T554" s="308"/>
      <c r="U554" s="305"/>
      <c r="V554" s="305">
        <f t="shared" si="34"/>
        <v>0</v>
      </c>
      <c r="W554" s="306">
        <f t="shared" si="35"/>
        <v>0</v>
      </c>
      <c r="X554" s="271">
        <f t="shared" si="32"/>
        <v>0</v>
      </c>
      <c r="Y554" s="271">
        <f t="shared" si="33"/>
        <v>0</v>
      </c>
      <c r="Z554" s="154"/>
    </row>
    <row r="555" s="243" customFormat="1" ht="22" customHeight="1" outlineLevel="2" spans="1:26">
      <c r="A555" s="154" t="s">
        <v>2245</v>
      </c>
      <c r="B555" s="259">
        <v>34</v>
      </c>
      <c r="C555" s="259">
        <v>1</v>
      </c>
      <c r="D555" s="154">
        <v>2</v>
      </c>
      <c r="E555" s="263" t="s">
        <v>2246</v>
      </c>
      <c r="F555" s="259"/>
      <c r="G555" s="154" t="s">
        <v>180</v>
      </c>
      <c r="H555" s="154" t="s">
        <v>537</v>
      </c>
      <c r="I555" s="154"/>
      <c r="J555" s="269"/>
      <c r="K555" s="288"/>
      <c r="L555" s="271"/>
      <c r="M555" s="289"/>
      <c r="N555" s="271"/>
      <c r="O555" s="271"/>
      <c r="P555" s="290">
        <v>252.97</v>
      </c>
      <c r="Q555" s="271"/>
      <c r="R555" s="154"/>
      <c r="S555" s="189"/>
      <c r="T555" s="308"/>
      <c r="U555" s="305"/>
      <c r="V555" s="305">
        <f t="shared" si="34"/>
        <v>0</v>
      </c>
      <c r="W555" s="306">
        <f t="shared" si="35"/>
        <v>0</v>
      </c>
      <c r="X555" s="271">
        <f t="shared" si="32"/>
        <v>0</v>
      </c>
      <c r="Y555" s="271">
        <f t="shared" si="33"/>
        <v>0</v>
      </c>
      <c r="Z555" s="154"/>
    </row>
    <row r="556" s="243" customFormat="1" ht="22" customHeight="1" outlineLevel="2" spans="1:26">
      <c r="A556" s="154" t="s">
        <v>2247</v>
      </c>
      <c r="B556" s="259">
        <v>35</v>
      </c>
      <c r="C556" s="259">
        <v>1</v>
      </c>
      <c r="D556" s="154">
        <v>1</v>
      </c>
      <c r="E556" s="263" t="s">
        <v>2248</v>
      </c>
      <c r="F556" s="259"/>
      <c r="G556" s="154" t="s">
        <v>180</v>
      </c>
      <c r="H556" s="154" t="s">
        <v>537</v>
      </c>
      <c r="I556" s="154"/>
      <c r="J556" s="269"/>
      <c r="K556" s="288"/>
      <c r="L556" s="271"/>
      <c r="M556" s="289"/>
      <c r="N556" s="271"/>
      <c r="O556" s="271"/>
      <c r="P556" s="290">
        <v>846</v>
      </c>
      <c r="Q556" s="271"/>
      <c r="R556" s="154"/>
      <c r="S556" s="189"/>
      <c r="T556" s="308"/>
      <c r="U556" s="305"/>
      <c r="V556" s="305">
        <f t="shared" si="34"/>
        <v>0</v>
      </c>
      <c r="W556" s="306">
        <f t="shared" si="35"/>
        <v>0</v>
      </c>
      <c r="X556" s="271">
        <f t="shared" si="32"/>
        <v>0</v>
      </c>
      <c r="Y556" s="271">
        <f t="shared" si="33"/>
        <v>0</v>
      </c>
      <c r="Z556" s="154"/>
    </row>
    <row r="557" s="243" customFormat="1" ht="22" customHeight="1" outlineLevel="2" spans="1:26">
      <c r="A557" s="154" t="s">
        <v>2249</v>
      </c>
      <c r="B557" s="259">
        <v>35</v>
      </c>
      <c r="C557" s="259">
        <v>1</v>
      </c>
      <c r="D557" s="154">
        <v>2</v>
      </c>
      <c r="E557" s="263" t="s">
        <v>2250</v>
      </c>
      <c r="F557" s="259"/>
      <c r="G557" s="154" t="s">
        <v>180</v>
      </c>
      <c r="H557" s="154" t="s">
        <v>537</v>
      </c>
      <c r="I557" s="154"/>
      <c r="J557" s="269"/>
      <c r="K557" s="288"/>
      <c r="L557" s="271"/>
      <c r="M557" s="289"/>
      <c r="N557" s="271"/>
      <c r="O557" s="271"/>
      <c r="P557" s="290">
        <v>545.28</v>
      </c>
      <c r="Q557" s="271"/>
      <c r="R557" s="154"/>
      <c r="S557" s="189"/>
      <c r="T557" s="308"/>
      <c r="U557" s="305"/>
      <c r="V557" s="305">
        <f t="shared" si="34"/>
        <v>0</v>
      </c>
      <c r="W557" s="306">
        <f t="shared" si="35"/>
        <v>0</v>
      </c>
      <c r="X557" s="271">
        <f t="shared" si="32"/>
        <v>0</v>
      </c>
      <c r="Y557" s="271">
        <f t="shared" si="33"/>
        <v>0</v>
      </c>
      <c r="Z557" s="154"/>
    </row>
    <row r="558" s="243" customFormat="1" ht="22" customHeight="1" outlineLevel="2" spans="1:26">
      <c r="A558" s="154" t="s">
        <v>2251</v>
      </c>
      <c r="B558" s="259">
        <v>1</v>
      </c>
      <c r="C558" s="259" t="s">
        <v>38</v>
      </c>
      <c r="D558" s="154" t="s">
        <v>38</v>
      </c>
      <c r="E558" s="263" t="s">
        <v>2252</v>
      </c>
      <c r="F558" s="259" t="s">
        <v>188</v>
      </c>
      <c r="G558" s="154" t="s">
        <v>180</v>
      </c>
      <c r="H558" s="154" t="s">
        <v>537</v>
      </c>
      <c r="I558" s="154"/>
      <c r="J558" s="269" t="s">
        <v>188</v>
      </c>
      <c r="K558" s="288" t="s">
        <v>188</v>
      </c>
      <c r="L558" s="271" t="s">
        <v>188</v>
      </c>
      <c r="M558" s="289" t="s">
        <v>188</v>
      </c>
      <c r="N558" s="271"/>
      <c r="O558" s="271" t="s">
        <v>188</v>
      </c>
      <c r="P558" s="290">
        <v>58.86</v>
      </c>
      <c r="Q558" s="271">
        <v>58.86</v>
      </c>
      <c r="R558" s="154" t="s">
        <v>188</v>
      </c>
      <c r="S558" s="189" t="s">
        <v>188</v>
      </c>
      <c r="T558" s="308" t="s">
        <v>188</v>
      </c>
      <c r="U558" s="305" t="s">
        <v>188</v>
      </c>
      <c r="V558" s="305"/>
      <c r="W558" s="306">
        <v>0</v>
      </c>
      <c r="X558" s="271" t="str">
        <f t="shared" ref="X558:X567" si="36">U558</f>
        <v/>
      </c>
      <c r="Y558" s="271"/>
      <c r="Z558" s="154"/>
    </row>
    <row r="559" s="243" customFormat="1" ht="22" customHeight="1" outlineLevel="2" spans="1:26">
      <c r="A559" s="154" t="s">
        <v>2253</v>
      </c>
      <c r="B559" s="259">
        <v>1</v>
      </c>
      <c r="C559" s="259" t="s">
        <v>38</v>
      </c>
      <c r="D559" s="154" t="s">
        <v>38</v>
      </c>
      <c r="E559" s="263" t="s">
        <v>2254</v>
      </c>
      <c r="F559" s="259" t="s">
        <v>188</v>
      </c>
      <c r="G559" s="154" t="s">
        <v>180</v>
      </c>
      <c r="H559" s="154" t="s">
        <v>537</v>
      </c>
      <c r="I559" s="154"/>
      <c r="J559" s="269" t="s">
        <v>188</v>
      </c>
      <c r="K559" s="288" t="s">
        <v>188</v>
      </c>
      <c r="L559" s="271" t="s">
        <v>188</v>
      </c>
      <c r="M559" s="289" t="s">
        <v>188</v>
      </c>
      <c r="N559" s="271"/>
      <c r="O559" s="271" t="s">
        <v>188</v>
      </c>
      <c r="P559" s="290">
        <v>49.96</v>
      </c>
      <c r="Q559" s="271">
        <v>49.96</v>
      </c>
      <c r="R559" s="154" t="s">
        <v>188</v>
      </c>
      <c r="S559" s="189" t="s">
        <v>188</v>
      </c>
      <c r="T559" s="308" t="s">
        <v>188</v>
      </c>
      <c r="U559" s="305" t="s">
        <v>188</v>
      </c>
      <c r="V559" s="305"/>
      <c r="W559" s="306">
        <v>0</v>
      </c>
      <c r="X559" s="271" t="str">
        <f t="shared" si="36"/>
        <v/>
      </c>
      <c r="Y559" s="271"/>
      <c r="Z559" s="154"/>
    </row>
    <row r="560" s="243" customFormat="1" ht="22" customHeight="1" outlineLevel="2" spans="1:26">
      <c r="A560" s="154" t="s">
        <v>2255</v>
      </c>
      <c r="B560" s="259" t="s">
        <v>38</v>
      </c>
      <c r="C560" s="259" t="s">
        <v>38</v>
      </c>
      <c r="D560" s="154" t="s">
        <v>38</v>
      </c>
      <c r="E560" s="263" t="s">
        <v>2256</v>
      </c>
      <c r="F560" s="259" t="s">
        <v>188</v>
      </c>
      <c r="G560" s="154" t="s">
        <v>180</v>
      </c>
      <c r="H560" s="154" t="s">
        <v>537</v>
      </c>
      <c r="I560" s="154"/>
      <c r="J560" s="269" t="s">
        <v>188</v>
      </c>
      <c r="K560" s="288" t="s">
        <v>188</v>
      </c>
      <c r="L560" s="271" t="s">
        <v>188</v>
      </c>
      <c r="M560" s="289" t="s">
        <v>188</v>
      </c>
      <c r="N560" s="271"/>
      <c r="O560" s="271" t="s">
        <v>188</v>
      </c>
      <c r="P560" s="290">
        <v>49.96</v>
      </c>
      <c r="Q560" s="271">
        <v>49.96</v>
      </c>
      <c r="R560" s="154" t="s">
        <v>188</v>
      </c>
      <c r="S560" s="189" t="s">
        <v>188</v>
      </c>
      <c r="T560" s="308" t="s">
        <v>188</v>
      </c>
      <c r="U560" s="305" t="s">
        <v>188</v>
      </c>
      <c r="V560" s="305"/>
      <c r="W560" s="306">
        <v>0</v>
      </c>
      <c r="X560" s="271" t="str">
        <f t="shared" si="36"/>
        <v/>
      </c>
      <c r="Y560" s="271"/>
      <c r="Z560" s="154"/>
    </row>
    <row r="561" s="243" customFormat="1" ht="22" customHeight="1" outlineLevel="2" spans="1:26">
      <c r="A561" s="154" t="s">
        <v>2257</v>
      </c>
      <c r="B561" s="259" t="s">
        <v>38</v>
      </c>
      <c r="C561" s="259" t="s">
        <v>38</v>
      </c>
      <c r="D561" s="154" t="s">
        <v>38</v>
      </c>
      <c r="E561" s="263" t="s">
        <v>2258</v>
      </c>
      <c r="F561" s="259" t="s">
        <v>188</v>
      </c>
      <c r="G561" s="154" t="s">
        <v>180</v>
      </c>
      <c r="H561" s="154" t="s">
        <v>427</v>
      </c>
      <c r="I561" s="154" t="s">
        <v>334</v>
      </c>
      <c r="J561" s="269">
        <v>20210005306</v>
      </c>
      <c r="K561" s="288">
        <v>44355</v>
      </c>
      <c r="L561" s="271">
        <v>1211160</v>
      </c>
      <c r="M561" s="289" t="s">
        <v>2259</v>
      </c>
      <c r="N561" s="271">
        <v>55.28</v>
      </c>
      <c r="O561" s="271" t="s">
        <v>188</v>
      </c>
      <c r="P561" s="290">
        <v>55.28</v>
      </c>
      <c r="Q561" s="271">
        <v>55.28</v>
      </c>
      <c r="R561" s="154" t="s">
        <v>188</v>
      </c>
      <c r="S561" s="189" t="s">
        <v>430</v>
      </c>
      <c r="T561" s="549" t="s">
        <v>2260</v>
      </c>
      <c r="U561" s="305">
        <f>ROUND(L561/1.09,2)</f>
        <v>1111155.96</v>
      </c>
      <c r="V561" s="305">
        <f t="shared" ref="V558:V567" si="37">L561-U561</f>
        <v>100004.04</v>
      </c>
      <c r="W561" s="306">
        <f>V561+U561</f>
        <v>1211160</v>
      </c>
      <c r="X561" s="271">
        <f t="shared" si="36"/>
        <v>1111155.96</v>
      </c>
      <c r="Y561" s="271">
        <f t="shared" ref="Y558:Y567" si="38">ROUND(X561/P561,2)</f>
        <v>20100.51</v>
      </c>
      <c r="Z561" s="154"/>
    </row>
    <row r="562" s="243" customFormat="1" ht="22" customHeight="1" outlineLevel="2" spans="1:26">
      <c r="A562" s="154" t="s">
        <v>2261</v>
      </c>
      <c r="B562" s="259" t="s">
        <v>38</v>
      </c>
      <c r="C562" s="259" t="s">
        <v>38</v>
      </c>
      <c r="D562" s="154" t="s">
        <v>38</v>
      </c>
      <c r="E562" s="263" t="s">
        <v>2262</v>
      </c>
      <c r="F562" s="259" t="s">
        <v>188</v>
      </c>
      <c r="G562" s="154" t="s">
        <v>180</v>
      </c>
      <c r="H562" s="154" t="s">
        <v>427</v>
      </c>
      <c r="I562" s="154" t="s">
        <v>334</v>
      </c>
      <c r="J562" s="269">
        <v>20210005307</v>
      </c>
      <c r="K562" s="288">
        <v>44355</v>
      </c>
      <c r="L562" s="271">
        <v>1209840</v>
      </c>
      <c r="M562" s="289" t="s">
        <v>2259</v>
      </c>
      <c r="N562" s="271">
        <v>55.22</v>
      </c>
      <c r="O562" s="271" t="s">
        <v>188</v>
      </c>
      <c r="P562" s="290">
        <v>55.22</v>
      </c>
      <c r="Q562" s="271">
        <v>55.22</v>
      </c>
      <c r="R562" s="154" t="s">
        <v>188</v>
      </c>
      <c r="S562" s="189" t="s">
        <v>430</v>
      </c>
      <c r="T562" s="308" t="s">
        <v>2263</v>
      </c>
      <c r="U562" s="305">
        <v>1109944.96</v>
      </c>
      <c r="V562" s="305">
        <f t="shared" si="37"/>
        <v>99895.04</v>
      </c>
      <c r="W562" s="306">
        <f t="shared" ref="W562:W567" si="39">V562+U562</f>
        <v>1209840</v>
      </c>
      <c r="X562" s="271">
        <f t="shared" si="36"/>
        <v>1109944.96</v>
      </c>
      <c r="Y562" s="271">
        <f t="shared" si="38"/>
        <v>20100.42</v>
      </c>
      <c r="Z562" s="154"/>
    </row>
    <row r="563" s="243" customFormat="1" ht="22" customHeight="1" outlineLevel="2" spans="1:26">
      <c r="A563" s="154" t="s">
        <v>2264</v>
      </c>
      <c r="B563" s="259" t="s">
        <v>38</v>
      </c>
      <c r="C563" s="259" t="s">
        <v>38</v>
      </c>
      <c r="D563" s="154" t="s">
        <v>38</v>
      </c>
      <c r="E563" s="263" t="s">
        <v>2265</v>
      </c>
      <c r="F563" s="259" t="s">
        <v>188</v>
      </c>
      <c r="G563" s="154" t="s">
        <v>180</v>
      </c>
      <c r="H563" s="154" t="s">
        <v>537</v>
      </c>
      <c r="I563" s="154"/>
      <c r="J563" s="269" t="s">
        <v>188</v>
      </c>
      <c r="K563" s="288" t="s">
        <v>188</v>
      </c>
      <c r="L563" s="271" t="s">
        <v>188</v>
      </c>
      <c r="M563" s="289" t="s">
        <v>188</v>
      </c>
      <c r="N563" s="271"/>
      <c r="O563" s="271" t="s">
        <v>188</v>
      </c>
      <c r="P563" s="290">
        <v>55.22</v>
      </c>
      <c r="Q563" s="271">
        <v>55.22</v>
      </c>
      <c r="R563" s="154" t="s">
        <v>188</v>
      </c>
      <c r="S563" s="189" t="s">
        <v>188</v>
      </c>
      <c r="T563" s="308"/>
      <c r="U563" s="305" t="s">
        <v>188</v>
      </c>
      <c r="V563" s="305"/>
      <c r="W563" s="306"/>
      <c r="X563" s="271" t="str">
        <f t="shared" si="36"/>
        <v/>
      </c>
      <c r="Y563" s="271"/>
      <c r="Z563" s="154"/>
    </row>
    <row r="564" s="243" customFormat="1" ht="22" customHeight="1" outlineLevel="2" spans="1:26">
      <c r="A564" s="154" t="s">
        <v>2266</v>
      </c>
      <c r="B564" s="259" t="s">
        <v>38</v>
      </c>
      <c r="C564" s="259" t="s">
        <v>38</v>
      </c>
      <c r="D564" s="154" t="s">
        <v>38</v>
      </c>
      <c r="E564" s="263" t="s">
        <v>2267</v>
      </c>
      <c r="F564" s="259" t="s">
        <v>188</v>
      </c>
      <c r="G564" s="154" t="s">
        <v>180</v>
      </c>
      <c r="H564" s="154" t="s">
        <v>537</v>
      </c>
      <c r="I564" s="154"/>
      <c r="J564" s="269" t="s">
        <v>188</v>
      </c>
      <c r="K564" s="288" t="s">
        <v>188</v>
      </c>
      <c r="L564" s="271" t="s">
        <v>188</v>
      </c>
      <c r="M564" s="289" t="s">
        <v>188</v>
      </c>
      <c r="N564" s="271"/>
      <c r="O564" s="271" t="s">
        <v>188</v>
      </c>
      <c r="P564" s="290">
        <v>55.28</v>
      </c>
      <c r="Q564" s="271">
        <v>55.28</v>
      </c>
      <c r="R564" s="154" t="s">
        <v>188</v>
      </c>
      <c r="S564" s="189" t="s">
        <v>188</v>
      </c>
      <c r="T564" s="308"/>
      <c r="U564" s="305" t="s">
        <v>188</v>
      </c>
      <c r="V564" s="305"/>
      <c r="W564" s="306"/>
      <c r="X564" s="271" t="str">
        <f t="shared" si="36"/>
        <v/>
      </c>
      <c r="Y564" s="271"/>
      <c r="Z564" s="154"/>
    </row>
    <row r="565" s="243" customFormat="1" ht="22" customHeight="1" outlineLevel="2" spans="1:26">
      <c r="A565" s="154" t="s">
        <v>2268</v>
      </c>
      <c r="B565" s="259" t="s">
        <v>38</v>
      </c>
      <c r="C565" s="259" t="s">
        <v>38</v>
      </c>
      <c r="D565" s="154" t="s">
        <v>38</v>
      </c>
      <c r="E565" s="263" t="s">
        <v>2269</v>
      </c>
      <c r="F565" s="259" t="s">
        <v>188</v>
      </c>
      <c r="G565" s="154" t="s">
        <v>180</v>
      </c>
      <c r="H565" s="154" t="s">
        <v>427</v>
      </c>
      <c r="I565" s="154" t="s">
        <v>334</v>
      </c>
      <c r="J565" s="269">
        <v>20230008626</v>
      </c>
      <c r="K565" s="288">
        <v>45203</v>
      </c>
      <c r="L565" s="271">
        <v>1209000</v>
      </c>
      <c r="M565" s="289" t="s">
        <v>2270</v>
      </c>
      <c r="N565" s="271">
        <v>49.96</v>
      </c>
      <c r="O565" s="271" t="s">
        <v>188</v>
      </c>
      <c r="P565" s="290">
        <v>49.96</v>
      </c>
      <c r="Q565" s="271">
        <v>49.96</v>
      </c>
      <c r="R565" s="154" t="s">
        <v>188</v>
      </c>
      <c r="S565" s="189" t="s">
        <v>430</v>
      </c>
      <c r="T565" s="308" t="s">
        <v>2271</v>
      </c>
      <c r="U565" s="305">
        <v>1109174.32</v>
      </c>
      <c r="V565" s="305">
        <f t="shared" si="37"/>
        <v>99825.6799999999</v>
      </c>
      <c r="W565" s="306">
        <f t="shared" si="39"/>
        <v>1209000</v>
      </c>
      <c r="X565" s="271">
        <f t="shared" si="36"/>
        <v>1109174.32</v>
      </c>
      <c r="Y565" s="271">
        <f t="shared" si="38"/>
        <v>22201.25</v>
      </c>
      <c r="Z565" s="154"/>
    </row>
    <row r="566" s="243" customFormat="1" ht="22" customHeight="1" outlineLevel="2" spans="1:26">
      <c r="A566" s="154" t="s">
        <v>2272</v>
      </c>
      <c r="B566" s="259" t="s">
        <v>38</v>
      </c>
      <c r="C566" s="259" t="s">
        <v>38</v>
      </c>
      <c r="D566" s="154" t="s">
        <v>38</v>
      </c>
      <c r="E566" s="263" t="s">
        <v>2273</v>
      </c>
      <c r="F566" s="259" t="s">
        <v>188</v>
      </c>
      <c r="G566" s="154" t="s">
        <v>180</v>
      </c>
      <c r="H566" s="154" t="s">
        <v>427</v>
      </c>
      <c r="I566" s="154" t="s">
        <v>334</v>
      </c>
      <c r="J566" s="269">
        <v>20230008624</v>
      </c>
      <c r="K566" s="288">
        <v>45203</v>
      </c>
      <c r="L566" s="271">
        <v>1249000</v>
      </c>
      <c r="M566" s="289" t="s">
        <v>2274</v>
      </c>
      <c r="N566" s="271">
        <v>49.96</v>
      </c>
      <c r="O566" s="271" t="s">
        <v>188</v>
      </c>
      <c r="P566" s="290">
        <v>49.96</v>
      </c>
      <c r="Q566" s="271">
        <v>49.96</v>
      </c>
      <c r="R566" s="154" t="s">
        <v>188</v>
      </c>
      <c r="S566" s="189" t="s">
        <v>430</v>
      </c>
      <c r="T566" s="308" t="s">
        <v>2275</v>
      </c>
      <c r="U566" s="305">
        <v>1145871.56</v>
      </c>
      <c r="V566" s="305">
        <f t="shared" si="37"/>
        <v>103128.44</v>
      </c>
      <c r="W566" s="306">
        <f t="shared" si="39"/>
        <v>1249000</v>
      </c>
      <c r="X566" s="271">
        <f t="shared" si="36"/>
        <v>1145871.56</v>
      </c>
      <c r="Y566" s="271">
        <f t="shared" si="38"/>
        <v>22935.78</v>
      </c>
      <c r="Z566" s="154"/>
    </row>
    <row r="567" s="243" customFormat="1" ht="22" customHeight="1" outlineLevel="2" spans="1:26">
      <c r="A567" s="154" t="s">
        <v>2276</v>
      </c>
      <c r="B567" s="259" t="s">
        <v>38</v>
      </c>
      <c r="C567" s="259" t="s">
        <v>38</v>
      </c>
      <c r="D567" s="154" t="s">
        <v>38</v>
      </c>
      <c r="E567" s="263" t="s">
        <v>112</v>
      </c>
      <c r="F567" s="259" t="s">
        <v>188</v>
      </c>
      <c r="G567" s="154" t="s">
        <v>180</v>
      </c>
      <c r="H567" s="154" t="s">
        <v>427</v>
      </c>
      <c r="I567" s="154" t="s">
        <v>334</v>
      </c>
      <c r="J567" s="269">
        <v>20230008614</v>
      </c>
      <c r="K567" s="288">
        <v>45203</v>
      </c>
      <c r="L567" s="271">
        <v>1471500</v>
      </c>
      <c r="M567" s="289" t="s">
        <v>2277</v>
      </c>
      <c r="N567" s="271">
        <v>58.86</v>
      </c>
      <c r="O567" s="271" t="s">
        <v>188</v>
      </c>
      <c r="P567" s="290">
        <v>58.86</v>
      </c>
      <c r="Q567" s="271">
        <v>58.86</v>
      </c>
      <c r="R567" s="154" t="s">
        <v>188</v>
      </c>
      <c r="S567" s="189" t="s">
        <v>430</v>
      </c>
      <c r="T567" s="308" t="s">
        <v>2278</v>
      </c>
      <c r="U567" s="305">
        <v>1350000</v>
      </c>
      <c r="V567" s="305">
        <f t="shared" si="37"/>
        <v>121500</v>
      </c>
      <c r="W567" s="306">
        <f t="shared" si="39"/>
        <v>1471500</v>
      </c>
      <c r="X567" s="271">
        <f t="shared" si="36"/>
        <v>1350000</v>
      </c>
      <c r="Y567" s="271">
        <f t="shared" si="38"/>
        <v>22935.78</v>
      </c>
      <c r="Z567" s="154"/>
    </row>
    <row r="568" s="243" customFormat="1" ht="22" customHeight="1" outlineLevel="2" spans="1:26">
      <c r="A568" s="154" t="s">
        <v>2279</v>
      </c>
      <c r="B568" s="259" t="s">
        <v>38</v>
      </c>
      <c r="C568" s="259" t="s">
        <v>38</v>
      </c>
      <c r="D568" s="154" t="s">
        <v>41</v>
      </c>
      <c r="E568" s="263" t="s">
        <v>2252</v>
      </c>
      <c r="F568" s="259" t="s">
        <v>188</v>
      </c>
      <c r="G568" s="154" t="s">
        <v>180</v>
      </c>
      <c r="H568" s="154" t="s">
        <v>537</v>
      </c>
      <c r="I568" s="154"/>
      <c r="J568" s="269" t="s">
        <v>188</v>
      </c>
      <c r="K568" s="288" t="s">
        <v>188</v>
      </c>
      <c r="L568" s="271" t="s">
        <v>188</v>
      </c>
      <c r="M568" s="289" t="s">
        <v>188</v>
      </c>
      <c r="N568" s="271"/>
      <c r="O568" s="271" t="s">
        <v>188</v>
      </c>
      <c r="P568" s="290">
        <v>341.12</v>
      </c>
      <c r="Q568" s="271">
        <v>341.12</v>
      </c>
      <c r="R568" s="154" t="s">
        <v>188</v>
      </c>
      <c r="S568" s="189" t="s">
        <v>188</v>
      </c>
      <c r="T568" s="308"/>
      <c r="U568" s="305" t="s">
        <v>188</v>
      </c>
      <c r="V568" s="305" t="s">
        <v>188</v>
      </c>
      <c r="W568" s="306">
        <v>0</v>
      </c>
      <c r="X568" s="271"/>
      <c r="Y568" s="271">
        <v>0</v>
      </c>
      <c r="Z568" s="154"/>
    </row>
    <row r="569" s="243" customFormat="1" ht="22" customHeight="1" outlineLevel="2" spans="1:26">
      <c r="A569" s="154" t="s">
        <v>2280</v>
      </c>
      <c r="B569" s="259" t="s">
        <v>38</v>
      </c>
      <c r="C569" s="259" t="s">
        <v>38</v>
      </c>
      <c r="D569" s="154" t="s">
        <v>41</v>
      </c>
      <c r="E569" s="263" t="s">
        <v>2254</v>
      </c>
      <c r="F569" s="259" t="s">
        <v>188</v>
      </c>
      <c r="G569" s="154" t="s">
        <v>180</v>
      </c>
      <c r="H569" s="154" t="s">
        <v>537</v>
      </c>
      <c r="I569" s="154"/>
      <c r="J569" s="269" t="s">
        <v>188</v>
      </c>
      <c r="K569" s="288" t="s">
        <v>188</v>
      </c>
      <c r="L569" s="271" t="s">
        <v>188</v>
      </c>
      <c r="M569" s="289" t="s">
        <v>188</v>
      </c>
      <c r="N569" s="271"/>
      <c r="O569" s="271" t="s">
        <v>188</v>
      </c>
      <c r="P569" s="290">
        <v>341.12</v>
      </c>
      <c r="Q569" s="271">
        <v>341.12</v>
      </c>
      <c r="R569" s="154" t="s">
        <v>188</v>
      </c>
      <c r="S569" s="189" t="s">
        <v>188</v>
      </c>
      <c r="T569" s="308" t="s">
        <v>188</v>
      </c>
      <c r="U569" s="305" t="s">
        <v>188</v>
      </c>
      <c r="V569" s="305" t="s">
        <v>188</v>
      </c>
      <c r="W569" s="306">
        <v>0</v>
      </c>
      <c r="X569" s="271"/>
      <c r="Y569" s="271">
        <v>0</v>
      </c>
      <c r="Z569" s="154"/>
    </row>
  </sheetData>
  <autoFilter xmlns:etc="http://www.wps.cn/officeDocument/2017/etCustomData" ref="A6:AA569" etc:filterBottomFollowUsedRange="0">
    <extLst/>
  </autoFilter>
  <mergeCells count="2">
    <mergeCell ref="A1:Z1"/>
    <mergeCell ref="A2:Z2"/>
  </mergeCells>
  <dataValidations count="6">
    <dataValidation allowBlank="1" showInputMessage="1" showErrorMessage="1" sqref="G3:I3"/>
    <dataValidation type="list" allowBlank="1" showInputMessage="1" showErrorMessage="1" sqref="G531 G570:G1048576">
      <formula1>OFFSET(数据对照表!$A$2,,,COUNTA(数据对照表!A:A)-1,1)</formula1>
    </dataValidation>
    <dataValidation type="list" allowBlank="1" showInputMessage="1" showErrorMessage="1" sqref="R561 R7:R41">
      <formula1>"东,南,西,北,东南,西南,东北,西北"</formula1>
    </dataValidation>
    <dataValidation type="list" allowBlank="1" showInputMessage="1" showErrorMessage="1" sqref="G7:G530 G532:G557">
      <formula1>OFFSET([1]数据对照表!#REF!,,,COUNTA([1]数据对照表!#REF!)-1,1)</formula1>
    </dataValidation>
    <dataValidation type="list" allowBlank="1" showInputMessage="1" showErrorMessage="1" sqref="H7:H1048576">
      <formula1>"已售,未售,自用,出租,不可售"</formula1>
    </dataValidation>
    <dataValidation type="list" allowBlank="1" showInputMessage="1" showErrorMessage="1" sqref="I7:I1048576">
      <formula1>"货币收入,实物及其他收入,视同销售收入"</formula1>
    </dataValidation>
  </dataValidations>
  <printOptions horizontalCentered="1"/>
  <pageMargins left="0.747916666666667" right="0.354166666666667" top="0.984027777777778" bottom="0.984027777777778" header="0.511805555555556" footer="0.511805555555556"/>
  <pageSetup paperSize="9" scale="39" fitToHeight="0" orientation="landscape"/>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pageSetUpPr fitToPage="1"/>
  </sheetPr>
  <dimension ref="A1:AE768"/>
  <sheetViews>
    <sheetView workbookViewId="0">
      <pane xSplit="3" ySplit="7" topLeftCell="Q760" activePane="bottomRight" state="frozen"/>
      <selection/>
      <selection pane="topRight"/>
      <selection pane="bottomLeft"/>
      <selection pane="bottomRight" activeCell="W53" sqref="W53"/>
    </sheetView>
  </sheetViews>
  <sheetFormatPr defaultColWidth="4.8768115942029" defaultRowHeight="15.65"/>
  <cols>
    <col min="1" max="1" width="4.8768115942029" style="134"/>
    <col min="2" max="2" width="8.7536231884058" style="128" customWidth="1"/>
    <col min="3" max="3" width="9.56521739130435" style="128" customWidth="1"/>
    <col min="4" max="4" width="10.0797101449275" style="128" customWidth="1"/>
    <col min="5" max="5" width="7.22463768115942" style="128" customWidth="1"/>
    <col min="6" max="6" width="15.7898550724638" style="128" customWidth="1"/>
    <col min="7" max="7" width="10.9347826086957" style="128" customWidth="1"/>
    <col min="8" max="8" width="25.7463768115942" style="128" customWidth="1"/>
    <col min="9" max="9" width="10.8768115942029" style="128" customWidth="1"/>
    <col min="10" max="10" width="21.0869565217391" style="128" customWidth="1"/>
    <col min="11" max="11" width="10.2173913043478" style="128" customWidth="1"/>
    <col min="12" max="12" width="10.3333333333333" style="128" customWidth="1"/>
    <col min="13" max="13" width="18.5869565217391" style="128" customWidth="1"/>
    <col min="14" max="14" width="14.5652173913043" style="135" customWidth="1"/>
    <col min="15" max="15" width="14.1666666666667" style="135" customWidth="1"/>
    <col min="16" max="16" width="15.0797101449275" style="135" customWidth="1"/>
    <col min="17" max="17" width="14.1666666666667" style="135" customWidth="1"/>
    <col min="18" max="18" width="15.0797101449275" style="135" customWidth="1"/>
    <col min="19" max="19" width="8.6231884057971" style="136" customWidth="1"/>
    <col min="20" max="20" width="15.0797101449275" style="135" customWidth="1"/>
    <col min="21" max="21" width="11.5869565217391" style="128" customWidth="1"/>
    <col min="22" max="22" width="8.7536231884058" style="128" customWidth="1"/>
    <col min="23" max="25" width="14.1666666666667" style="137" customWidth="1"/>
    <col min="26" max="26" width="7.8768115942029" style="128" customWidth="1"/>
    <col min="27" max="28" width="4.8768115942029" style="128"/>
    <col min="29" max="29" width="10.7971014492754" style="128"/>
    <col min="30" max="31" width="10.5" style="128"/>
    <col min="32" max="16384" width="4.8768115942029" style="128"/>
  </cols>
  <sheetData>
    <row r="1" s="128" customFormat="1" ht="23.8" spans="1:28">
      <c r="A1" s="138" t="s">
        <v>2281</v>
      </c>
      <c r="B1" s="138"/>
      <c r="C1" s="138"/>
      <c r="D1" s="138"/>
      <c r="E1" s="138"/>
      <c r="F1" s="138"/>
      <c r="G1" s="138"/>
      <c r="H1" s="138"/>
      <c r="I1" s="138"/>
      <c r="J1" s="138"/>
      <c r="K1" s="138"/>
      <c r="L1" s="138"/>
      <c r="M1" s="138"/>
      <c r="N1" s="138"/>
      <c r="O1" s="138"/>
      <c r="P1" s="138"/>
      <c r="Q1" s="138"/>
      <c r="R1" s="138"/>
      <c r="S1" s="138"/>
      <c r="T1" s="138"/>
      <c r="U1" s="138"/>
      <c r="V1" s="138"/>
      <c r="W1" s="170"/>
      <c r="X1" s="170"/>
      <c r="Y1" s="170"/>
      <c r="Z1" s="138"/>
      <c r="AA1" s="138"/>
      <c r="AB1" s="138"/>
    </row>
    <row r="2" s="129" customFormat="1" ht="15" spans="1:28">
      <c r="A2" s="139" t="str">
        <f>土地增值税税源明细表!F5&amp;"："&amp;土地增值税税源明细表!H5&amp;"          "&amp;土地增值税税源明细表!A5&amp;"："&amp;土地增值税税源明细表!B5&amp;"          "&amp;"金额单位:人民币元(列至角分)"</f>
        <v>项目编码：Z65280120190027          项目名称：沁春锦苑19#、20#、23#、24#楼          金额单位:人民币元(列至角分)</v>
      </c>
      <c r="B2" s="139"/>
      <c r="C2" s="139"/>
      <c r="D2" s="139"/>
      <c r="E2" s="139"/>
      <c r="F2" s="139"/>
      <c r="G2" s="139"/>
      <c r="H2" s="139"/>
      <c r="I2" s="139"/>
      <c r="J2" s="139"/>
      <c r="K2" s="139"/>
      <c r="L2" s="139"/>
      <c r="M2" s="139"/>
      <c r="N2" s="139"/>
      <c r="O2" s="139"/>
      <c r="P2" s="139"/>
      <c r="Q2" s="139"/>
      <c r="R2" s="139"/>
      <c r="S2" s="139"/>
      <c r="T2" s="139"/>
      <c r="U2" s="139"/>
      <c r="V2" s="139"/>
      <c r="W2" s="171"/>
      <c r="X2" s="171"/>
      <c r="Y2" s="171"/>
      <c r="Z2" s="139"/>
      <c r="AA2" s="139"/>
      <c r="AB2" s="139"/>
    </row>
    <row r="3" s="130" customFormat="1" ht="22" customHeight="1" spans="1:28">
      <c r="A3" s="140" t="s">
        <v>33</v>
      </c>
      <c r="B3" s="141" t="s">
        <v>2282</v>
      </c>
      <c r="C3" s="141" t="s">
        <v>2283</v>
      </c>
      <c r="D3" s="142" t="s">
        <v>2284</v>
      </c>
      <c r="E3" s="143" t="s">
        <v>2285</v>
      </c>
      <c r="F3" s="141" t="s">
        <v>2286</v>
      </c>
      <c r="G3" s="141" t="s">
        <v>2287</v>
      </c>
      <c r="H3" s="141" t="s">
        <v>2288</v>
      </c>
      <c r="I3" s="141" t="s">
        <v>2289</v>
      </c>
      <c r="J3" s="141" t="s">
        <v>2290</v>
      </c>
      <c r="K3" s="144" t="s">
        <v>2291</v>
      </c>
      <c r="L3" s="141" t="s">
        <v>2292</v>
      </c>
      <c r="M3" s="141" t="s">
        <v>2293</v>
      </c>
      <c r="N3" s="161" t="s">
        <v>2294</v>
      </c>
      <c r="O3" s="161" t="s">
        <v>2295</v>
      </c>
      <c r="P3" s="161" t="s">
        <v>2296</v>
      </c>
      <c r="Q3" s="161" t="s">
        <v>2297</v>
      </c>
      <c r="R3" s="161" t="s">
        <v>2298</v>
      </c>
      <c r="S3" s="172" t="s">
        <v>2299</v>
      </c>
      <c r="T3" s="161" t="s">
        <v>2300</v>
      </c>
      <c r="U3" s="141" t="s">
        <v>414</v>
      </c>
      <c r="V3" s="141" t="s">
        <v>2301</v>
      </c>
      <c r="W3" s="173" t="s">
        <v>2302</v>
      </c>
      <c r="X3" s="173" t="s">
        <v>2303</v>
      </c>
      <c r="Y3" s="173" t="s">
        <v>2304</v>
      </c>
      <c r="Z3" s="141" t="s">
        <v>2305</v>
      </c>
      <c r="AA3" s="141" t="s">
        <v>2306</v>
      </c>
      <c r="AB3" s="141" t="s">
        <v>2307</v>
      </c>
    </row>
    <row r="4" s="130" customFormat="1" spans="1:31">
      <c r="A4" s="144" t="s">
        <v>415</v>
      </c>
      <c r="B4" s="145" t="s">
        <v>416</v>
      </c>
      <c r="C4" s="145" t="s">
        <v>416</v>
      </c>
      <c r="D4" s="146" t="s">
        <v>416</v>
      </c>
      <c r="E4" s="146" t="s">
        <v>416</v>
      </c>
      <c r="F4" s="145" t="s">
        <v>416</v>
      </c>
      <c r="G4" s="145" t="s">
        <v>416</v>
      </c>
      <c r="H4" s="145" t="s">
        <v>416</v>
      </c>
      <c r="I4" s="145" t="s">
        <v>416</v>
      </c>
      <c r="J4" s="145" t="s">
        <v>416</v>
      </c>
      <c r="K4" s="145" t="s">
        <v>416</v>
      </c>
      <c r="L4" s="145" t="s">
        <v>416</v>
      </c>
      <c r="M4" s="145" t="s">
        <v>416</v>
      </c>
      <c r="N4" s="162">
        <f>SUM(N$7:N$1047746)</f>
        <v>195661217.14</v>
      </c>
      <c r="O4" s="162">
        <f>SUM(O$7:O$1047746)</f>
        <v>210495616.5278</v>
      </c>
      <c r="P4" s="162">
        <f>SUM(P$7:P$1047746)</f>
        <v>198802732.95</v>
      </c>
      <c r="Q4" s="162">
        <f>SUM(Q$7:Q$1047746)</f>
        <v>-9740006.49796672</v>
      </c>
      <c r="R4" s="162">
        <f>SUM(R$7:R$1047746)</f>
        <v>189062726.452033</v>
      </c>
      <c r="S4" s="174">
        <f>IF(R5=0,"",ROUND(T5/R5,6))</f>
        <v>0.762709</v>
      </c>
      <c r="T4" s="162">
        <f>SUM(T$7:T$1047746)</f>
        <v>144199932.39</v>
      </c>
      <c r="U4" s="145" t="s">
        <v>416</v>
      </c>
      <c r="V4" s="145" t="s">
        <v>416</v>
      </c>
      <c r="W4" s="175">
        <f>SUM(W$7:W$1047746)</f>
        <v>67911934.41</v>
      </c>
      <c r="X4" s="175">
        <f>SUM(X$7:X$1047746)</f>
        <v>43249352.69</v>
      </c>
      <c r="Y4" s="175">
        <f>SUM(Y$7:Y$1047746)</f>
        <v>33038645.29</v>
      </c>
      <c r="Z4" s="145" t="s">
        <v>416</v>
      </c>
      <c r="AA4" s="145" t="s">
        <v>416</v>
      </c>
      <c r="AB4" s="145" t="s">
        <v>416</v>
      </c>
      <c r="AC4" s="130">
        <v>67911369.87</v>
      </c>
      <c r="AD4" s="130">
        <v>43248979.19</v>
      </c>
      <c r="AE4" s="130">
        <v>33038417.79</v>
      </c>
    </row>
    <row r="5" s="131" customFormat="1" ht="14" customHeight="1" spans="1:28">
      <c r="A5" s="144" t="s">
        <v>417</v>
      </c>
      <c r="B5" s="145" t="s">
        <v>416</v>
      </c>
      <c r="C5" s="145" t="s">
        <v>416</v>
      </c>
      <c r="D5" s="146" t="s">
        <v>416</v>
      </c>
      <c r="E5" s="146" t="s">
        <v>416</v>
      </c>
      <c r="F5" s="145" t="s">
        <v>416</v>
      </c>
      <c r="G5" s="145" t="s">
        <v>416</v>
      </c>
      <c r="H5" s="145" t="s">
        <v>416</v>
      </c>
      <c r="I5" s="145" t="s">
        <v>416</v>
      </c>
      <c r="J5" s="145" t="s">
        <v>416</v>
      </c>
      <c r="K5" s="145" t="s">
        <v>416</v>
      </c>
      <c r="L5" s="145" t="s">
        <v>416</v>
      </c>
      <c r="M5" s="145" t="s">
        <v>416</v>
      </c>
      <c r="N5" s="162">
        <f>SUBTOTAL(9,N$7:N$1047746)</f>
        <v>195661217.14</v>
      </c>
      <c r="O5" s="162">
        <f>SUBTOTAL(9,O$7:O$1047746)</f>
        <v>210495616.5278</v>
      </c>
      <c r="P5" s="162">
        <f>SUBTOTAL(9,P$7:P$1047746)</f>
        <v>198802732.95</v>
      </c>
      <c r="Q5" s="162">
        <f>SUBTOTAL(9,Q$7:Q$1047746)</f>
        <v>-9740006.49796672</v>
      </c>
      <c r="R5" s="162">
        <f>SUBTOTAL(9,R$7:R$1047746)</f>
        <v>189062726.452033</v>
      </c>
      <c r="S5" s="174" t="str">
        <f>IF(SUM(R6)=0,"",ROUND(SUM(T6)/SUM(R6),6))</f>
        <v/>
      </c>
      <c r="T5" s="162">
        <f>SUBTOTAL(9,T$7:T$1047746)</f>
        <v>144199932.39</v>
      </c>
      <c r="U5" s="145" t="s">
        <v>416</v>
      </c>
      <c r="V5" s="145" t="s">
        <v>416</v>
      </c>
      <c r="W5" s="175">
        <f>SUBTOTAL(9,W$7:W$1047746)</f>
        <v>67911934.41</v>
      </c>
      <c r="X5" s="175">
        <f>SUBTOTAL(9,X$7:X$1047746)</f>
        <v>43249352.69</v>
      </c>
      <c r="Y5" s="175">
        <f>SUBTOTAL(9,Y$7:Y$1047746)</f>
        <v>33038645.29</v>
      </c>
      <c r="Z5" s="145" t="s">
        <v>416</v>
      </c>
      <c r="AA5" s="145" t="s">
        <v>416</v>
      </c>
      <c r="AB5" s="145" t="s">
        <v>416</v>
      </c>
    </row>
    <row r="6" s="20" customFormat="1" spans="1:28">
      <c r="A6" s="147" t="s">
        <v>418</v>
      </c>
      <c r="B6" s="550" t="s">
        <v>38</v>
      </c>
      <c r="C6" s="550" t="s">
        <v>41</v>
      </c>
      <c r="D6" s="551" t="s">
        <v>44</v>
      </c>
      <c r="E6" s="551" t="s">
        <v>47</v>
      </c>
      <c r="F6" s="550" t="s">
        <v>92</v>
      </c>
      <c r="G6" s="550" t="s">
        <v>97</v>
      </c>
      <c r="H6" s="550" t="s">
        <v>100</v>
      </c>
      <c r="I6" s="550" t="s">
        <v>105</v>
      </c>
      <c r="J6" s="550" t="s">
        <v>109</v>
      </c>
      <c r="K6" s="550" t="s">
        <v>112</v>
      </c>
      <c r="L6" s="550" t="s">
        <v>115</v>
      </c>
      <c r="M6" s="550" t="s">
        <v>118</v>
      </c>
      <c r="N6" s="535" t="s">
        <v>121</v>
      </c>
      <c r="O6" s="535" t="s">
        <v>124</v>
      </c>
      <c r="P6" s="164">
        <v>15</v>
      </c>
      <c r="Q6" s="535" t="s">
        <v>131</v>
      </c>
      <c r="R6" s="535" t="s">
        <v>2308</v>
      </c>
      <c r="S6" s="552" t="s">
        <v>357</v>
      </c>
      <c r="T6" s="535" t="s">
        <v>2309</v>
      </c>
      <c r="U6" s="550" t="s">
        <v>361</v>
      </c>
      <c r="V6" s="550" t="s">
        <v>421</v>
      </c>
      <c r="W6" s="553" t="s">
        <v>363</v>
      </c>
      <c r="X6" s="553" t="s">
        <v>2310</v>
      </c>
      <c r="Y6" s="553" t="s">
        <v>499</v>
      </c>
      <c r="Z6" s="550" t="s">
        <v>425</v>
      </c>
      <c r="AA6" s="550" t="s">
        <v>506</v>
      </c>
      <c r="AB6" s="550" t="s">
        <v>510</v>
      </c>
    </row>
    <row r="7" s="132" customFormat="1" ht="24" customHeight="1" spans="1:31">
      <c r="A7" s="150">
        <v>1</v>
      </c>
      <c r="B7" s="151">
        <v>43131</v>
      </c>
      <c r="C7" s="152" t="s">
        <v>2311</v>
      </c>
      <c r="D7" s="153" t="s">
        <v>2312</v>
      </c>
      <c r="E7" s="154" t="s">
        <v>2313</v>
      </c>
      <c r="F7" s="155" t="s">
        <v>2314</v>
      </c>
      <c r="G7" s="156" t="s">
        <v>2315</v>
      </c>
      <c r="H7" s="157" t="str">
        <f>IF(G7="","",VLOOKUP(G7,'附表8-合同明细采集底稿'!B:I,2,0))</f>
        <v>巴州建新公路维护有限公司</v>
      </c>
      <c r="I7" s="165" t="str">
        <f>IF(G7="","",VLOOKUP(G7,'附表8-合同明细采集底稿'!B:I,3,0))</f>
        <v>产权转移书据</v>
      </c>
      <c r="J7" s="154" t="s">
        <v>2316</v>
      </c>
      <c r="K7" s="157" t="s">
        <v>2317</v>
      </c>
      <c r="L7" s="166"/>
      <c r="M7" s="155"/>
      <c r="N7" s="167">
        <v>500000</v>
      </c>
      <c r="O7" s="167">
        <v>500000</v>
      </c>
      <c r="P7" s="167">
        <v>500000</v>
      </c>
      <c r="Q7" s="167"/>
      <c r="R7" s="167">
        <v>500000</v>
      </c>
      <c r="S7" s="178">
        <f>IFERROR(VLOOKUP(G7,'附表8-合同明细采集底稿'!B:N,12,0),100%)</f>
        <v>0.338555832480367</v>
      </c>
      <c r="T7" s="167">
        <f>ROUND(SUM(R7)*SUM(S7),2)</f>
        <v>169277.92</v>
      </c>
      <c r="U7" s="157" t="s">
        <v>2318</v>
      </c>
      <c r="V7" s="179" t="s">
        <v>375</v>
      </c>
      <c r="W7" s="180">
        <f>IF('附表1-面积统计表'!$D$29=0,"",IF(AND(V7="共同成本费用",Z7="总建筑面积法"),ROUND(T7/'附表1-面积统计表'!$D$29*'附表1-面积统计表'!$D$5,2),IF(AND(V7="共同成本费用",Z7="可售建筑面积法"),ROUND(T7/'附表1-面积统计表'!$F$29*'附表1-面积统计表'!$F$5,2),"请手工填写")))</f>
        <v>82008.9</v>
      </c>
      <c r="X7" s="180">
        <f>IF(SUM('附表1-面积统计表'!$D$6)=0,"",SUM(T7)-SUM(W7)-SUM(Y7))</f>
        <v>54259.35</v>
      </c>
      <c r="Y7" s="180">
        <f>IF(SUM('附表1-面积统计表'!$D$6)=0,SUM(T7)-SUM(W7),IF('附表1-面积统计表'!$D$29=0,"",IF(AND(V7="共同成本费用",Z7="总建筑面积法"),ROUND(T7/'附表1-面积统计表'!$D$29*'附表1-面积统计表'!$D$7,2),IF(AND(V7="共同成本费用",Z7="可售建筑面积法"),ROUND(T7/'附表1-面积统计表'!$F$29*'附表1-面积统计表'!$F$7,2),"请手工填写"))))</f>
        <v>33009.67</v>
      </c>
      <c r="Z7" s="183" t="s">
        <v>351</v>
      </c>
      <c r="AA7" s="157"/>
      <c r="AB7" s="184" t="s">
        <v>2319</v>
      </c>
      <c r="AC7" s="132">
        <f>W4-AC4</f>
        <v>564.540000021458</v>
      </c>
      <c r="AD7" s="132">
        <f>X4-AD4</f>
        <v>373.500000007451</v>
      </c>
      <c r="AE7" s="132">
        <f>Y4-AE4</f>
        <v>227.499999996275</v>
      </c>
    </row>
    <row r="8" s="132" customFormat="1" ht="24" customHeight="1" spans="1:29">
      <c r="A8" s="150">
        <v>2</v>
      </c>
      <c r="B8" s="151">
        <v>43131</v>
      </c>
      <c r="C8" s="152" t="s">
        <v>2311</v>
      </c>
      <c r="D8" s="153" t="s">
        <v>2312</v>
      </c>
      <c r="E8" s="154" t="s">
        <v>2313</v>
      </c>
      <c r="F8" s="155" t="s">
        <v>2320</v>
      </c>
      <c r="G8" s="156"/>
      <c r="H8" s="157" t="str">
        <f>IF(G8="","",VLOOKUP(G8,'附表8-合同明细采集底稿'!B:I,2,0))</f>
        <v/>
      </c>
      <c r="I8" s="165" t="str">
        <f>IF(G8="","",VLOOKUP(G8,'附表8-合同明细采集底稿'!B:I,3,0))</f>
        <v/>
      </c>
      <c r="J8" s="154" t="s">
        <v>2321</v>
      </c>
      <c r="K8" s="157" t="s">
        <v>2317</v>
      </c>
      <c r="L8" s="166"/>
      <c r="M8" s="155"/>
      <c r="N8" s="167">
        <v>200000</v>
      </c>
      <c r="O8" s="167">
        <v>200000</v>
      </c>
      <c r="P8" s="167">
        <v>200000</v>
      </c>
      <c r="Q8" s="167">
        <v>-200000</v>
      </c>
      <c r="R8" s="167">
        <v>0</v>
      </c>
      <c r="S8" s="178">
        <v>0.3567</v>
      </c>
      <c r="T8" s="167">
        <f t="shared" ref="T8:T39" si="0">ROUND(SUM(R8)*SUM(S8),2)</f>
        <v>0</v>
      </c>
      <c r="U8" s="157" t="s">
        <v>2322</v>
      </c>
      <c r="V8" s="179" t="s">
        <v>375</v>
      </c>
      <c r="W8" s="180">
        <f>IF('附表1-面积统计表'!$D$29=0,"",IF(AND(V8="共同成本费用",Z8="总建筑面积法"),ROUND(T8/'附表1-面积统计表'!$D$29*'附表1-面积统计表'!$D$5,2),IF(AND(V8="共同成本费用",Z8="可售建筑面积法"),ROUND(T8/'附表1-面积统计表'!$F$29*'附表1-面积统计表'!$F$5,2),"请手工填写")))</f>
        <v>0</v>
      </c>
      <c r="X8" s="180">
        <f>IF(SUM('附表1-面积统计表'!$D$6)=0,"",SUM(T8)-SUM(W8)-SUM(Y8))</f>
        <v>0</v>
      </c>
      <c r="Y8" s="180">
        <f>IF(SUM('附表1-面积统计表'!$D$6)=0,SUM(T8)-SUM(W8),IF('附表1-面积统计表'!$D$29=0,"",IF(AND(V8="共同成本费用",Z8="总建筑面积法"),ROUND(T8/'附表1-面积统计表'!$D$29*'附表1-面积统计表'!$D$7,2),IF(AND(V8="共同成本费用",Z8="可售建筑面积法"),ROUND(T8/'附表1-面积统计表'!$F$29*'附表1-面积统计表'!$F$7,2),"请手工填写"))))</f>
        <v>0</v>
      </c>
      <c r="Z8" s="183" t="s">
        <v>351</v>
      </c>
      <c r="AA8" s="157"/>
      <c r="AB8" s="184" t="s">
        <v>2319</v>
      </c>
      <c r="AC8" s="132">
        <f t="shared" ref="AC8:AC71" si="1">T8-W8-X8-Y8</f>
        <v>0</v>
      </c>
    </row>
    <row r="9" s="132" customFormat="1" ht="24" customHeight="1" spans="1:29">
      <c r="A9" s="150">
        <v>3</v>
      </c>
      <c r="B9" s="151">
        <v>43131</v>
      </c>
      <c r="C9" s="152" t="s">
        <v>2311</v>
      </c>
      <c r="D9" s="153" t="s">
        <v>2312</v>
      </c>
      <c r="E9" s="154" t="s">
        <v>2313</v>
      </c>
      <c r="F9" s="155" t="s">
        <v>2323</v>
      </c>
      <c r="G9" s="156" t="s">
        <v>2315</v>
      </c>
      <c r="H9" s="157" t="str">
        <f>IF(G9="","",VLOOKUP(G9,'附表8-合同明细采集底稿'!B:I,2,0))</f>
        <v>巴州建新公路维护有限公司</v>
      </c>
      <c r="I9" s="165" t="str">
        <f>IF(G9="","",VLOOKUP(G9,'附表8-合同明细采集底稿'!B:I,3,0))</f>
        <v>产权转移书据</v>
      </c>
      <c r="J9" s="154" t="s">
        <v>2316</v>
      </c>
      <c r="K9" s="157" t="s">
        <v>2317</v>
      </c>
      <c r="L9" s="166"/>
      <c r="M9" s="155"/>
      <c r="N9" s="167">
        <v>500000</v>
      </c>
      <c r="O9" s="167">
        <v>500000</v>
      </c>
      <c r="P9" s="167">
        <v>500000</v>
      </c>
      <c r="Q9" s="167"/>
      <c r="R9" s="167">
        <v>500000</v>
      </c>
      <c r="S9" s="178">
        <f>IFERROR(VLOOKUP(G9,'附表8-合同明细采集底稿'!B:N,12,0),100%)</f>
        <v>0.338555832480367</v>
      </c>
      <c r="T9" s="167">
        <f t="shared" si="0"/>
        <v>169277.92</v>
      </c>
      <c r="U9" s="157" t="s">
        <v>2318</v>
      </c>
      <c r="V9" s="179" t="s">
        <v>375</v>
      </c>
      <c r="W9" s="180">
        <f>IF('附表1-面积统计表'!$D$29=0,"",IF(AND(V9="共同成本费用",Z9="总建筑面积法"),ROUND(T9/'附表1-面积统计表'!$D$29*'附表1-面积统计表'!$D$5,2),IF(AND(V9="共同成本费用",Z9="可售建筑面积法"),ROUND(T9/'附表1-面积统计表'!$F$29*'附表1-面积统计表'!$F$5,2),"请手工填写")))</f>
        <v>82008.9</v>
      </c>
      <c r="X9" s="180">
        <f>IF(SUM('附表1-面积统计表'!$D$6)=0,"",SUM(T9)-SUM(W9)-SUM(Y9))</f>
        <v>54259.35</v>
      </c>
      <c r="Y9" s="180">
        <f>IF(SUM('附表1-面积统计表'!$D$6)=0,SUM(T9)-SUM(W9),IF('附表1-面积统计表'!$D$29=0,"",IF(AND(V9="共同成本费用",Z9="总建筑面积法"),ROUND(T9/'附表1-面积统计表'!$D$29*'附表1-面积统计表'!$D$7,2),IF(AND(V9="共同成本费用",Z9="可售建筑面积法"),ROUND(T9/'附表1-面积统计表'!$F$29*'附表1-面积统计表'!$F$7,2),"请手工填写"))))</f>
        <v>33009.67</v>
      </c>
      <c r="Z9" s="183" t="s">
        <v>351</v>
      </c>
      <c r="AA9" s="157"/>
      <c r="AB9" s="184" t="s">
        <v>2319</v>
      </c>
      <c r="AC9" s="132">
        <f t="shared" si="1"/>
        <v>0</v>
      </c>
    </row>
    <row r="10" s="132" customFormat="1" ht="24" customHeight="1" spans="1:29">
      <c r="A10" s="150">
        <v>4</v>
      </c>
      <c r="B10" s="151">
        <v>43131</v>
      </c>
      <c r="C10" s="152" t="s">
        <v>2311</v>
      </c>
      <c r="D10" s="153" t="s">
        <v>2312</v>
      </c>
      <c r="E10" s="154" t="s">
        <v>2313</v>
      </c>
      <c r="F10" s="155" t="s">
        <v>2324</v>
      </c>
      <c r="G10" s="156"/>
      <c r="H10" s="157" t="str">
        <f>IF(G10="","",VLOOKUP(G10,'附表8-合同明细采集底稿'!B:I,2,0))</f>
        <v/>
      </c>
      <c r="I10" s="165" t="str">
        <f>IF(G10="","",VLOOKUP(G10,'附表8-合同明细采集底稿'!B:I,3,0))</f>
        <v/>
      </c>
      <c r="J10" s="154" t="s">
        <v>2325</v>
      </c>
      <c r="K10" s="157" t="s">
        <v>2317</v>
      </c>
      <c r="L10" s="166"/>
      <c r="M10" s="155"/>
      <c r="N10" s="167">
        <v>100833</v>
      </c>
      <c r="O10" s="167">
        <v>100833</v>
      </c>
      <c r="P10" s="167">
        <v>100833</v>
      </c>
      <c r="Q10" s="167">
        <v>-100833</v>
      </c>
      <c r="R10" s="167">
        <v>0</v>
      </c>
      <c r="S10" s="178">
        <v>0.3567</v>
      </c>
      <c r="T10" s="167">
        <f t="shared" si="0"/>
        <v>0</v>
      </c>
      <c r="U10" s="157" t="s">
        <v>2318</v>
      </c>
      <c r="V10" s="179" t="s">
        <v>375</v>
      </c>
      <c r="W10" s="180">
        <f>IF('附表1-面积统计表'!$D$29=0,"",IF(AND(V10="共同成本费用",Z10="总建筑面积法"),ROUND(T10/'附表1-面积统计表'!$D$29*'附表1-面积统计表'!$D$5,2),IF(AND(V10="共同成本费用",Z10="可售建筑面积法"),ROUND(T10/'附表1-面积统计表'!$F$29*'附表1-面积统计表'!$F$5,2),"请手工填写")))</f>
        <v>0</v>
      </c>
      <c r="X10" s="180">
        <f>IF(SUM('附表1-面积统计表'!$D$6)=0,"",SUM(T10)-SUM(W10)-SUM(Y10))</f>
        <v>0</v>
      </c>
      <c r="Y10" s="180">
        <f>IF(SUM('附表1-面积统计表'!$D$6)=0,SUM(T10)-SUM(W10),IF('附表1-面积统计表'!$D$29=0,"",IF(AND(V10="共同成本费用",Z10="总建筑面积法"),ROUND(T10/'附表1-面积统计表'!$D$29*'附表1-面积统计表'!$D$7,2),IF(AND(V10="共同成本费用",Z10="可售建筑面积法"),ROUND(T10/'附表1-面积统计表'!$F$29*'附表1-面积统计表'!$F$7,2),"请手工填写"))))</f>
        <v>0</v>
      </c>
      <c r="Z10" s="183" t="s">
        <v>351</v>
      </c>
      <c r="AA10" s="157"/>
      <c r="AB10" s="184" t="s">
        <v>2319</v>
      </c>
      <c r="AC10" s="132">
        <f t="shared" si="1"/>
        <v>0</v>
      </c>
    </row>
    <row r="11" s="132" customFormat="1" ht="24" customHeight="1" spans="1:29">
      <c r="A11" s="150">
        <v>5</v>
      </c>
      <c r="B11" s="151">
        <v>43131</v>
      </c>
      <c r="C11" s="152" t="s">
        <v>2311</v>
      </c>
      <c r="D11" s="153" t="s">
        <v>2312</v>
      </c>
      <c r="E11" s="154" t="s">
        <v>2313</v>
      </c>
      <c r="F11" s="155" t="s">
        <v>2326</v>
      </c>
      <c r="G11" s="156"/>
      <c r="H11" s="157" t="str">
        <f>IF(G11="","",VLOOKUP(G11,'附表8-合同明细采集底稿'!B:I,2,0))</f>
        <v/>
      </c>
      <c r="I11" s="165" t="str">
        <f>IF(G11="","",VLOOKUP(G11,'附表8-合同明细采集底稿'!B:I,3,0))</f>
        <v/>
      </c>
      <c r="J11" s="154" t="s">
        <v>2321</v>
      </c>
      <c r="K11" s="157" t="s">
        <v>2317</v>
      </c>
      <c r="L11" s="166"/>
      <c r="M11" s="155"/>
      <c r="N11" s="167">
        <v>63894</v>
      </c>
      <c r="O11" s="167">
        <v>63894</v>
      </c>
      <c r="P11" s="167">
        <v>63894</v>
      </c>
      <c r="Q11" s="167">
        <v>-63894</v>
      </c>
      <c r="R11" s="167">
        <v>0</v>
      </c>
      <c r="S11" s="178">
        <v>0.3567</v>
      </c>
      <c r="T11" s="167">
        <f t="shared" si="0"/>
        <v>0</v>
      </c>
      <c r="U11" s="157" t="s">
        <v>2322</v>
      </c>
      <c r="V11" s="179" t="s">
        <v>375</v>
      </c>
      <c r="W11" s="180">
        <f>IF('附表1-面积统计表'!$D$29=0,"",IF(AND(V11="共同成本费用",Z11="总建筑面积法"),ROUND(T11/'附表1-面积统计表'!$D$29*'附表1-面积统计表'!$D$5,2),IF(AND(V11="共同成本费用",Z11="可售建筑面积法"),ROUND(T11/'附表1-面积统计表'!$F$29*'附表1-面积统计表'!$F$5,2),"请手工填写")))</f>
        <v>0</v>
      </c>
      <c r="X11" s="180">
        <f>IF(SUM('附表1-面积统计表'!$D$6)=0,"",SUM(T11)-SUM(W11)-SUM(Y11))</f>
        <v>0</v>
      </c>
      <c r="Y11" s="180">
        <f>IF(SUM('附表1-面积统计表'!$D$6)=0,SUM(T11)-SUM(W11),IF('附表1-面积统计表'!$D$29=0,"",IF(AND(V11="共同成本费用",Z11="总建筑面积法"),ROUND(T11/'附表1-面积统计表'!$D$29*'附表1-面积统计表'!$D$7,2),IF(AND(V11="共同成本费用",Z11="可售建筑面积法"),ROUND(T11/'附表1-面积统计表'!$F$29*'附表1-面积统计表'!$F$7,2),"请手工填写"))))</f>
        <v>0</v>
      </c>
      <c r="Z11" s="183" t="s">
        <v>351</v>
      </c>
      <c r="AA11" s="157"/>
      <c r="AB11" s="184" t="s">
        <v>2319</v>
      </c>
      <c r="AC11" s="132">
        <f t="shared" si="1"/>
        <v>0</v>
      </c>
    </row>
    <row r="12" s="132" customFormat="1" ht="24" customHeight="1" spans="1:29">
      <c r="A12" s="150">
        <v>6</v>
      </c>
      <c r="B12" s="151">
        <v>43131</v>
      </c>
      <c r="C12" s="152" t="s">
        <v>2311</v>
      </c>
      <c r="D12" s="153" t="s">
        <v>2312</v>
      </c>
      <c r="E12" s="154" t="s">
        <v>2313</v>
      </c>
      <c r="F12" s="155" t="s">
        <v>2327</v>
      </c>
      <c r="G12" s="156" t="s">
        <v>2315</v>
      </c>
      <c r="H12" s="157" t="str">
        <f>IF(G12="","",VLOOKUP(G12,'附表8-合同明细采集底稿'!B:I,2,0))</f>
        <v>巴州建新公路维护有限公司</v>
      </c>
      <c r="I12" s="165" t="str">
        <f>IF(G12="","",VLOOKUP(G12,'附表8-合同明细采集底稿'!B:I,3,0))</f>
        <v>产权转移书据</v>
      </c>
      <c r="J12" s="154" t="s">
        <v>2316</v>
      </c>
      <c r="K12" s="157" t="s">
        <v>2317</v>
      </c>
      <c r="L12" s="166"/>
      <c r="M12" s="155"/>
      <c r="N12" s="167">
        <v>1730000</v>
      </c>
      <c r="O12" s="167">
        <v>1730000</v>
      </c>
      <c r="P12" s="167">
        <v>1730000</v>
      </c>
      <c r="Q12" s="167"/>
      <c r="R12" s="167">
        <v>1730000</v>
      </c>
      <c r="S12" s="178">
        <f>IFERROR(VLOOKUP(G12,'附表8-合同明细采集底稿'!B:N,12,0),100%)</f>
        <v>0.338555832480367</v>
      </c>
      <c r="T12" s="167">
        <f t="shared" si="0"/>
        <v>585701.59</v>
      </c>
      <c r="U12" s="157" t="s">
        <v>2318</v>
      </c>
      <c r="V12" s="179" t="s">
        <v>375</v>
      </c>
      <c r="W12" s="180">
        <f>IF('附表1-面积统计表'!$D$29=0,"",IF(AND(V12="共同成本费用",Z12="总建筑面积法"),ROUND(T12/'附表1-面积统计表'!$D$29*'附表1-面积统计表'!$D$5,2),IF(AND(V12="共同成本费用",Z12="可售建筑面积法"),ROUND(T12/'附表1-面积统计表'!$F$29*'附表1-面积统计表'!$F$5,2),"请手工填写")))</f>
        <v>283750.79</v>
      </c>
      <c r="X12" s="180">
        <f>IF(SUM('附表1-面积统计表'!$D$6)=0,"",SUM(T12)-SUM(W12)-SUM(Y12))</f>
        <v>187737.34</v>
      </c>
      <c r="Y12" s="180">
        <f>IF(SUM('附表1-面积统计表'!$D$6)=0,SUM(T12)-SUM(W12),IF('附表1-面积统计表'!$D$29=0,"",IF(AND(V12="共同成本费用",Z12="总建筑面积法"),ROUND(T12/'附表1-面积统计表'!$D$29*'附表1-面积统计表'!$D$7,2),IF(AND(V12="共同成本费用",Z12="可售建筑面积法"),ROUND(T12/'附表1-面积统计表'!$F$29*'附表1-面积统计表'!$F$7,2),"请手工填写"))))</f>
        <v>114213.46</v>
      </c>
      <c r="Z12" s="183" t="s">
        <v>351</v>
      </c>
      <c r="AA12" s="157"/>
      <c r="AB12" s="184" t="s">
        <v>2319</v>
      </c>
      <c r="AC12" s="132">
        <f t="shared" si="1"/>
        <v>0</v>
      </c>
    </row>
    <row r="13" s="132" customFormat="1" ht="24" customHeight="1" spans="1:29">
      <c r="A13" s="150">
        <v>7</v>
      </c>
      <c r="B13" s="151">
        <v>43131</v>
      </c>
      <c r="C13" s="152" t="s">
        <v>2311</v>
      </c>
      <c r="D13" s="153" t="s">
        <v>2312</v>
      </c>
      <c r="E13" s="154" t="s">
        <v>2313</v>
      </c>
      <c r="F13" s="155" t="s">
        <v>2328</v>
      </c>
      <c r="G13" s="156" t="s">
        <v>2315</v>
      </c>
      <c r="H13" s="157" t="str">
        <f>IF(G13="","",VLOOKUP(G13,'附表8-合同明细采集底稿'!B:I,2,0))</f>
        <v>巴州建新公路维护有限公司</v>
      </c>
      <c r="I13" s="165" t="str">
        <f>IF(G13="","",VLOOKUP(G13,'附表8-合同明细采集底稿'!B:I,3,0))</f>
        <v>产权转移书据</v>
      </c>
      <c r="J13" s="154" t="s">
        <v>2316</v>
      </c>
      <c r="K13" s="157" t="s">
        <v>2317</v>
      </c>
      <c r="L13" s="166"/>
      <c r="M13" s="155"/>
      <c r="N13" s="167">
        <v>1230000</v>
      </c>
      <c r="O13" s="167">
        <v>1230000</v>
      </c>
      <c r="P13" s="167">
        <v>1230000</v>
      </c>
      <c r="Q13" s="167"/>
      <c r="R13" s="167">
        <v>1230000</v>
      </c>
      <c r="S13" s="178">
        <f>IFERROR(VLOOKUP(G13,'附表8-合同明细采集底稿'!B:N,12,0),100%)</f>
        <v>0.338555832480367</v>
      </c>
      <c r="T13" s="167">
        <f t="shared" si="0"/>
        <v>416423.67</v>
      </c>
      <c r="U13" s="157" t="s">
        <v>2318</v>
      </c>
      <c r="V13" s="179" t="s">
        <v>375</v>
      </c>
      <c r="W13" s="180">
        <f>IF('附表1-面积统计表'!$D$29=0,"",IF(AND(V13="共同成本费用",Z13="总建筑面积法"),ROUND(T13/'附表1-面积统计表'!$D$29*'附表1-面积统计表'!$D$5,2),IF(AND(V13="共同成本费用",Z13="可售建筑面积法"),ROUND(T13/'附表1-面积统计表'!$F$29*'附表1-面积统计表'!$F$5,2),"请手工填写")))</f>
        <v>201741.89</v>
      </c>
      <c r="X13" s="180">
        <f>IF(SUM('附表1-面积统计表'!$D$6)=0,"",SUM(T13)-SUM(W13)-SUM(Y13))</f>
        <v>133477.99</v>
      </c>
      <c r="Y13" s="180">
        <f>IF(SUM('附表1-面积统计表'!$D$6)=0,SUM(T13)-SUM(W13),IF('附表1-面积统计表'!$D$29=0,"",IF(AND(V13="共同成本费用",Z13="总建筑面积法"),ROUND(T13/'附表1-面积统计表'!$D$29*'附表1-面积统计表'!$D$7,2),IF(AND(V13="共同成本费用",Z13="可售建筑面积法"),ROUND(T13/'附表1-面积统计表'!$F$29*'附表1-面积统计表'!$F$7,2),"请手工填写"))))</f>
        <v>81203.79</v>
      </c>
      <c r="Z13" s="183" t="s">
        <v>351</v>
      </c>
      <c r="AA13" s="157"/>
      <c r="AB13" s="184" t="s">
        <v>2319</v>
      </c>
      <c r="AC13" s="132">
        <f t="shared" si="1"/>
        <v>0</v>
      </c>
    </row>
    <row r="14" s="132" customFormat="1" ht="24" customHeight="1" spans="1:29">
      <c r="A14" s="150">
        <v>8</v>
      </c>
      <c r="B14" s="151">
        <v>43131</v>
      </c>
      <c r="C14" s="152" t="s">
        <v>2311</v>
      </c>
      <c r="D14" s="153" t="s">
        <v>2312</v>
      </c>
      <c r="E14" s="154" t="s">
        <v>2313</v>
      </c>
      <c r="F14" s="155" t="s">
        <v>2329</v>
      </c>
      <c r="G14" s="156" t="s">
        <v>2315</v>
      </c>
      <c r="H14" s="157" t="str">
        <f>IF(G14="","",VLOOKUP(G14,'附表8-合同明细采集底稿'!B:I,2,0))</f>
        <v>巴州建新公路维护有限公司</v>
      </c>
      <c r="I14" s="165" t="str">
        <f>IF(G14="","",VLOOKUP(G14,'附表8-合同明细采集底稿'!B:I,3,0))</f>
        <v>产权转移书据</v>
      </c>
      <c r="J14" s="154" t="s">
        <v>2316</v>
      </c>
      <c r="K14" s="157" t="s">
        <v>2317</v>
      </c>
      <c r="L14" s="166"/>
      <c r="M14" s="155"/>
      <c r="N14" s="167">
        <v>215553.55</v>
      </c>
      <c r="O14" s="167">
        <v>215553.55</v>
      </c>
      <c r="P14" s="167">
        <v>215553.55</v>
      </c>
      <c r="Q14" s="167">
        <v>-96753.55</v>
      </c>
      <c r="R14" s="167">
        <v>118800</v>
      </c>
      <c r="S14" s="178">
        <f>IFERROR(VLOOKUP(G14,'附表8-合同明细采集底稿'!B:N,12,0),100%)</f>
        <v>0.338555832480367</v>
      </c>
      <c r="T14" s="167">
        <f t="shared" si="0"/>
        <v>40220.43</v>
      </c>
      <c r="U14" s="157" t="s">
        <v>2318</v>
      </c>
      <c r="V14" s="179" t="s">
        <v>375</v>
      </c>
      <c r="W14" s="180">
        <f>IF('附表1-面积统计表'!$D$29=0,"",IF(AND(V14="共同成本费用",Z14="总建筑面积法"),ROUND(T14/'附表1-面积统计表'!$D$29*'附表1-面积统计表'!$D$5,2),IF(AND(V14="共同成本费用",Z14="可售建筑面积法"),ROUND(T14/'附表1-面积统计表'!$F$29*'附表1-面积统计表'!$F$5,2),"请手工填写")))</f>
        <v>19485.31</v>
      </c>
      <c r="X14" s="180">
        <f>IF(SUM('附表1-面积统计表'!$D$6)=0,"",SUM(T14)-SUM(W14)-SUM(Y14))</f>
        <v>12892.02</v>
      </c>
      <c r="Y14" s="180">
        <f>IF(SUM('附表1-面积统计表'!$D$6)=0,SUM(T14)-SUM(W14),IF('附表1-面积统计表'!$D$29=0,"",IF(AND(V14="共同成本费用",Z14="总建筑面积法"),ROUND(T14/'附表1-面积统计表'!$D$29*'附表1-面积统计表'!$D$7,2),IF(AND(V14="共同成本费用",Z14="可售建筑面积法"),ROUND(T14/'附表1-面积统计表'!$F$29*'附表1-面积统计表'!$F$7,2),"请手工填写"))))</f>
        <v>7843.1</v>
      </c>
      <c r="Z14" s="183" t="s">
        <v>351</v>
      </c>
      <c r="AA14" s="157"/>
      <c r="AB14" s="184" t="s">
        <v>2319</v>
      </c>
      <c r="AC14" s="132">
        <f t="shared" si="1"/>
        <v>0</v>
      </c>
    </row>
    <row r="15" s="132" customFormat="1" ht="24" customHeight="1" spans="1:29">
      <c r="A15" s="150">
        <v>9</v>
      </c>
      <c r="B15" s="151">
        <v>43283</v>
      </c>
      <c r="C15" s="152" t="s">
        <v>2330</v>
      </c>
      <c r="D15" s="157" t="s">
        <v>2331</v>
      </c>
      <c r="E15" s="158" t="s">
        <v>2332</v>
      </c>
      <c r="F15" s="155" t="s">
        <v>2333</v>
      </c>
      <c r="G15" s="156"/>
      <c r="H15" s="157" t="str">
        <f>IF(G15="","",VLOOKUP(G15,'附表8-合同明细采集底稿'!B:I,2,0))</f>
        <v/>
      </c>
      <c r="I15" s="165" t="str">
        <f>IF(G15="","",VLOOKUP(G15,'附表8-合同明细采集底稿'!B:I,3,0))</f>
        <v/>
      </c>
      <c r="J15" s="154" t="s">
        <v>2334</v>
      </c>
      <c r="K15" s="157" t="s">
        <v>2335</v>
      </c>
      <c r="L15" s="168" t="s">
        <v>2336</v>
      </c>
      <c r="M15" s="155" t="s">
        <v>2337</v>
      </c>
      <c r="N15" s="167">
        <v>20000</v>
      </c>
      <c r="O15" s="167">
        <v>20000</v>
      </c>
      <c r="P15" s="167">
        <v>20000</v>
      </c>
      <c r="Q15" s="167"/>
      <c r="R15" s="167">
        <v>20000</v>
      </c>
      <c r="S15" s="178">
        <v>0.338555832480367</v>
      </c>
      <c r="T15" s="167">
        <f t="shared" si="0"/>
        <v>6771.12</v>
      </c>
      <c r="U15" s="157" t="s">
        <v>2318</v>
      </c>
      <c r="V15" s="179" t="s">
        <v>375</v>
      </c>
      <c r="W15" s="180">
        <f>IF('附表1-面积统计表'!$D$29=0,"",IF(AND(V15="共同成本费用",Z15="总建筑面积法"),ROUND(T15/'附表1-面积统计表'!$D$29*'附表1-面积统计表'!$D$5,2),IF(AND(V15="共同成本费用",Z15="可售建筑面积法"),ROUND(T15/'附表1-面积统计表'!$F$29*'附表1-面积统计表'!$F$5,2),"请手工填写")))</f>
        <v>3280.36</v>
      </c>
      <c r="X15" s="180">
        <f>IF(SUM('附表1-面积统计表'!$D$6)=0,"",SUM(T15)-SUM(W15)-SUM(Y15))</f>
        <v>2170.37</v>
      </c>
      <c r="Y15" s="180">
        <f>IF(SUM('附表1-面积统计表'!$D$6)=0,SUM(T15)-SUM(W15),IF('附表1-面积统计表'!$D$29=0,"",IF(AND(V15="共同成本费用",Z15="总建筑面积法"),ROUND(T15/'附表1-面积统计表'!$D$29*'附表1-面积统计表'!$D$7,2),IF(AND(V15="共同成本费用",Z15="可售建筑面积法"),ROUND(T15/'附表1-面积统计表'!$F$29*'附表1-面积统计表'!$F$7,2),"请手工填写"))))</f>
        <v>1320.39</v>
      </c>
      <c r="Z15" s="183" t="s">
        <v>351</v>
      </c>
      <c r="AA15" s="157"/>
      <c r="AB15" s="184" t="s">
        <v>2319</v>
      </c>
      <c r="AC15" s="132">
        <f t="shared" si="1"/>
        <v>0</v>
      </c>
    </row>
    <row r="16" s="132" customFormat="1" ht="24" customHeight="1" spans="1:29">
      <c r="A16" s="150">
        <v>10</v>
      </c>
      <c r="B16" s="151">
        <v>43285</v>
      </c>
      <c r="C16" s="152" t="s">
        <v>2338</v>
      </c>
      <c r="D16" s="157" t="s">
        <v>2339</v>
      </c>
      <c r="E16" s="158" t="s">
        <v>2340</v>
      </c>
      <c r="F16" s="155" t="s">
        <v>2341</v>
      </c>
      <c r="G16" s="156"/>
      <c r="H16" s="157" t="str">
        <f>IF(G16="","",VLOOKUP(G16,'附表8-合同明细采集底稿'!B:I,2,0))</f>
        <v/>
      </c>
      <c r="I16" s="165" t="str">
        <f>IF(G16="","",VLOOKUP(G16,'附表8-合同明细采集底稿'!B:I,3,0))</f>
        <v/>
      </c>
      <c r="J16" s="154" t="s">
        <v>2342</v>
      </c>
      <c r="K16" s="157" t="s">
        <v>2335</v>
      </c>
      <c r="L16" s="168" t="s">
        <v>2336</v>
      </c>
      <c r="M16" s="155" t="s">
        <v>2343</v>
      </c>
      <c r="N16" s="167">
        <v>7200</v>
      </c>
      <c r="O16" s="167">
        <v>7200</v>
      </c>
      <c r="P16" s="167">
        <v>7200</v>
      </c>
      <c r="Q16" s="167">
        <v>-7200</v>
      </c>
      <c r="R16" s="167">
        <f>P16+Q16</f>
        <v>0</v>
      </c>
      <c r="S16" s="178">
        <v>1</v>
      </c>
      <c r="T16" s="167">
        <f t="shared" si="0"/>
        <v>0</v>
      </c>
      <c r="U16" s="157" t="s">
        <v>2344</v>
      </c>
      <c r="V16" s="179" t="s">
        <v>375</v>
      </c>
      <c r="W16" s="180">
        <f>IF('附表1-面积统计表'!$D$29=0,"",IF(AND(V16="共同成本费用",Z16="总建筑面积法"),ROUND(T16/'附表1-面积统计表'!$D$29*'附表1-面积统计表'!$D$5,2),IF(AND(V16="共同成本费用",Z16="可售建筑面积法"),ROUND(T16/'附表1-面积统计表'!$F$29*'附表1-面积统计表'!$F$5,2),"请手工填写")))</f>
        <v>0</v>
      </c>
      <c r="X16" s="180">
        <f>IF(SUM('附表1-面积统计表'!$D$6)=0,"",SUM(T16)-SUM(W16)-SUM(Y16))</f>
        <v>0</v>
      </c>
      <c r="Y16" s="180">
        <f>IF(SUM('附表1-面积统计表'!$D$6)=0,SUM(T16)-SUM(W16),IF('附表1-面积统计表'!$D$29=0,"",IF(AND(V16="共同成本费用",Z16="总建筑面积法"),ROUND(T16/'附表1-面积统计表'!$D$29*'附表1-面积统计表'!$D$7,2),IF(AND(V16="共同成本费用",Z16="可售建筑面积法"),ROUND(T16/'附表1-面积统计表'!$F$29*'附表1-面积统计表'!$F$7,2),"请手工填写"))))</f>
        <v>0</v>
      </c>
      <c r="Z16" s="183" t="s">
        <v>351</v>
      </c>
      <c r="AA16" s="157"/>
      <c r="AB16" s="184" t="s">
        <v>2319</v>
      </c>
      <c r="AC16" s="132">
        <f t="shared" si="1"/>
        <v>0</v>
      </c>
    </row>
    <row r="17" s="132" customFormat="1" ht="24" customHeight="1" spans="1:29">
      <c r="A17" s="150">
        <v>11</v>
      </c>
      <c r="B17" s="151">
        <v>43297</v>
      </c>
      <c r="C17" s="152" t="s">
        <v>2345</v>
      </c>
      <c r="D17" s="157" t="s">
        <v>2346</v>
      </c>
      <c r="E17" s="158" t="s">
        <v>2347</v>
      </c>
      <c r="F17" s="155" t="s">
        <v>2348</v>
      </c>
      <c r="G17" s="156"/>
      <c r="H17" s="157" t="str">
        <f>IF(G17="","",VLOOKUP(G17,'附表8-合同明细采集底稿'!B:I,2,0))</f>
        <v/>
      </c>
      <c r="I17" s="165" t="str">
        <f>IF(G17="","",VLOOKUP(G17,'附表8-合同明细采集底稿'!B:I,3,0))</f>
        <v/>
      </c>
      <c r="J17" s="165" t="s">
        <v>2349</v>
      </c>
      <c r="K17" s="157" t="s">
        <v>2335</v>
      </c>
      <c r="L17" s="168" t="s">
        <v>2336</v>
      </c>
      <c r="M17" s="155" t="s">
        <v>2350</v>
      </c>
      <c r="N17" s="167">
        <v>8475</v>
      </c>
      <c r="O17" s="167">
        <v>8475</v>
      </c>
      <c r="P17" s="167">
        <v>8475</v>
      </c>
      <c r="Q17" s="167">
        <v>-8475</v>
      </c>
      <c r="R17" s="167">
        <f>P17+Q17</f>
        <v>0</v>
      </c>
      <c r="S17" s="178">
        <v>1</v>
      </c>
      <c r="T17" s="167">
        <f t="shared" si="0"/>
        <v>0</v>
      </c>
      <c r="U17" s="157" t="s">
        <v>2344</v>
      </c>
      <c r="V17" s="179" t="s">
        <v>375</v>
      </c>
      <c r="W17" s="180">
        <f>IF('附表1-面积统计表'!$D$29=0,"",IF(AND(V17="共同成本费用",Z17="总建筑面积法"),ROUND(T17/'附表1-面积统计表'!$D$29*'附表1-面积统计表'!$D$5,2),IF(AND(V17="共同成本费用",Z17="可售建筑面积法"),ROUND(T17/'附表1-面积统计表'!$F$29*'附表1-面积统计表'!$F$5,2),"请手工填写")))</f>
        <v>0</v>
      </c>
      <c r="X17" s="180">
        <f>IF(SUM('附表1-面积统计表'!$D$6)=0,"",SUM(T17)-SUM(W17)-SUM(Y17))</f>
        <v>0</v>
      </c>
      <c r="Y17" s="180">
        <f>IF(SUM('附表1-面积统计表'!$D$6)=0,SUM(T17)-SUM(W17),IF('附表1-面积统计表'!$D$29=0,"",IF(AND(V17="共同成本费用",Z17="总建筑面积法"),ROUND(T17/'附表1-面积统计表'!$D$29*'附表1-面积统计表'!$D$7,2),IF(AND(V17="共同成本费用",Z17="可售建筑面积法"),ROUND(T17/'附表1-面积统计表'!$F$29*'附表1-面积统计表'!$F$7,2),"请手工填写"))))</f>
        <v>0</v>
      </c>
      <c r="Z17" s="183" t="s">
        <v>351</v>
      </c>
      <c r="AA17" s="157"/>
      <c r="AB17" s="184" t="s">
        <v>2319</v>
      </c>
      <c r="AC17" s="132">
        <f t="shared" si="1"/>
        <v>0</v>
      </c>
    </row>
    <row r="18" s="132" customFormat="1" ht="24" customHeight="1" spans="1:29">
      <c r="A18" s="150">
        <v>12</v>
      </c>
      <c r="B18" s="151">
        <v>43332</v>
      </c>
      <c r="C18" s="152">
        <v>73</v>
      </c>
      <c r="D18" s="157" t="s">
        <v>2339</v>
      </c>
      <c r="E18" s="158" t="s">
        <v>2351</v>
      </c>
      <c r="F18" s="159" t="s">
        <v>2352</v>
      </c>
      <c r="G18" s="156" t="s">
        <v>2353</v>
      </c>
      <c r="H18" s="157" t="str">
        <f>IF(G18="","",VLOOKUP(G18,'附表8-合同明细采集底稿'!B:I,2,0))</f>
        <v>规划设计合同书</v>
      </c>
      <c r="I18" s="165" t="str">
        <f>IF(G18="","",VLOOKUP(G18,'附表8-合同明细采集底稿'!B:I,3,0))</f>
        <v>技术合同</v>
      </c>
      <c r="J18" s="154" t="s">
        <v>2354</v>
      </c>
      <c r="K18" s="157" t="s">
        <v>2355</v>
      </c>
      <c r="L18" s="168">
        <v>6500174130</v>
      </c>
      <c r="M18" s="155" t="s">
        <v>2356</v>
      </c>
      <c r="N18" s="167">
        <v>94245.28</v>
      </c>
      <c r="O18" s="167">
        <v>99900</v>
      </c>
      <c r="P18" s="167">
        <v>94245.28</v>
      </c>
      <c r="Q18" s="167"/>
      <c r="R18" s="167">
        <v>94245.28</v>
      </c>
      <c r="S18" s="178">
        <f>IFERROR(VLOOKUP(G18,'附表8-合同明细采集底稿'!B:N,12,0),100%)</f>
        <v>0.338555832480367</v>
      </c>
      <c r="T18" s="167">
        <f t="shared" si="0"/>
        <v>31907.29</v>
      </c>
      <c r="U18" s="157" t="s">
        <v>2318</v>
      </c>
      <c r="V18" s="179" t="s">
        <v>375</v>
      </c>
      <c r="W18" s="180">
        <f>IF('附表1-面积统计表'!$D$29=0,"",IF(AND(V18="共同成本费用",Z18="总建筑面积法"),ROUND(T18/'附表1-面积统计表'!$D$29*'附表1-面积统计表'!$D$5,2),IF(AND(V18="共同成本费用",Z18="可售建筑面积法"),ROUND(T18/'附表1-面积统计表'!$F$29*'附表1-面积统计表'!$F$5,2),"请手工填写")))</f>
        <v>15457.9</v>
      </c>
      <c r="X18" s="180">
        <f>IF(SUM('附表1-面积统计表'!$D$6)=0,"",SUM(T18)-SUM(W18)-SUM(Y18))</f>
        <v>10227.38</v>
      </c>
      <c r="Y18" s="180">
        <f>IF(SUM('附表1-面积统计表'!$D$6)=0,SUM(T18)-SUM(W18),IF('附表1-面积统计表'!$D$29=0,"",IF(AND(V18="共同成本费用",Z18="总建筑面积法"),ROUND(T18/'附表1-面积统计表'!$D$29*'附表1-面积统计表'!$D$7,2),IF(AND(V18="共同成本费用",Z18="可售建筑面积法"),ROUND(T18/'附表1-面积统计表'!$F$29*'附表1-面积统计表'!$F$7,2),"请手工填写"))))</f>
        <v>6222.01</v>
      </c>
      <c r="Z18" s="183" t="s">
        <v>351</v>
      </c>
      <c r="AA18" s="157"/>
      <c r="AB18" s="184" t="s">
        <v>2319</v>
      </c>
      <c r="AC18" s="132">
        <f t="shared" si="1"/>
        <v>0</v>
      </c>
    </row>
    <row r="19" s="132" customFormat="1" ht="24" customHeight="1" spans="1:29">
      <c r="A19" s="150">
        <v>13</v>
      </c>
      <c r="B19" s="151">
        <v>43332</v>
      </c>
      <c r="C19" s="152">
        <v>73</v>
      </c>
      <c r="D19" s="157" t="s">
        <v>2339</v>
      </c>
      <c r="E19" s="158" t="s">
        <v>2351</v>
      </c>
      <c r="F19" s="159" t="s">
        <v>2352</v>
      </c>
      <c r="G19" s="156" t="s">
        <v>2353</v>
      </c>
      <c r="H19" s="157" t="str">
        <f>IF(G19="","",VLOOKUP(G19,'附表8-合同明细采集底稿'!B:I,2,0))</f>
        <v>规划设计合同书</v>
      </c>
      <c r="I19" s="165" t="str">
        <f>IF(G19="","",VLOOKUP(G19,'附表8-合同明细采集底稿'!B:I,3,0))</f>
        <v>技术合同</v>
      </c>
      <c r="J19" s="154" t="s">
        <v>2354</v>
      </c>
      <c r="K19" s="157" t="s">
        <v>2355</v>
      </c>
      <c r="L19" s="168">
        <v>6500174130</v>
      </c>
      <c r="M19" s="155" t="s">
        <v>2357</v>
      </c>
      <c r="N19" s="167">
        <v>94245.28</v>
      </c>
      <c r="O19" s="167">
        <v>99900</v>
      </c>
      <c r="P19" s="167">
        <v>94245.28</v>
      </c>
      <c r="Q19" s="167"/>
      <c r="R19" s="167">
        <v>94245.28</v>
      </c>
      <c r="S19" s="178">
        <f>IFERROR(VLOOKUP(G19,'附表8-合同明细采集底稿'!B:N,12,0),100%)</f>
        <v>0.338555832480367</v>
      </c>
      <c r="T19" s="167">
        <f t="shared" si="0"/>
        <v>31907.29</v>
      </c>
      <c r="U19" s="157" t="s">
        <v>2318</v>
      </c>
      <c r="V19" s="179" t="s">
        <v>375</v>
      </c>
      <c r="W19" s="180">
        <f>IF('附表1-面积统计表'!$D$29=0,"",IF(AND(V19="共同成本费用",Z19="总建筑面积法"),ROUND(T19/'附表1-面积统计表'!$D$29*'附表1-面积统计表'!$D$5,2),IF(AND(V19="共同成本费用",Z19="可售建筑面积法"),ROUND(T19/'附表1-面积统计表'!$F$29*'附表1-面积统计表'!$F$5,2),"请手工填写")))</f>
        <v>15457.9</v>
      </c>
      <c r="X19" s="180">
        <f>IF(SUM('附表1-面积统计表'!$D$6)=0,"",SUM(T19)-SUM(W19)-SUM(Y19))</f>
        <v>10227.38</v>
      </c>
      <c r="Y19" s="180">
        <f>IF(SUM('附表1-面积统计表'!$D$6)=0,SUM(T19)-SUM(W19),IF('附表1-面积统计表'!$D$29=0,"",IF(AND(V19="共同成本费用",Z19="总建筑面积法"),ROUND(T19/'附表1-面积统计表'!$D$29*'附表1-面积统计表'!$D$7,2),IF(AND(V19="共同成本费用",Z19="可售建筑面积法"),ROUND(T19/'附表1-面积统计表'!$F$29*'附表1-面积统计表'!$F$7,2),"请手工填写"))))</f>
        <v>6222.01</v>
      </c>
      <c r="Z19" s="183" t="s">
        <v>351</v>
      </c>
      <c r="AA19" s="157"/>
      <c r="AB19" s="184" t="s">
        <v>2319</v>
      </c>
      <c r="AC19" s="132">
        <f t="shared" si="1"/>
        <v>0</v>
      </c>
    </row>
    <row r="20" s="132" customFormat="1" ht="24" customHeight="1" spans="1:29">
      <c r="A20" s="150">
        <v>14</v>
      </c>
      <c r="B20" s="151">
        <v>43332</v>
      </c>
      <c r="C20" s="152">
        <v>73</v>
      </c>
      <c r="D20" s="157" t="s">
        <v>2339</v>
      </c>
      <c r="E20" s="158" t="s">
        <v>2351</v>
      </c>
      <c r="F20" s="159" t="s">
        <v>2352</v>
      </c>
      <c r="G20" s="156" t="s">
        <v>2353</v>
      </c>
      <c r="H20" s="157" t="str">
        <f>IF(G20="","",VLOOKUP(G20,'附表8-合同明细采集底稿'!B:I,2,0))</f>
        <v>规划设计合同书</v>
      </c>
      <c r="I20" s="165" t="str">
        <f>IF(G20="","",VLOOKUP(G20,'附表8-合同明细采集底稿'!B:I,3,0))</f>
        <v>技术合同</v>
      </c>
      <c r="J20" s="154" t="s">
        <v>2354</v>
      </c>
      <c r="K20" s="157" t="s">
        <v>2355</v>
      </c>
      <c r="L20" s="168">
        <v>6500174130</v>
      </c>
      <c r="M20" s="155" t="s">
        <v>2358</v>
      </c>
      <c r="N20" s="167">
        <v>94245.28</v>
      </c>
      <c r="O20" s="167">
        <v>99900</v>
      </c>
      <c r="P20" s="167">
        <v>94245.28</v>
      </c>
      <c r="Q20" s="167"/>
      <c r="R20" s="167">
        <v>94245.28</v>
      </c>
      <c r="S20" s="178">
        <f>IFERROR(VLOOKUP(G20,'附表8-合同明细采集底稿'!B:N,12,0),100%)</f>
        <v>0.338555832480367</v>
      </c>
      <c r="T20" s="167">
        <f t="shared" si="0"/>
        <v>31907.29</v>
      </c>
      <c r="U20" s="157" t="s">
        <v>2318</v>
      </c>
      <c r="V20" s="179" t="s">
        <v>375</v>
      </c>
      <c r="W20" s="180">
        <f>IF('附表1-面积统计表'!$D$29=0,"",IF(AND(V20="共同成本费用",Z20="总建筑面积法"),ROUND(T20/'附表1-面积统计表'!$D$29*'附表1-面积统计表'!$D$5,2),IF(AND(V20="共同成本费用",Z20="可售建筑面积法"),ROUND(T20/'附表1-面积统计表'!$F$29*'附表1-面积统计表'!$F$5,2),"请手工填写")))</f>
        <v>15457.9</v>
      </c>
      <c r="X20" s="180">
        <f>IF(SUM('附表1-面积统计表'!$D$6)=0,"",SUM(T20)-SUM(W20)-SUM(Y20))</f>
        <v>10227.38</v>
      </c>
      <c r="Y20" s="180">
        <f>IF(SUM('附表1-面积统计表'!$D$6)=0,SUM(T20)-SUM(W20),IF('附表1-面积统计表'!$D$29=0,"",IF(AND(V20="共同成本费用",Z20="总建筑面积法"),ROUND(T20/'附表1-面积统计表'!$D$29*'附表1-面积统计表'!$D$7,2),IF(AND(V20="共同成本费用",Z20="可售建筑面积法"),ROUND(T20/'附表1-面积统计表'!$F$29*'附表1-面积统计表'!$F$7,2),"请手工填写"))))</f>
        <v>6222.01</v>
      </c>
      <c r="Z20" s="183" t="s">
        <v>351</v>
      </c>
      <c r="AA20" s="157"/>
      <c r="AB20" s="184" t="s">
        <v>2319</v>
      </c>
      <c r="AC20" s="132">
        <f t="shared" si="1"/>
        <v>0</v>
      </c>
    </row>
    <row r="21" s="132" customFormat="1" ht="24" customHeight="1" spans="1:29">
      <c r="A21" s="150">
        <v>15</v>
      </c>
      <c r="B21" s="151">
        <v>43332</v>
      </c>
      <c r="C21" s="152">
        <v>73</v>
      </c>
      <c r="D21" s="157" t="s">
        <v>2339</v>
      </c>
      <c r="E21" s="158" t="s">
        <v>2351</v>
      </c>
      <c r="F21" s="159" t="s">
        <v>2352</v>
      </c>
      <c r="G21" s="156" t="s">
        <v>2353</v>
      </c>
      <c r="H21" s="157" t="str">
        <f>IF(G21="","",VLOOKUP(G21,'附表8-合同明细采集底稿'!B:I,2,0))</f>
        <v>规划设计合同书</v>
      </c>
      <c r="I21" s="165" t="str">
        <f>IF(G21="","",VLOOKUP(G21,'附表8-合同明细采集底稿'!B:I,3,0))</f>
        <v>技术合同</v>
      </c>
      <c r="J21" s="154" t="s">
        <v>2354</v>
      </c>
      <c r="K21" s="157" t="s">
        <v>2355</v>
      </c>
      <c r="L21" s="168">
        <v>6500174130</v>
      </c>
      <c r="M21" s="155" t="s">
        <v>2359</v>
      </c>
      <c r="N21" s="167">
        <v>94245.28</v>
      </c>
      <c r="O21" s="167">
        <v>99900</v>
      </c>
      <c r="P21" s="167">
        <v>94245.28</v>
      </c>
      <c r="Q21" s="167"/>
      <c r="R21" s="167">
        <v>94245.28</v>
      </c>
      <c r="S21" s="178">
        <f>IFERROR(VLOOKUP(G21,'附表8-合同明细采集底稿'!B:N,12,0),100%)</f>
        <v>0.338555832480367</v>
      </c>
      <c r="T21" s="167">
        <f t="shared" si="0"/>
        <v>31907.29</v>
      </c>
      <c r="U21" s="157" t="s">
        <v>2318</v>
      </c>
      <c r="V21" s="179" t="s">
        <v>375</v>
      </c>
      <c r="W21" s="180">
        <f>IF('附表1-面积统计表'!$D$29=0,"",IF(AND(V21="共同成本费用",Z21="总建筑面积法"),ROUND(T21/'附表1-面积统计表'!$D$29*'附表1-面积统计表'!$D$5,2),IF(AND(V21="共同成本费用",Z21="可售建筑面积法"),ROUND(T21/'附表1-面积统计表'!$F$29*'附表1-面积统计表'!$F$5,2),"请手工填写")))</f>
        <v>15457.9</v>
      </c>
      <c r="X21" s="180">
        <f>IF(SUM('附表1-面积统计表'!$D$6)=0,"",SUM(T21)-SUM(W21)-SUM(Y21))</f>
        <v>10227.38</v>
      </c>
      <c r="Y21" s="180">
        <f>IF(SUM('附表1-面积统计表'!$D$6)=0,SUM(T21)-SUM(W21),IF('附表1-面积统计表'!$D$29=0,"",IF(AND(V21="共同成本费用",Z21="总建筑面积法"),ROUND(T21/'附表1-面积统计表'!$D$29*'附表1-面积统计表'!$D$7,2),IF(AND(V21="共同成本费用",Z21="可售建筑面积法"),ROUND(T21/'附表1-面积统计表'!$F$29*'附表1-面积统计表'!$F$7,2),"请手工填写"))))</f>
        <v>6222.01</v>
      </c>
      <c r="Z21" s="183" t="s">
        <v>351</v>
      </c>
      <c r="AA21" s="157"/>
      <c r="AB21" s="184" t="s">
        <v>2319</v>
      </c>
      <c r="AC21" s="132">
        <f t="shared" si="1"/>
        <v>0</v>
      </c>
    </row>
    <row r="22" s="132" customFormat="1" ht="24" customHeight="1" spans="1:29">
      <c r="A22" s="150">
        <v>16</v>
      </c>
      <c r="B22" s="151">
        <v>43332</v>
      </c>
      <c r="C22" s="152">
        <v>73</v>
      </c>
      <c r="D22" s="157" t="s">
        <v>2339</v>
      </c>
      <c r="E22" s="158" t="s">
        <v>2351</v>
      </c>
      <c r="F22" s="159" t="s">
        <v>2352</v>
      </c>
      <c r="G22" s="156" t="s">
        <v>2353</v>
      </c>
      <c r="H22" s="157" t="str">
        <f>IF(G22="","",VLOOKUP(G22,'附表8-合同明细采集底稿'!B:I,2,0))</f>
        <v>规划设计合同书</v>
      </c>
      <c r="I22" s="165" t="str">
        <f>IF(G22="","",VLOOKUP(G22,'附表8-合同明细采集底稿'!B:I,3,0))</f>
        <v>技术合同</v>
      </c>
      <c r="J22" s="154" t="s">
        <v>2354</v>
      </c>
      <c r="K22" s="157" t="s">
        <v>2355</v>
      </c>
      <c r="L22" s="168">
        <v>6500174130</v>
      </c>
      <c r="M22" s="155" t="s">
        <v>2360</v>
      </c>
      <c r="N22" s="167">
        <v>94245.28</v>
      </c>
      <c r="O22" s="167">
        <v>99900</v>
      </c>
      <c r="P22" s="167">
        <v>94245.28</v>
      </c>
      <c r="Q22" s="167"/>
      <c r="R22" s="167">
        <v>94245.28</v>
      </c>
      <c r="S22" s="178">
        <f>IFERROR(VLOOKUP(G22,'附表8-合同明细采集底稿'!B:N,12,0),100%)</f>
        <v>0.338555832480367</v>
      </c>
      <c r="T22" s="167">
        <f t="shared" si="0"/>
        <v>31907.29</v>
      </c>
      <c r="U22" s="157" t="s">
        <v>2318</v>
      </c>
      <c r="V22" s="179" t="s">
        <v>375</v>
      </c>
      <c r="W22" s="180">
        <f>IF('附表1-面积统计表'!$D$29=0,"",IF(AND(V22="共同成本费用",Z22="总建筑面积法"),ROUND(T22/'附表1-面积统计表'!$D$29*'附表1-面积统计表'!$D$5,2),IF(AND(V22="共同成本费用",Z22="可售建筑面积法"),ROUND(T22/'附表1-面积统计表'!$F$29*'附表1-面积统计表'!$F$5,2),"请手工填写")))</f>
        <v>15457.9</v>
      </c>
      <c r="X22" s="180">
        <f>IF(SUM('附表1-面积统计表'!$D$6)=0,"",SUM(T22)-SUM(W22)-SUM(Y22))</f>
        <v>10227.38</v>
      </c>
      <c r="Y22" s="180">
        <f>IF(SUM('附表1-面积统计表'!$D$6)=0,SUM(T22)-SUM(W22),IF('附表1-面积统计表'!$D$29=0,"",IF(AND(V22="共同成本费用",Z22="总建筑面积法"),ROUND(T22/'附表1-面积统计表'!$D$29*'附表1-面积统计表'!$D$7,2),IF(AND(V22="共同成本费用",Z22="可售建筑面积法"),ROUND(T22/'附表1-面积统计表'!$F$29*'附表1-面积统计表'!$F$7,2),"请手工填写"))))</f>
        <v>6222.01</v>
      </c>
      <c r="Z22" s="183" t="s">
        <v>351</v>
      </c>
      <c r="AA22" s="157"/>
      <c r="AB22" s="184" t="s">
        <v>2319</v>
      </c>
      <c r="AC22" s="132">
        <f t="shared" si="1"/>
        <v>0</v>
      </c>
    </row>
    <row r="23" s="132" customFormat="1" ht="24" customHeight="1" spans="1:29">
      <c r="A23" s="150">
        <v>17</v>
      </c>
      <c r="B23" s="151">
        <v>43332</v>
      </c>
      <c r="C23" s="152">
        <v>73</v>
      </c>
      <c r="D23" s="157" t="s">
        <v>2339</v>
      </c>
      <c r="E23" s="158" t="s">
        <v>2351</v>
      </c>
      <c r="F23" s="159" t="s">
        <v>2352</v>
      </c>
      <c r="G23" s="156" t="s">
        <v>2353</v>
      </c>
      <c r="H23" s="157" t="str">
        <f>IF(G23="","",VLOOKUP(G23,'附表8-合同明细采集底稿'!B:I,2,0))</f>
        <v>规划设计合同书</v>
      </c>
      <c r="I23" s="165" t="str">
        <f>IF(G23="","",VLOOKUP(G23,'附表8-合同明细采集底稿'!B:I,3,0))</f>
        <v>技术合同</v>
      </c>
      <c r="J23" s="154" t="s">
        <v>2354</v>
      </c>
      <c r="K23" s="157" t="s">
        <v>2355</v>
      </c>
      <c r="L23" s="168">
        <v>6500174130</v>
      </c>
      <c r="M23" s="155" t="s">
        <v>2361</v>
      </c>
      <c r="N23" s="167">
        <v>70757.74</v>
      </c>
      <c r="O23" s="167">
        <v>75003.2</v>
      </c>
      <c r="P23" s="167">
        <v>70757.74</v>
      </c>
      <c r="Q23" s="167"/>
      <c r="R23" s="167">
        <v>70757.74</v>
      </c>
      <c r="S23" s="178">
        <f>IFERROR(VLOOKUP(G23,'附表8-合同明细采集底稿'!B:N,12,0),100%)</f>
        <v>0.338555832480367</v>
      </c>
      <c r="T23" s="167">
        <f t="shared" si="0"/>
        <v>23955.45</v>
      </c>
      <c r="U23" s="157" t="s">
        <v>2318</v>
      </c>
      <c r="V23" s="179" t="s">
        <v>375</v>
      </c>
      <c r="W23" s="180">
        <f>IF('附表1-面积统计表'!$D$29=0,"",IF(AND(V23="共同成本费用",Z23="总建筑面积法"),ROUND(T23/'附表1-面积统计表'!$D$29*'附表1-面积统计表'!$D$5,2),IF(AND(V23="共同成本费用",Z23="可售建筑面积法"),ROUND(T23/'附表1-面积统计表'!$F$29*'附表1-面积统计表'!$F$5,2),"请手工填写")))</f>
        <v>11605.53</v>
      </c>
      <c r="X23" s="180">
        <f>IF(SUM('附表1-面积统计表'!$D$6)=0,"",SUM(T23)-SUM(W23)-SUM(Y23))</f>
        <v>7678.54</v>
      </c>
      <c r="Y23" s="180">
        <f>IF(SUM('附表1-面积统计表'!$D$6)=0,SUM(T23)-SUM(W23),IF('附表1-面积统计表'!$D$29=0,"",IF(AND(V23="共同成本费用",Z23="总建筑面积法"),ROUND(T23/'附表1-面积统计表'!$D$29*'附表1-面积统计表'!$D$7,2),IF(AND(V23="共同成本费用",Z23="可售建筑面积法"),ROUND(T23/'附表1-面积统计表'!$F$29*'附表1-面积统计表'!$F$7,2),"请手工填写"))))</f>
        <v>4671.38</v>
      </c>
      <c r="Z23" s="183" t="s">
        <v>351</v>
      </c>
      <c r="AA23" s="157"/>
      <c r="AB23" s="184" t="s">
        <v>2319</v>
      </c>
      <c r="AC23" s="132">
        <f t="shared" si="1"/>
        <v>0</v>
      </c>
    </row>
    <row r="24" s="132" customFormat="1" ht="24" customHeight="1" spans="1:29">
      <c r="A24" s="150">
        <v>18</v>
      </c>
      <c r="B24" s="151">
        <v>43373</v>
      </c>
      <c r="C24" s="152" t="s">
        <v>2362</v>
      </c>
      <c r="D24" s="157" t="s">
        <v>2339</v>
      </c>
      <c r="E24" s="158" t="s">
        <v>2363</v>
      </c>
      <c r="F24" s="155" t="s">
        <v>2364</v>
      </c>
      <c r="G24" s="156" t="s">
        <v>2365</v>
      </c>
      <c r="H24" s="157" t="str">
        <f>IF(G24="","",VLOOKUP(G24,'附表8-合同明细采集底稿'!B:I,2,0))</f>
        <v>36#楼审图费、室外装饰（刘建军）审图费</v>
      </c>
      <c r="I24" s="165" t="str">
        <f>IF(G24="","",VLOOKUP(G24,'附表8-合同明细采集底稿'!B:I,3,0))</f>
        <v>其他合同</v>
      </c>
      <c r="J24" s="154" t="s">
        <v>2366</v>
      </c>
      <c r="K24" s="157" t="s">
        <v>2355</v>
      </c>
      <c r="L24" s="166" t="s">
        <v>2367</v>
      </c>
      <c r="M24" s="155" t="s">
        <v>2368</v>
      </c>
      <c r="N24" s="167">
        <v>1480.19</v>
      </c>
      <c r="O24" s="167">
        <v>1569</v>
      </c>
      <c r="P24" s="167">
        <v>1480.19</v>
      </c>
      <c r="Q24" s="167">
        <v>-1480.19</v>
      </c>
      <c r="R24" s="167">
        <f>P24+Q24</f>
        <v>0</v>
      </c>
      <c r="S24" s="178">
        <f>IFERROR(VLOOKUP(G24,'附表8-合同明细采集底稿'!B:N,12,0),100%)</f>
        <v>1</v>
      </c>
      <c r="T24" s="167">
        <f t="shared" si="0"/>
        <v>0</v>
      </c>
      <c r="U24" s="157" t="s">
        <v>2344</v>
      </c>
      <c r="V24" s="179" t="s">
        <v>375</v>
      </c>
      <c r="W24" s="180">
        <f>IF('附表1-面积统计表'!$D$29=0,"",IF(AND(V24="共同成本费用",Z24="总建筑面积法"),ROUND(T24/'附表1-面积统计表'!$D$29*'附表1-面积统计表'!$D$5,2),IF(AND(V24="共同成本费用",Z24="可售建筑面积法"),ROUND(T24/'附表1-面积统计表'!$F$29*'附表1-面积统计表'!$F$5,2),"请手工填写")))</f>
        <v>0</v>
      </c>
      <c r="X24" s="180">
        <f>IF(SUM('附表1-面积统计表'!$D$6)=0,"",SUM(T24)-SUM(W24)-SUM(Y24))</f>
        <v>0</v>
      </c>
      <c r="Y24" s="180">
        <f>IF(SUM('附表1-面积统计表'!$D$6)=0,SUM(T24)-SUM(W24),IF('附表1-面积统计表'!$D$29=0,"",IF(AND(V24="共同成本费用",Z24="总建筑面积法"),ROUND(T24/'附表1-面积统计表'!$D$29*'附表1-面积统计表'!$D$7,2),IF(AND(V24="共同成本费用",Z24="可售建筑面积法"),ROUND(T24/'附表1-面积统计表'!$F$29*'附表1-面积统计表'!$F$7,2),"请手工填写"))))</f>
        <v>0</v>
      </c>
      <c r="Z24" s="183" t="s">
        <v>351</v>
      </c>
      <c r="AA24" s="157"/>
      <c r="AB24" s="184" t="s">
        <v>2319</v>
      </c>
      <c r="AC24" s="132">
        <f t="shared" si="1"/>
        <v>0</v>
      </c>
    </row>
    <row r="25" s="132" customFormat="1" ht="24" customHeight="1" spans="1:29">
      <c r="A25" s="150">
        <v>19</v>
      </c>
      <c r="B25" s="151">
        <v>43373</v>
      </c>
      <c r="C25" s="152" t="s">
        <v>2369</v>
      </c>
      <c r="D25" s="157" t="s">
        <v>2339</v>
      </c>
      <c r="E25" s="158" t="s">
        <v>2370</v>
      </c>
      <c r="F25" s="155" t="s">
        <v>2371</v>
      </c>
      <c r="G25" s="156" t="s">
        <v>2372</v>
      </c>
      <c r="H25" s="157" t="str">
        <f>IF(G25="","",VLOOKUP(G25,'附表8-合同明细采集底稿'!B:I,2,0))</f>
        <v>25-29号楼红、蓝线图</v>
      </c>
      <c r="I25" s="165" t="str">
        <f>IF(G25="","",VLOOKUP(G25,'附表8-合同明细采集底稿'!B:I,3,0))</f>
        <v>其他合同</v>
      </c>
      <c r="J25" s="154" t="s">
        <v>2373</v>
      </c>
      <c r="K25" s="157" t="s">
        <v>2355</v>
      </c>
      <c r="L25" s="166" t="s">
        <v>2367</v>
      </c>
      <c r="M25" s="155" t="s">
        <v>2374</v>
      </c>
      <c r="N25" s="167">
        <v>1300</v>
      </c>
      <c r="O25" s="167">
        <v>1378</v>
      </c>
      <c r="P25" s="167">
        <v>1300</v>
      </c>
      <c r="Q25" s="167">
        <v>-1300</v>
      </c>
      <c r="R25" s="167">
        <f>P25+Q25</f>
        <v>0</v>
      </c>
      <c r="S25" s="178">
        <f>IFERROR(VLOOKUP(G25,'附表8-合同明细采集底稿'!B:N,12,0),100%)</f>
        <v>1</v>
      </c>
      <c r="T25" s="167">
        <f t="shared" si="0"/>
        <v>0</v>
      </c>
      <c r="U25" s="157" t="s">
        <v>2344</v>
      </c>
      <c r="V25" s="179" t="s">
        <v>375</v>
      </c>
      <c r="W25" s="180">
        <f>IF('附表1-面积统计表'!$D$29=0,"",IF(AND(V25="共同成本费用",Z25="总建筑面积法"),ROUND(T25/'附表1-面积统计表'!$D$29*'附表1-面积统计表'!$D$5,2),IF(AND(V25="共同成本费用",Z25="可售建筑面积法"),ROUND(T25/'附表1-面积统计表'!$F$29*'附表1-面积统计表'!$F$5,2),"请手工填写")))</f>
        <v>0</v>
      </c>
      <c r="X25" s="180">
        <f>IF(SUM('附表1-面积统计表'!$D$6)=0,"",SUM(T25)-SUM(W25)-SUM(Y25))</f>
        <v>0</v>
      </c>
      <c r="Y25" s="180">
        <f>IF(SUM('附表1-面积统计表'!$D$6)=0,SUM(T25)-SUM(W25),IF('附表1-面积统计表'!$D$29=0,"",IF(AND(V25="共同成本费用",Z25="总建筑面积法"),ROUND(T25/'附表1-面积统计表'!$D$29*'附表1-面积统计表'!$D$7,2),IF(AND(V25="共同成本费用",Z25="可售建筑面积法"),ROUND(T25/'附表1-面积统计表'!$F$29*'附表1-面积统计表'!$F$7,2),"请手工填写"))))</f>
        <v>0</v>
      </c>
      <c r="Z25" s="183" t="s">
        <v>351</v>
      </c>
      <c r="AA25" s="157"/>
      <c r="AB25" s="184" t="s">
        <v>2319</v>
      </c>
      <c r="AC25" s="132">
        <f t="shared" si="1"/>
        <v>0</v>
      </c>
    </row>
    <row r="26" s="132" customFormat="1" ht="24" customHeight="1" spans="1:29">
      <c r="A26" s="150">
        <v>20</v>
      </c>
      <c r="B26" s="151">
        <v>43381</v>
      </c>
      <c r="C26" s="152" t="s">
        <v>2375</v>
      </c>
      <c r="D26" s="157" t="s">
        <v>2339</v>
      </c>
      <c r="E26" s="158" t="s">
        <v>2351</v>
      </c>
      <c r="F26" s="155" t="s">
        <v>2376</v>
      </c>
      <c r="G26" s="156" t="s">
        <v>2377</v>
      </c>
      <c r="H26" s="157" t="str">
        <f>IF(G26="","",VLOOKUP(G26,'附表8-合同明细采集底稿'!B:I,2,0))</f>
        <v>建设工程设计合同（专业建设工程）</v>
      </c>
      <c r="I26" s="165" t="str">
        <f>IF(G26="","",VLOOKUP(G26,'附表8-合同明细采集底稿'!B:I,3,0))</f>
        <v>技术合同</v>
      </c>
      <c r="J26" s="154" t="s">
        <v>2378</v>
      </c>
      <c r="K26" s="157" t="s">
        <v>2355</v>
      </c>
      <c r="L26" s="168" t="s">
        <v>2379</v>
      </c>
      <c r="M26" s="155" t="s">
        <v>2380</v>
      </c>
      <c r="N26" s="167">
        <v>18867.92</v>
      </c>
      <c r="O26" s="167">
        <v>1132.08</v>
      </c>
      <c r="P26" s="167">
        <v>18867.92</v>
      </c>
      <c r="Q26" s="167">
        <v>-18867.92</v>
      </c>
      <c r="R26" s="167">
        <f t="shared" ref="R26:R89" si="2">P26+Q26</f>
        <v>0</v>
      </c>
      <c r="S26" s="178">
        <f>IFERROR(VLOOKUP(G26,'附表8-合同明细采集底稿'!B:N,12,0),100%)</f>
        <v>0.338555832480367</v>
      </c>
      <c r="T26" s="167">
        <f t="shared" si="0"/>
        <v>0</v>
      </c>
      <c r="U26" s="157" t="s">
        <v>2381</v>
      </c>
      <c r="V26" s="179" t="s">
        <v>375</v>
      </c>
      <c r="W26" s="180">
        <f>IF('附表1-面积统计表'!$D$29=0,"",IF(AND(V26="共同成本费用",Z26="总建筑面积法"),ROUND(T26/'附表1-面积统计表'!$D$29*'附表1-面积统计表'!$D$5,2),IF(AND(V26="共同成本费用",Z26="可售建筑面积法"),ROUND(T26/'附表1-面积统计表'!$F$29*'附表1-面积统计表'!$F$5,2),"请手工填写")))</f>
        <v>0</v>
      </c>
      <c r="X26" s="180">
        <f>IF(SUM('附表1-面积统计表'!$D$6)=0,"",SUM(T26)-SUM(W26)-SUM(Y26))</f>
        <v>0</v>
      </c>
      <c r="Y26" s="180">
        <f>IF(SUM('附表1-面积统计表'!$D$6)=0,SUM(T26)-SUM(W26),IF('附表1-面积统计表'!$D$29=0,"",IF(AND(V26="共同成本费用",Z26="总建筑面积法"),ROUND(T26/'附表1-面积统计表'!$D$29*'附表1-面积统计表'!$D$7,2),IF(AND(V26="共同成本费用",Z26="可售建筑面积法"),ROUND(T26/'附表1-面积统计表'!$F$29*'附表1-面积统计表'!$F$7,2),"请手工填写"))))</f>
        <v>0</v>
      </c>
      <c r="Z26" s="183" t="s">
        <v>351</v>
      </c>
      <c r="AA26" s="157"/>
      <c r="AB26" s="184" t="s">
        <v>2319</v>
      </c>
      <c r="AC26" s="132">
        <f t="shared" si="1"/>
        <v>0</v>
      </c>
    </row>
    <row r="27" s="132" customFormat="1" ht="24" customHeight="1" spans="1:29">
      <c r="A27" s="150">
        <v>21</v>
      </c>
      <c r="B27" s="151">
        <v>43410</v>
      </c>
      <c r="C27" s="152" t="s">
        <v>2382</v>
      </c>
      <c r="D27" s="157" t="s">
        <v>2339</v>
      </c>
      <c r="E27" s="158" t="s">
        <v>2363</v>
      </c>
      <c r="F27" s="155" t="s">
        <v>2383</v>
      </c>
      <c r="G27" s="156"/>
      <c r="H27" s="157" t="str">
        <f>IF(G27="","",VLOOKUP(G27,'附表8-合同明细采集底稿'!B:I,2,0))</f>
        <v/>
      </c>
      <c r="I27" s="165" t="str">
        <f>IF(G27="","",VLOOKUP(G27,'附表8-合同明细采集底稿'!B:I,3,0))</f>
        <v/>
      </c>
      <c r="J27" s="154" t="s">
        <v>2384</v>
      </c>
      <c r="K27" s="157" t="s">
        <v>2335</v>
      </c>
      <c r="L27" s="168" t="s">
        <v>2336</v>
      </c>
      <c r="M27" s="155" t="s">
        <v>2385</v>
      </c>
      <c r="N27" s="167">
        <v>600</v>
      </c>
      <c r="O27" s="167">
        <v>600</v>
      </c>
      <c r="P27" s="167">
        <v>600</v>
      </c>
      <c r="Q27" s="167">
        <v>-600</v>
      </c>
      <c r="R27" s="167">
        <f t="shared" si="2"/>
        <v>0</v>
      </c>
      <c r="S27" s="178">
        <v>1</v>
      </c>
      <c r="T27" s="167">
        <f t="shared" si="0"/>
        <v>0</v>
      </c>
      <c r="U27" s="157" t="s">
        <v>2344</v>
      </c>
      <c r="V27" s="179" t="s">
        <v>375</v>
      </c>
      <c r="W27" s="180">
        <f>IF('附表1-面积统计表'!$D$29=0,"",IF(AND(V27="共同成本费用",Z27="总建筑面积法"),ROUND(T27/'附表1-面积统计表'!$D$29*'附表1-面积统计表'!$D$5,2),IF(AND(V27="共同成本费用",Z27="可售建筑面积法"),ROUND(T27/'附表1-面积统计表'!$F$29*'附表1-面积统计表'!$F$5,2),"请手工填写")))</f>
        <v>0</v>
      </c>
      <c r="X27" s="180">
        <f>IF(SUM('附表1-面积统计表'!$D$6)=0,"",SUM(T27)-SUM(W27)-SUM(Y27))</f>
        <v>0</v>
      </c>
      <c r="Y27" s="180">
        <f>IF(SUM('附表1-面积统计表'!$D$6)=0,SUM(T27)-SUM(W27),IF('附表1-面积统计表'!$D$29=0,"",IF(AND(V27="共同成本费用",Z27="总建筑面积法"),ROUND(T27/'附表1-面积统计表'!$D$29*'附表1-面积统计表'!$D$7,2),IF(AND(V27="共同成本费用",Z27="可售建筑面积法"),ROUND(T27/'附表1-面积统计表'!$F$29*'附表1-面积统计表'!$F$7,2),"请手工填写"))))</f>
        <v>0</v>
      </c>
      <c r="Z27" s="183" t="s">
        <v>351</v>
      </c>
      <c r="AA27" s="157"/>
      <c r="AB27" s="184" t="s">
        <v>2319</v>
      </c>
      <c r="AC27" s="132">
        <f t="shared" si="1"/>
        <v>0</v>
      </c>
    </row>
    <row r="28" s="132" customFormat="1" ht="24" customHeight="1" spans="1:29">
      <c r="A28" s="150">
        <v>22</v>
      </c>
      <c r="B28" s="151">
        <v>43384</v>
      </c>
      <c r="C28" s="152" t="s">
        <v>2386</v>
      </c>
      <c r="D28" s="157" t="s">
        <v>2339</v>
      </c>
      <c r="E28" s="158" t="s">
        <v>2351</v>
      </c>
      <c r="F28" s="155" t="s">
        <v>2387</v>
      </c>
      <c r="G28" s="156"/>
      <c r="H28" s="157" t="str">
        <f>IF(G28="","",VLOOKUP(G28,'附表8-合同明细采集底稿'!B:I,2,0))</f>
        <v/>
      </c>
      <c r="I28" s="165" t="str">
        <f>IF(G28="","",VLOOKUP(G28,'附表8-合同明细采集底稿'!B:I,3,0))</f>
        <v/>
      </c>
      <c r="J28" s="154" t="s">
        <v>2388</v>
      </c>
      <c r="K28" s="157" t="s">
        <v>2355</v>
      </c>
      <c r="L28" s="166" t="s">
        <v>2389</v>
      </c>
      <c r="M28" s="155" t="s">
        <v>2390</v>
      </c>
      <c r="N28" s="167">
        <v>943.4</v>
      </c>
      <c r="O28" s="167">
        <v>1000</v>
      </c>
      <c r="P28" s="167">
        <v>1000</v>
      </c>
      <c r="Q28" s="167"/>
      <c r="R28" s="167">
        <f t="shared" si="2"/>
        <v>1000</v>
      </c>
      <c r="S28" s="178">
        <v>1</v>
      </c>
      <c r="T28" s="167">
        <f t="shared" si="0"/>
        <v>1000</v>
      </c>
      <c r="U28" s="157" t="s">
        <v>2344</v>
      </c>
      <c r="V28" s="179" t="s">
        <v>375</v>
      </c>
      <c r="W28" s="180">
        <f>IF('附表1-面积统计表'!$D$29=0,"",IF(AND(V28="共同成本费用",Z28="总建筑面积法"),ROUND(T28/'附表1-面积统计表'!$D$29*'附表1-面积统计表'!$D$5,2),IF(AND(V28="共同成本费用",Z28="可售建筑面积法"),ROUND(T28/'附表1-面积统计表'!$F$29*'附表1-面积统计表'!$F$5,2),"请手工填写")))</f>
        <v>484.46</v>
      </c>
      <c r="X28" s="180">
        <f>IF(SUM('附表1-面积统计表'!$D$6)=0,"",SUM(T28)-SUM(W28)-SUM(Y28))</f>
        <v>320.54</v>
      </c>
      <c r="Y28" s="180">
        <f>IF(SUM('附表1-面积统计表'!$D$6)=0,SUM(T28)-SUM(W28),IF('附表1-面积统计表'!$D$29=0,"",IF(AND(V28="共同成本费用",Z28="总建筑面积法"),ROUND(T28/'附表1-面积统计表'!$D$29*'附表1-面积统计表'!$D$7,2),IF(AND(V28="共同成本费用",Z28="可售建筑面积法"),ROUND(T28/'附表1-面积统计表'!$F$29*'附表1-面积统计表'!$F$7,2),"请手工填写"))))</f>
        <v>195</v>
      </c>
      <c r="Z28" s="183" t="s">
        <v>351</v>
      </c>
      <c r="AA28" s="157"/>
      <c r="AB28" s="184" t="s">
        <v>2319</v>
      </c>
      <c r="AC28" s="132">
        <f t="shared" si="1"/>
        <v>0</v>
      </c>
    </row>
    <row r="29" s="132" customFormat="1" ht="24" customHeight="1" spans="1:29">
      <c r="A29" s="150">
        <v>23</v>
      </c>
      <c r="B29" s="151">
        <v>43424</v>
      </c>
      <c r="C29" s="152" t="s">
        <v>2391</v>
      </c>
      <c r="D29" s="157" t="s">
        <v>2339</v>
      </c>
      <c r="E29" s="158" t="s">
        <v>2363</v>
      </c>
      <c r="F29" s="155" t="s">
        <v>2392</v>
      </c>
      <c r="G29" s="156" t="s">
        <v>2372</v>
      </c>
      <c r="H29" s="157" t="str">
        <f>IF(G29="","",VLOOKUP(G29,'附表8-合同明细采集底稿'!B:I,2,0))</f>
        <v>25-29号楼红、蓝线图</v>
      </c>
      <c r="I29" s="165" t="str">
        <f>IF(G29="","",VLOOKUP(G29,'附表8-合同明细采集底稿'!B:I,3,0))</f>
        <v>其他合同</v>
      </c>
      <c r="J29" s="154" t="s">
        <v>2373</v>
      </c>
      <c r="K29" s="157" t="s">
        <v>2355</v>
      </c>
      <c r="L29" s="166" t="s">
        <v>2393</v>
      </c>
      <c r="M29" s="155" t="s">
        <v>2394</v>
      </c>
      <c r="N29" s="167">
        <v>2600</v>
      </c>
      <c r="O29" s="167">
        <v>2756</v>
      </c>
      <c r="P29" s="167">
        <v>2756</v>
      </c>
      <c r="Q29" s="167"/>
      <c r="R29" s="167">
        <f t="shared" si="2"/>
        <v>2756</v>
      </c>
      <c r="S29" s="178">
        <f>IFERROR(VLOOKUP(G29,'附表8-合同明细采集底稿'!B:N,12,0),100%)</f>
        <v>1</v>
      </c>
      <c r="T29" s="167">
        <f t="shared" si="0"/>
        <v>2756</v>
      </c>
      <c r="U29" s="157" t="s">
        <v>2344</v>
      </c>
      <c r="V29" s="179" t="s">
        <v>375</v>
      </c>
      <c r="W29" s="180">
        <f>IF('附表1-面积统计表'!$D$29=0,"",IF(AND(V29="共同成本费用",Z29="总建筑面积法"),ROUND(T29/'附表1-面积统计表'!$D$29*'附表1-面积统计表'!$D$5,2),IF(AND(V29="共同成本费用",Z29="可售建筑面积法"),ROUND(T29/'附表1-面积统计表'!$F$29*'附表1-面积统计表'!$F$5,2),"请手工填写")))</f>
        <v>1335.18</v>
      </c>
      <c r="X29" s="180">
        <f>IF(SUM('附表1-面积统计表'!$D$6)=0,"",SUM(T29)-SUM(W29)-SUM(Y29))</f>
        <v>883.39</v>
      </c>
      <c r="Y29" s="180">
        <f>IF(SUM('附表1-面积统计表'!$D$6)=0,SUM(T29)-SUM(W29),IF('附表1-面积统计表'!$D$29=0,"",IF(AND(V29="共同成本费用",Z29="总建筑面积法"),ROUND(T29/'附表1-面积统计表'!$D$29*'附表1-面积统计表'!$D$7,2),IF(AND(V29="共同成本费用",Z29="可售建筑面积法"),ROUND(T29/'附表1-面积统计表'!$F$29*'附表1-面积统计表'!$F$7,2),"请手工填写"))))</f>
        <v>537.43</v>
      </c>
      <c r="Z29" s="183" t="s">
        <v>351</v>
      </c>
      <c r="AA29" s="157"/>
      <c r="AB29" s="184" t="s">
        <v>2319</v>
      </c>
      <c r="AC29" s="132">
        <f t="shared" si="1"/>
        <v>0</v>
      </c>
    </row>
    <row r="30" s="132" customFormat="1" ht="24" customHeight="1" spans="1:29">
      <c r="A30" s="150">
        <v>24</v>
      </c>
      <c r="B30" s="151">
        <v>43439</v>
      </c>
      <c r="C30" s="152" t="s">
        <v>2395</v>
      </c>
      <c r="D30" s="157" t="s">
        <v>2339</v>
      </c>
      <c r="E30" s="158" t="s">
        <v>2363</v>
      </c>
      <c r="F30" s="155" t="s">
        <v>2396</v>
      </c>
      <c r="G30" s="156" t="s">
        <v>2397</v>
      </c>
      <c r="H30" s="157" t="str">
        <f>IF(G30="","",VLOOKUP(G30,'附表8-合同明细采集底稿'!B:I,2,0))</f>
        <v>沁春锦苑室外管网设计</v>
      </c>
      <c r="I30" s="165" t="str">
        <f>IF(G30="","",VLOOKUP(G30,'附表8-合同明细采集底稿'!B:I,3,0))</f>
        <v>技术合同</v>
      </c>
      <c r="J30" s="154" t="s">
        <v>2388</v>
      </c>
      <c r="K30" s="157" t="s">
        <v>2355</v>
      </c>
      <c r="L30" s="166" t="s">
        <v>2393</v>
      </c>
      <c r="M30" s="155" t="s">
        <v>2398</v>
      </c>
      <c r="N30" s="167">
        <v>20407</v>
      </c>
      <c r="O30" s="167">
        <v>20407</v>
      </c>
      <c r="P30" s="167">
        <v>20407</v>
      </c>
      <c r="Q30" s="167"/>
      <c r="R30" s="167">
        <f t="shared" si="2"/>
        <v>20407</v>
      </c>
      <c r="S30" s="178">
        <f>IFERROR(VLOOKUP(G30,'附表8-合同明细采集底稿'!B:N,12,0),100%)</f>
        <v>0.338555832480367</v>
      </c>
      <c r="T30" s="167">
        <f t="shared" si="0"/>
        <v>6908.91</v>
      </c>
      <c r="U30" s="157" t="s">
        <v>2318</v>
      </c>
      <c r="V30" s="179" t="s">
        <v>375</v>
      </c>
      <c r="W30" s="180">
        <f>IF('附表1-面积统计表'!$D$29=0,"",IF(AND(V30="共同成本费用",Z30="总建筑面积法"),ROUND(T30/'附表1-面积统计表'!$D$29*'附表1-面积统计表'!$D$5,2),IF(AND(V30="共同成本费用",Z30="可售建筑面积法"),ROUND(T30/'附表1-面积统计表'!$F$29*'附表1-面积统计表'!$F$5,2),"请手工填写")))</f>
        <v>3347.11</v>
      </c>
      <c r="X30" s="180">
        <f>IF(SUM('附表1-面积统计表'!$D$6)=0,"",SUM(T30)-SUM(W30)-SUM(Y30))</f>
        <v>2214.54</v>
      </c>
      <c r="Y30" s="180">
        <f>IF(SUM('附表1-面积统计表'!$D$6)=0,SUM(T30)-SUM(W30),IF('附表1-面积统计表'!$D$29=0,"",IF(AND(V30="共同成本费用",Z30="总建筑面积法"),ROUND(T30/'附表1-面积统计表'!$D$29*'附表1-面积统计表'!$D$7,2),IF(AND(V30="共同成本费用",Z30="可售建筑面积法"),ROUND(T30/'附表1-面积统计表'!$F$29*'附表1-面积统计表'!$F$7,2),"请手工填写"))))</f>
        <v>1347.26</v>
      </c>
      <c r="Z30" s="183" t="s">
        <v>351</v>
      </c>
      <c r="AA30" s="157"/>
      <c r="AB30" s="184" t="s">
        <v>2319</v>
      </c>
      <c r="AC30" s="132">
        <f t="shared" si="1"/>
        <v>0</v>
      </c>
    </row>
    <row r="31" s="132" customFormat="1" ht="24" customHeight="1" spans="1:29">
      <c r="A31" s="150">
        <v>25</v>
      </c>
      <c r="B31" s="151">
        <v>43449</v>
      </c>
      <c r="C31" s="152" t="s">
        <v>2399</v>
      </c>
      <c r="D31" s="157" t="s">
        <v>2339</v>
      </c>
      <c r="E31" s="158" t="s">
        <v>2351</v>
      </c>
      <c r="F31" s="155" t="s">
        <v>2400</v>
      </c>
      <c r="G31" s="156" t="s">
        <v>2401</v>
      </c>
      <c r="H31" s="157" t="str">
        <f>IF(G31="","",VLOOKUP(G31,'附表8-合同明细采集底稿'!B:I,2,0))</f>
        <v>建设工程造价咨询合同</v>
      </c>
      <c r="I31" s="165" t="str">
        <f>IF(G31="","",VLOOKUP(G31,'附表8-合同明细采集底稿'!B:I,3,0))</f>
        <v>技术合同</v>
      </c>
      <c r="J31" s="154" t="s">
        <v>2402</v>
      </c>
      <c r="K31" s="157" t="s">
        <v>2355</v>
      </c>
      <c r="L31" s="166" t="s">
        <v>2403</v>
      </c>
      <c r="M31" s="155" t="s">
        <v>2404</v>
      </c>
      <c r="N31" s="167">
        <v>3883.49</v>
      </c>
      <c r="O31" s="167">
        <v>3999.54</v>
      </c>
      <c r="P31" s="167">
        <v>3883.49</v>
      </c>
      <c r="Q31" s="167"/>
      <c r="R31" s="167">
        <f t="shared" si="2"/>
        <v>3883.49</v>
      </c>
      <c r="S31" s="178">
        <f>IFERROR(VLOOKUP(G31,'附表8-合同明细采集底稿'!B:N,12,0),100%)</f>
        <v>1</v>
      </c>
      <c r="T31" s="167">
        <f t="shared" si="0"/>
        <v>3883.49</v>
      </c>
      <c r="U31" s="157" t="s">
        <v>2405</v>
      </c>
      <c r="V31" s="179" t="s">
        <v>374</v>
      </c>
      <c r="W31" s="181">
        <v>0</v>
      </c>
      <c r="X31" s="181">
        <v>0</v>
      </c>
      <c r="Y31" s="181">
        <v>3883.49</v>
      </c>
      <c r="Z31" s="183" t="s">
        <v>2406</v>
      </c>
      <c r="AA31" s="157"/>
      <c r="AB31" s="184" t="s">
        <v>2319</v>
      </c>
      <c r="AC31" s="132">
        <f t="shared" si="1"/>
        <v>0</v>
      </c>
    </row>
    <row r="32" s="132" customFormat="1" ht="24" customHeight="1" spans="1:29">
      <c r="A32" s="150">
        <v>26</v>
      </c>
      <c r="B32" s="151">
        <v>43455</v>
      </c>
      <c r="C32" s="152" t="s">
        <v>2362</v>
      </c>
      <c r="D32" s="157" t="s">
        <v>2339</v>
      </c>
      <c r="E32" s="158" t="s">
        <v>2363</v>
      </c>
      <c r="F32" s="155" t="s">
        <v>2407</v>
      </c>
      <c r="G32" s="156" t="s">
        <v>2372</v>
      </c>
      <c r="H32" s="157" t="str">
        <f>IF(G32="","",VLOOKUP(G32,'附表8-合同明细采集底稿'!B:I,2,0))</f>
        <v>25-29号楼红、蓝线图</v>
      </c>
      <c r="I32" s="165" t="str">
        <f>IF(G32="","",VLOOKUP(G32,'附表8-合同明细采集底稿'!B:I,3,0))</f>
        <v>其他合同</v>
      </c>
      <c r="J32" s="154" t="s">
        <v>2373</v>
      </c>
      <c r="K32" s="157" t="s">
        <v>2355</v>
      </c>
      <c r="L32" s="166" t="s">
        <v>2393</v>
      </c>
      <c r="M32" s="155" t="s">
        <v>2408</v>
      </c>
      <c r="N32" s="167">
        <v>1300</v>
      </c>
      <c r="O32" s="167">
        <v>1378</v>
      </c>
      <c r="P32" s="167">
        <v>1300</v>
      </c>
      <c r="Q32" s="167"/>
      <c r="R32" s="167">
        <f t="shared" si="2"/>
        <v>1300</v>
      </c>
      <c r="S32" s="178">
        <f>IFERROR(VLOOKUP(G32,'附表8-合同明细采集底稿'!B:N,12,0),100%)</f>
        <v>1</v>
      </c>
      <c r="T32" s="167">
        <f t="shared" si="0"/>
        <v>1300</v>
      </c>
      <c r="U32" s="157" t="s">
        <v>2344</v>
      </c>
      <c r="V32" s="179" t="s">
        <v>375</v>
      </c>
      <c r="W32" s="180">
        <f>IF('附表1-面积统计表'!$D$29=0,"",IF(AND(V32="共同成本费用",Z32="总建筑面积法"),ROUND(T32/'附表1-面积统计表'!$D$29*'附表1-面积统计表'!$D$5,2),IF(AND(V32="共同成本费用",Z32="可售建筑面积法"),ROUND(T32/'附表1-面积统计表'!$F$29*'附表1-面积统计表'!$F$5,2),"请手工填写")))</f>
        <v>629.8</v>
      </c>
      <c r="X32" s="180">
        <f>IF(SUM('附表1-面积统计表'!$D$6)=0,"",SUM(T32)-SUM(W32)-SUM(Y32))</f>
        <v>416.7</v>
      </c>
      <c r="Y32" s="180">
        <f>IF(SUM('附表1-面积统计表'!$D$6)=0,SUM(T32)-SUM(W32),IF('附表1-面积统计表'!$D$29=0,"",IF(AND(V32="共同成本费用",Z32="总建筑面积法"),ROUND(T32/'附表1-面积统计表'!$D$29*'附表1-面积统计表'!$D$7,2),IF(AND(V32="共同成本费用",Z32="可售建筑面积法"),ROUND(T32/'附表1-面积统计表'!$F$29*'附表1-面积统计表'!$F$7,2),"请手工填写"))))</f>
        <v>253.5</v>
      </c>
      <c r="Z32" s="183" t="s">
        <v>351</v>
      </c>
      <c r="AA32" s="157"/>
      <c r="AB32" s="184" t="s">
        <v>2319</v>
      </c>
      <c r="AC32" s="132">
        <f t="shared" si="1"/>
        <v>0</v>
      </c>
    </row>
    <row r="33" s="132" customFormat="1" ht="24" customHeight="1" spans="1:29">
      <c r="A33" s="150">
        <v>27</v>
      </c>
      <c r="B33" s="151">
        <v>43455</v>
      </c>
      <c r="C33" s="152" t="s">
        <v>2409</v>
      </c>
      <c r="D33" s="157" t="s">
        <v>2339</v>
      </c>
      <c r="E33" s="158" t="s">
        <v>2363</v>
      </c>
      <c r="F33" s="155" t="s">
        <v>2410</v>
      </c>
      <c r="G33" s="156" t="s">
        <v>2411</v>
      </c>
      <c r="H33" s="157" t="str">
        <f>IF(G33="","",VLOOKUP(G33,'附表8-合同明细采集底稿'!B:I,2,0))</f>
        <v>19#20#23#24#、25-30#、1#、大门审图费</v>
      </c>
      <c r="I33" s="165" t="str">
        <f>IF(G33="","",VLOOKUP(G33,'附表8-合同明细采集底稿'!B:I,3,0))</f>
        <v>买卖合同</v>
      </c>
      <c r="J33" s="154" t="s">
        <v>2366</v>
      </c>
      <c r="K33" s="157" t="s">
        <v>2355</v>
      </c>
      <c r="L33" s="166" t="s">
        <v>2367</v>
      </c>
      <c r="M33" s="155" t="s">
        <v>2412</v>
      </c>
      <c r="N33" s="167">
        <v>25555.66</v>
      </c>
      <c r="O33" s="167">
        <v>27089</v>
      </c>
      <c r="P33" s="167">
        <v>25555.66</v>
      </c>
      <c r="Q33" s="167"/>
      <c r="R33" s="167">
        <f t="shared" si="2"/>
        <v>25555.66</v>
      </c>
      <c r="S33" s="178">
        <f>IFERROR(VLOOKUP(G33,'附表8-合同明细采集底稿'!B:N,12,0),100%)</f>
        <v>1</v>
      </c>
      <c r="T33" s="167">
        <f t="shared" si="0"/>
        <v>25555.66</v>
      </c>
      <c r="U33" s="157" t="s">
        <v>2344</v>
      </c>
      <c r="V33" s="179" t="s">
        <v>375</v>
      </c>
      <c r="W33" s="180">
        <f>IF('附表1-面积统计表'!$D$29=0,"",IF(AND(V33="共同成本费用",Z33="总建筑面积法"),ROUND(T33/'附表1-面积统计表'!$D$29*'附表1-面积统计表'!$D$5,2),IF(AND(V33="共同成本费用",Z33="可售建筑面积法"),ROUND(T33/'附表1-面积统计表'!$F$29*'附表1-面积统计表'!$F$5,2),"请手工填写")))</f>
        <v>12380.77</v>
      </c>
      <c r="X33" s="180">
        <f>IF(SUM('附表1-面积统计表'!$D$6)=0,"",SUM(T33)-SUM(W33)-SUM(Y33))</f>
        <v>8191.46</v>
      </c>
      <c r="Y33" s="180">
        <f>IF(SUM('附表1-面积统计表'!$D$6)=0,SUM(T33)-SUM(W33),IF('附表1-面积统计表'!$D$29=0,"",IF(AND(V33="共同成本费用",Z33="总建筑面积法"),ROUND(T33/'附表1-面积统计表'!$D$29*'附表1-面积统计表'!$D$7,2),IF(AND(V33="共同成本费用",Z33="可售建筑面积法"),ROUND(T33/'附表1-面积统计表'!$F$29*'附表1-面积统计表'!$F$7,2),"请手工填写"))))</f>
        <v>4983.43</v>
      </c>
      <c r="Z33" s="183" t="s">
        <v>351</v>
      </c>
      <c r="AA33" s="157"/>
      <c r="AB33" s="184" t="s">
        <v>2319</v>
      </c>
      <c r="AC33" s="132">
        <f t="shared" si="1"/>
        <v>0</v>
      </c>
    </row>
    <row r="34" s="132" customFormat="1" ht="24" customHeight="1" spans="1:30">
      <c r="A34" s="150">
        <v>28</v>
      </c>
      <c r="B34" s="151">
        <v>43458</v>
      </c>
      <c r="C34" s="152" t="s">
        <v>2413</v>
      </c>
      <c r="D34" s="157" t="s">
        <v>2339</v>
      </c>
      <c r="E34" s="158" t="s">
        <v>2351</v>
      </c>
      <c r="F34" s="155" t="s">
        <v>2414</v>
      </c>
      <c r="G34" s="156" t="s">
        <v>2415</v>
      </c>
      <c r="H34" s="157" t="str">
        <f>IF(G34="","",VLOOKUP(G34,'附表8-合同明细采集底稿'!B:I,2,0))</f>
        <v>建设工程设计合同（19-24#、1#35#、大门、值班室）</v>
      </c>
      <c r="I34" s="165" t="str">
        <f>IF(G34="","",VLOOKUP(G34,'附表8-合同明细采集底稿'!B:I,3,0))</f>
        <v>技术合同</v>
      </c>
      <c r="J34" s="154" t="s">
        <v>2388</v>
      </c>
      <c r="K34" s="157" t="s">
        <v>2355</v>
      </c>
      <c r="L34" s="166" t="s">
        <v>2389</v>
      </c>
      <c r="M34" s="168" t="s">
        <v>2390</v>
      </c>
      <c r="N34" s="167">
        <v>96320.75</v>
      </c>
      <c r="O34" s="167">
        <v>102100</v>
      </c>
      <c r="P34" s="167">
        <v>96320.75</v>
      </c>
      <c r="Q34" s="167"/>
      <c r="R34" s="167">
        <f t="shared" si="2"/>
        <v>96320.75</v>
      </c>
      <c r="S34" s="178">
        <f>IFERROR(VLOOKUP(G34,'附表8-合同明细采集底稿'!B:N,12,0),100%)</f>
        <v>1</v>
      </c>
      <c r="T34" s="167">
        <f t="shared" si="0"/>
        <v>96320.75</v>
      </c>
      <c r="U34" s="157" t="s">
        <v>2416</v>
      </c>
      <c r="V34" s="179" t="s">
        <v>374</v>
      </c>
      <c r="W34" s="182">
        <f>ROUND(T34*成本分摊比例!$G$13/(成本分摊比例!$G$13+成本分摊比例!$H$13+成本分摊比例!$I$13),2)</f>
        <v>52042.27</v>
      </c>
      <c r="X34" s="182">
        <f>ROUND(T34*成本分摊比例!$H$13/(成本分摊比例!$G$13+成本分摊比例!$H$13+成本分摊比例!$I$13),2)</f>
        <v>34432.6</v>
      </c>
      <c r="Y34" s="182">
        <f>T34-W34-X34</f>
        <v>9845.88</v>
      </c>
      <c r="Z34" s="183" t="s">
        <v>2406</v>
      </c>
      <c r="AA34" s="157"/>
      <c r="AB34" s="184" t="s">
        <v>2319</v>
      </c>
      <c r="AC34" s="132">
        <f t="shared" si="1"/>
        <v>0</v>
      </c>
      <c r="AD34" s="185"/>
    </row>
    <row r="35" s="132" customFormat="1" ht="24" customHeight="1" spans="1:29">
      <c r="A35" s="150">
        <v>29</v>
      </c>
      <c r="B35" s="151">
        <v>43474</v>
      </c>
      <c r="C35" s="152" t="s">
        <v>2417</v>
      </c>
      <c r="D35" s="157" t="s">
        <v>2346</v>
      </c>
      <c r="E35" s="158" t="s">
        <v>2418</v>
      </c>
      <c r="F35" s="159" t="s">
        <v>2419</v>
      </c>
      <c r="G35" s="156"/>
      <c r="H35" s="157" t="str">
        <f>IF(G35="","",VLOOKUP(G35,'附表8-合同明细采集底稿'!B:I,2,0))</f>
        <v/>
      </c>
      <c r="I35" s="165" t="str">
        <f>IF(G35="","",VLOOKUP(G35,'附表8-合同明细采集底稿'!B:I,3,0))</f>
        <v/>
      </c>
      <c r="J35" s="165" t="s">
        <v>2420</v>
      </c>
      <c r="K35" s="157" t="s">
        <v>2335</v>
      </c>
      <c r="L35" s="168" t="s">
        <v>2336</v>
      </c>
      <c r="M35" s="155">
        <v>29772882</v>
      </c>
      <c r="N35" s="167">
        <v>5000</v>
      </c>
      <c r="O35" s="167">
        <v>5000</v>
      </c>
      <c r="P35" s="167">
        <v>5000</v>
      </c>
      <c r="Q35" s="167"/>
      <c r="R35" s="167">
        <f t="shared" si="2"/>
        <v>5000</v>
      </c>
      <c r="S35" s="178">
        <v>1</v>
      </c>
      <c r="T35" s="167">
        <f t="shared" si="0"/>
        <v>5000</v>
      </c>
      <c r="U35" s="157" t="s">
        <v>2344</v>
      </c>
      <c r="V35" s="179" t="s">
        <v>375</v>
      </c>
      <c r="W35" s="180">
        <f>IF('附表1-面积统计表'!$D$29=0,"",IF(AND(V35="共同成本费用",Z35="总建筑面积法"),ROUND(T35/'附表1-面积统计表'!$D$29*'附表1-面积统计表'!$D$5,2),IF(AND(V35="共同成本费用",Z35="可售建筑面积法"),ROUND(T35/'附表1-面积统计表'!$F$29*'附表1-面积统计表'!$F$5,2),"请手工填写")))</f>
        <v>2422.32</v>
      </c>
      <c r="X35" s="180">
        <f>IF(SUM('附表1-面积统计表'!$D$6)=0,"",SUM(T35)-SUM(W35)-SUM(Y35))</f>
        <v>1602.67</v>
      </c>
      <c r="Y35" s="180">
        <f>IF(SUM('附表1-面积统计表'!$D$6)=0,SUM(T35)-SUM(W35),IF('附表1-面积统计表'!$D$29=0,"",IF(AND(V35="共同成本费用",Z35="总建筑面积法"),ROUND(T35/'附表1-面积统计表'!$D$29*'附表1-面积统计表'!$D$7,2),IF(AND(V35="共同成本费用",Z35="可售建筑面积法"),ROUND(T35/'附表1-面积统计表'!$F$29*'附表1-面积统计表'!$F$7,2),"请手工填写"))))</f>
        <v>975.01</v>
      </c>
      <c r="Z35" s="183" t="s">
        <v>351</v>
      </c>
      <c r="AA35" s="157"/>
      <c r="AB35" s="184" t="s">
        <v>2319</v>
      </c>
      <c r="AC35" s="132">
        <f t="shared" si="1"/>
        <v>0</v>
      </c>
    </row>
    <row r="36" s="132" customFormat="1" ht="24" customHeight="1" spans="1:29">
      <c r="A36" s="150">
        <v>30</v>
      </c>
      <c r="B36" s="151">
        <v>43476</v>
      </c>
      <c r="C36" s="152" t="s">
        <v>2421</v>
      </c>
      <c r="D36" s="157" t="s">
        <v>2339</v>
      </c>
      <c r="E36" s="158" t="s">
        <v>2363</v>
      </c>
      <c r="F36" s="159" t="s">
        <v>2422</v>
      </c>
      <c r="G36" s="156" t="s">
        <v>2365</v>
      </c>
      <c r="H36" s="157" t="str">
        <f>IF(G36="","",VLOOKUP(G36,'附表8-合同明细采集底稿'!B:I,2,0))</f>
        <v>36#楼审图费、室外装饰（刘建军）审图费</v>
      </c>
      <c r="I36" s="165" t="str">
        <f>IF(G36="","",VLOOKUP(G36,'附表8-合同明细采集底稿'!B:I,3,0))</f>
        <v>其他合同</v>
      </c>
      <c r="J36" s="154" t="s">
        <v>2366</v>
      </c>
      <c r="K36" s="157" t="s">
        <v>2355</v>
      </c>
      <c r="L36" s="166" t="s">
        <v>2393</v>
      </c>
      <c r="M36" s="554" t="s">
        <v>2423</v>
      </c>
      <c r="N36" s="167">
        <v>118.87</v>
      </c>
      <c r="O36" s="167">
        <v>126</v>
      </c>
      <c r="P36" s="167">
        <v>118.87</v>
      </c>
      <c r="Q36" s="167">
        <v>-118.87</v>
      </c>
      <c r="R36" s="167">
        <f t="shared" si="2"/>
        <v>0</v>
      </c>
      <c r="S36" s="178">
        <f>IFERROR(VLOOKUP(G36,'附表8-合同明细采集底稿'!B:N,12,0),100%)</f>
        <v>1</v>
      </c>
      <c r="T36" s="167">
        <f t="shared" si="0"/>
        <v>0</v>
      </c>
      <c r="U36" s="157" t="s">
        <v>2344</v>
      </c>
      <c r="V36" s="179" t="s">
        <v>375</v>
      </c>
      <c r="W36" s="180">
        <f>IF('附表1-面积统计表'!$D$29=0,"",IF(AND(V36="共同成本费用",Z36="总建筑面积法"),ROUND(T36/'附表1-面积统计表'!$D$29*'附表1-面积统计表'!$D$5,2),IF(AND(V36="共同成本费用",Z36="可售建筑面积法"),ROUND(T36/'附表1-面积统计表'!$F$29*'附表1-面积统计表'!$F$5,2),"请手工填写")))</f>
        <v>0</v>
      </c>
      <c r="X36" s="180">
        <f>IF(SUM('附表1-面积统计表'!$D$6)=0,"",SUM(T36)-SUM(W36)-SUM(Y36))</f>
        <v>0</v>
      </c>
      <c r="Y36" s="180">
        <f>IF(SUM('附表1-面积统计表'!$D$6)=0,SUM(T36)-SUM(W36),IF('附表1-面积统计表'!$D$29=0,"",IF(AND(V36="共同成本费用",Z36="总建筑面积法"),ROUND(T36/'附表1-面积统计表'!$D$29*'附表1-面积统计表'!$D$7,2),IF(AND(V36="共同成本费用",Z36="可售建筑面积法"),ROUND(T36/'附表1-面积统计表'!$F$29*'附表1-面积统计表'!$F$7,2),"请手工填写"))))</f>
        <v>0</v>
      </c>
      <c r="Z36" s="183" t="s">
        <v>351</v>
      </c>
      <c r="AA36" s="157"/>
      <c r="AB36" s="184" t="s">
        <v>2319</v>
      </c>
      <c r="AC36" s="132">
        <f t="shared" si="1"/>
        <v>0</v>
      </c>
    </row>
    <row r="37" s="132" customFormat="1" ht="24" customHeight="1" spans="1:29">
      <c r="A37" s="150">
        <v>31</v>
      </c>
      <c r="B37" s="151">
        <v>43487</v>
      </c>
      <c r="C37" s="152" t="s">
        <v>2424</v>
      </c>
      <c r="D37" s="157" t="s">
        <v>2339</v>
      </c>
      <c r="E37" s="158" t="s">
        <v>2340</v>
      </c>
      <c r="F37" s="159" t="s">
        <v>2425</v>
      </c>
      <c r="G37" s="156"/>
      <c r="H37" s="157" t="str">
        <f>IF(G37="","",VLOOKUP(G37,'附表8-合同明细采集底稿'!B:I,2,0))</f>
        <v/>
      </c>
      <c r="I37" s="165" t="str">
        <f>IF(G37="","",VLOOKUP(G37,'附表8-合同明细采集底稿'!B:I,3,0))</f>
        <v/>
      </c>
      <c r="J37" s="154" t="s">
        <v>2384</v>
      </c>
      <c r="K37" s="157" t="s">
        <v>2335</v>
      </c>
      <c r="L37" s="168" t="s">
        <v>2336</v>
      </c>
      <c r="M37" s="155">
        <v>30019657</v>
      </c>
      <c r="N37" s="167">
        <v>504</v>
      </c>
      <c r="O37" s="167">
        <v>504</v>
      </c>
      <c r="P37" s="167">
        <v>504</v>
      </c>
      <c r="Q37" s="167"/>
      <c r="R37" s="167">
        <f t="shared" si="2"/>
        <v>504</v>
      </c>
      <c r="S37" s="178">
        <v>1</v>
      </c>
      <c r="T37" s="167">
        <f t="shared" si="0"/>
        <v>504</v>
      </c>
      <c r="U37" s="157" t="s">
        <v>2344</v>
      </c>
      <c r="V37" s="179" t="s">
        <v>375</v>
      </c>
      <c r="W37" s="180">
        <f>IF('附表1-面积统计表'!$D$29=0,"",IF(AND(V37="共同成本费用",Z37="总建筑面积法"),ROUND(T37/'附表1-面积统计表'!$D$29*'附表1-面积统计表'!$D$5,2),IF(AND(V37="共同成本费用",Z37="可售建筑面积法"),ROUND(T37/'附表1-面积统计表'!$F$29*'附表1-面积统计表'!$F$5,2),"请手工填写")))</f>
        <v>244.17</v>
      </c>
      <c r="X37" s="180">
        <f>IF(SUM('附表1-面积统计表'!$D$6)=0,"",SUM(T37)-SUM(W37)-SUM(Y37))</f>
        <v>161.55</v>
      </c>
      <c r="Y37" s="180">
        <f>IF(SUM('附表1-面积统计表'!$D$6)=0,SUM(T37)-SUM(W37),IF('附表1-面积统计表'!$D$29=0,"",IF(AND(V37="共同成本费用",Z37="总建筑面积法"),ROUND(T37/'附表1-面积统计表'!$D$29*'附表1-面积统计表'!$D$7,2),IF(AND(V37="共同成本费用",Z37="可售建筑面积法"),ROUND(T37/'附表1-面积统计表'!$F$29*'附表1-面积统计表'!$F$7,2),"请手工填写"))))</f>
        <v>98.28</v>
      </c>
      <c r="Z37" s="183" t="s">
        <v>351</v>
      </c>
      <c r="AA37" s="157"/>
      <c r="AB37" s="184" t="s">
        <v>2319</v>
      </c>
      <c r="AC37" s="132">
        <f t="shared" si="1"/>
        <v>0</v>
      </c>
    </row>
    <row r="38" s="132" customFormat="1" ht="24" customHeight="1" spans="1:29">
      <c r="A38" s="150">
        <v>32</v>
      </c>
      <c r="B38" s="151">
        <v>43490</v>
      </c>
      <c r="C38" s="152" t="s">
        <v>2426</v>
      </c>
      <c r="D38" s="157" t="s">
        <v>2339</v>
      </c>
      <c r="E38" s="158" t="s">
        <v>2351</v>
      </c>
      <c r="F38" s="159" t="s">
        <v>2352</v>
      </c>
      <c r="G38" s="156" t="s">
        <v>2353</v>
      </c>
      <c r="H38" s="157" t="str">
        <f>IF(G38="","",VLOOKUP(G38,'附表8-合同明细采集底稿'!B:I,2,0))</f>
        <v>规划设计合同书</v>
      </c>
      <c r="I38" s="165" t="str">
        <f>IF(G38="","",VLOOKUP(G38,'附表8-合同明细采集底稿'!B:I,3,0))</f>
        <v>技术合同</v>
      </c>
      <c r="J38" s="154" t="s">
        <v>2354</v>
      </c>
      <c r="K38" s="157" t="s">
        <v>2355</v>
      </c>
      <c r="L38" s="168" t="s">
        <v>2427</v>
      </c>
      <c r="M38" s="155" t="s">
        <v>2428</v>
      </c>
      <c r="N38" s="167">
        <v>377358.48</v>
      </c>
      <c r="O38" s="167">
        <v>400000</v>
      </c>
      <c r="P38" s="167">
        <v>377358.48</v>
      </c>
      <c r="Q38" s="167"/>
      <c r="R38" s="167">
        <f t="shared" si="2"/>
        <v>377358.48</v>
      </c>
      <c r="S38" s="178">
        <f>IFERROR(VLOOKUP(G38,'附表8-合同明细采集底稿'!B:N,12,0),100%)</f>
        <v>0.338555832480367</v>
      </c>
      <c r="T38" s="167">
        <f t="shared" si="0"/>
        <v>127756.91</v>
      </c>
      <c r="U38" s="157" t="s">
        <v>2318</v>
      </c>
      <c r="V38" s="179" t="s">
        <v>375</v>
      </c>
      <c r="W38" s="180">
        <f>IF('附表1-面积统计表'!$D$29=0,"",IF(AND(V38="共同成本费用",Z38="总建筑面积法"),ROUND(T38/'附表1-面积统计表'!$D$29*'附表1-面积统计表'!$D$5,2),IF(AND(V38="共同成本费用",Z38="可售建筑面积法"),ROUND(T38/'附表1-面积统计表'!$F$29*'附表1-面积统计表'!$F$5,2),"请手工填写")))</f>
        <v>61893.51</v>
      </c>
      <c r="X38" s="180">
        <f>IF(SUM('附表1-面积统计表'!$D$6)=0,"",SUM(T38)-SUM(W38)-SUM(Y38))</f>
        <v>40950.44</v>
      </c>
      <c r="Y38" s="180">
        <f>IF(SUM('附表1-面积统计表'!$D$6)=0,SUM(T38)-SUM(W38),IF('附表1-面积统计表'!$D$29=0,"",IF(AND(V38="共同成本费用",Z38="总建筑面积法"),ROUND(T38/'附表1-面积统计表'!$D$29*'附表1-面积统计表'!$D$7,2),IF(AND(V38="共同成本费用",Z38="可售建筑面积法"),ROUND(T38/'附表1-面积统计表'!$F$29*'附表1-面积统计表'!$F$7,2),"请手工填写"))))</f>
        <v>24912.96</v>
      </c>
      <c r="Z38" s="183" t="s">
        <v>351</v>
      </c>
      <c r="AA38" s="157"/>
      <c r="AB38" s="184" t="s">
        <v>2319</v>
      </c>
      <c r="AC38" s="132">
        <f t="shared" si="1"/>
        <v>0</v>
      </c>
    </row>
    <row r="39" s="132" customFormat="1" ht="24" customHeight="1" spans="1:30">
      <c r="A39" s="150">
        <v>33</v>
      </c>
      <c r="B39" s="151">
        <v>43456</v>
      </c>
      <c r="C39" s="160" t="s">
        <v>2429</v>
      </c>
      <c r="D39" s="157" t="s">
        <v>2339</v>
      </c>
      <c r="E39" s="158" t="s">
        <v>2363</v>
      </c>
      <c r="F39" s="159" t="s">
        <v>2430</v>
      </c>
      <c r="G39" s="156" t="s">
        <v>2431</v>
      </c>
      <c r="H39" s="157" t="str">
        <f>IF(G39="","",VLOOKUP(G39,'附表8-合同明细采集底稿'!B:I,2,0))</f>
        <v>建设工程勘察合同（1#35#，19-24#楼）19-24#</v>
      </c>
      <c r="I39" s="165" t="str">
        <f>IF(G39="","",VLOOKUP(G39,'附表8-合同明细采集底稿'!B:I,3,0))</f>
        <v>技术合同</v>
      </c>
      <c r="J39" s="154" t="s">
        <v>2432</v>
      </c>
      <c r="K39" s="157" t="s">
        <v>2355</v>
      </c>
      <c r="L39" s="168">
        <v>6500182130</v>
      </c>
      <c r="M39" s="155" t="s">
        <v>2433</v>
      </c>
      <c r="N39" s="167">
        <v>18867.92</v>
      </c>
      <c r="O39" s="167">
        <v>20000</v>
      </c>
      <c r="P39" s="167">
        <v>20000</v>
      </c>
      <c r="Q39" s="167"/>
      <c r="R39" s="167">
        <f t="shared" si="2"/>
        <v>20000</v>
      </c>
      <c r="S39" s="178">
        <f>IFERROR(VLOOKUP(G39,'附表8-合同明细采集底稿'!B:N,12,0),100%)</f>
        <v>1</v>
      </c>
      <c r="T39" s="167">
        <f t="shared" si="0"/>
        <v>20000</v>
      </c>
      <c r="U39" s="157" t="s">
        <v>2416</v>
      </c>
      <c r="V39" s="179" t="s">
        <v>374</v>
      </c>
      <c r="W39" s="182">
        <f>ROUND(T39*成本分摊比例!$G$13/(成本分摊比例!$G$13+成本分摊比例!$H$13+成本分摊比例!$I$13),2)</f>
        <v>10806.04</v>
      </c>
      <c r="X39" s="182">
        <f>ROUND(T39*成本分摊比例!$H$13/(成本分摊比例!$G$13+成本分摊比例!$H$13+成本分摊比例!$I$13),2)</f>
        <v>7149.57</v>
      </c>
      <c r="Y39" s="182">
        <f>T39-W39-X39</f>
        <v>2044.39</v>
      </c>
      <c r="Z39" s="183" t="s">
        <v>2406</v>
      </c>
      <c r="AA39" s="157"/>
      <c r="AB39" s="184" t="s">
        <v>2319</v>
      </c>
      <c r="AC39" s="132">
        <f t="shared" si="1"/>
        <v>0</v>
      </c>
      <c r="AD39" s="185"/>
    </row>
    <row r="40" s="132" customFormat="1" ht="24" customHeight="1" spans="1:29">
      <c r="A40" s="150">
        <v>34</v>
      </c>
      <c r="B40" s="151">
        <v>43540</v>
      </c>
      <c r="C40" s="152" t="s">
        <v>2434</v>
      </c>
      <c r="D40" s="157" t="s">
        <v>2346</v>
      </c>
      <c r="E40" s="158" t="s">
        <v>2418</v>
      </c>
      <c r="F40" s="159" t="s">
        <v>2435</v>
      </c>
      <c r="G40" s="156"/>
      <c r="H40" s="157" t="str">
        <f>IF(G40="","",VLOOKUP(G40,'附表8-合同明细采集底稿'!B:I,2,0))</f>
        <v/>
      </c>
      <c r="I40" s="165" t="str">
        <f>IF(G40="","",VLOOKUP(G40,'附表8-合同明细采集底稿'!B:I,3,0))</f>
        <v/>
      </c>
      <c r="J40" s="165" t="s">
        <v>2436</v>
      </c>
      <c r="K40" s="157" t="s">
        <v>2335</v>
      </c>
      <c r="L40" s="168" t="s">
        <v>2336</v>
      </c>
      <c r="M40" s="155">
        <v>11903135</v>
      </c>
      <c r="N40" s="167">
        <v>1200</v>
      </c>
      <c r="O40" s="167">
        <v>1200</v>
      </c>
      <c r="P40" s="167">
        <v>1200</v>
      </c>
      <c r="Q40" s="167"/>
      <c r="R40" s="167">
        <f t="shared" si="2"/>
        <v>1200</v>
      </c>
      <c r="S40" s="178">
        <v>1</v>
      </c>
      <c r="T40" s="167">
        <f t="shared" ref="T40:T53" si="3">ROUND(SUM(R40)*SUM(S40),2)</f>
        <v>1200</v>
      </c>
      <c r="U40" s="157" t="s">
        <v>2344</v>
      </c>
      <c r="V40" s="179" t="s">
        <v>375</v>
      </c>
      <c r="W40" s="180">
        <f>IF('附表1-面积统计表'!$D$29=0,"",IF(AND(V40="共同成本费用",Z40="总建筑面积法"),ROUND(T40/'附表1-面积统计表'!$D$29*'附表1-面积统计表'!$D$5,2),IF(AND(V40="共同成本费用",Z40="可售建筑面积法"),ROUND(T40/'附表1-面积统计表'!$F$29*'附表1-面积统计表'!$F$5,2),"请手工填写")))</f>
        <v>581.36</v>
      </c>
      <c r="X40" s="180">
        <f>IF(SUM('附表1-面积统计表'!$D$6)=0,"",SUM(T40)-SUM(W40)-SUM(Y40))</f>
        <v>384.64</v>
      </c>
      <c r="Y40" s="180">
        <f>IF(SUM('附表1-面积统计表'!$D$6)=0,SUM(T40)-SUM(W40),IF('附表1-面积统计表'!$D$29=0,"",IF(AND(V40="共同成本费用",Z40="总建筑面积法"),ROUND(T40/'附表1-面积统计表'!$D$29*'附表1-面积统计表'!$D$7,2),IF(AND(V40="共同成本费用",Z40="可售建筑面积法"),ROUND(T40/'附表1-面积统计表'!$F$29*'附表1-面积统计表'!$F$7,2),"请手工填写"))))</f>
        <v>234</v>
      </c>
      <c r="Z40" s="183" t="s">
        <v>351</v>
      </c>
      <c r="AA40" s="157"/>
      <c r="AB40" s="184" t="s">
        <v>2319</v>
      </c>
      <c r="AC40" s="132">
        <f t="shared" si="1"/>
        <v>0</v>
      </c>
    </row>
    <row r="41" s="132" customFormat="1" ht="24" customHeight="1" spans="1:29">
      <c r="A41" s="150">
        <v>35</v>
      </c>
      <c r="B41" s="151">
        <v>43542</v>
      </c>
      <c r="C41" s="152" t="s">
        <v>2437</v>
      </c>
      <c r="D41" s="157" t="s">
        <v>2339</v>
      </c>
      <c r="E41" s="158" t="s">
        <v>2370</v>
      </c>
      <c r="F41" s="159" t="s">
        <v>2438</v>
      </c>
      <c r="G41" s="156"/>
      <c r="H41" s="157" t="str">
        <f>IF(G41="","",VLOOKUP(G41,'附表8-合同明细采集底稿'!B:I,2,0))</f>
        <v/>
      </c>
      <c r="I41" s="165" t="str">
        <f>IF(G41="","",VLOOKUP(G41,'附表8-合同明细采集底稿'!B:I,3,0))</f>
        <v/>
      </c>
      <c r="J41" s="154" t="s">
        <v>2439</v>
      </c>
      <c r="K41" s="157" t="s">
        <v>2355</v>
      </c>
      <c r="L41" s="166" t="s">
        <v>2393</v>
      </c>
      <c r="M41" s="554" t="s">
        <v>2440</v>
      </c>
      <c r="N41" s="167">
        <v>28301.89</v>
      </c>
      <c r="O41" s="167">
        <v>30000</v>
      </c>
      <c r="P41" s="167">
        <v>28301.89</v>
      </c>
      <c r="Q41" s="167"/>
      <c r="R41" s="167">
        <f t="shared" si="2"/>
        <v>28301.89</v>
      </c>
      <c r="S41" s="178">
        <v>1</v>
      </c>
      <c r="T41" s="167">
        <f t="shared" si="3"/>
        <v>28301.89</v>
      </c>
      <c r="U41" s="157" t="s">
        <v>2344</v>
      </c>
      <c r="V41" s="179" t="s">
        <v>375</v>
      </c>
      <c r="W41" s="180">
        <f>IF('附表1-面积统计表'!$D$29=0,"",IF(AND(V41="共同成本费用",Z41="总建筑面积法"),ROUND(T41/'附表1-面积统计表'!$D$29*'附表1-面积统计表'!$D$5,2),IF(AND(V41="共同成本费用",Z41="可售建筑面积法"),ROUND(T41/'附表1-面积统计表'!$F$29*'附表1-面积统计表'!$F$5,2),"请手工填写")))</f>
        <v>13711.22</v>
      </c>
      <c r="X41" s="180">
        <f>IF(SUM('附表1-面积统计表'!$D$6)=0,"",SUM(T41)-SUM(W41)-SUM(Y41))</f>
        <v>9071.72</v>
      </c>
      <c r="Y41" s="180">
        <f>IF(SUM('附表1-面积统计表'!$D$6)=0,SUM(T41)-SUM(W41),IF('附表1-面积统计表'!$D$29=0,"",IF(AND(V41="共同成本费用",Z41="总建筑面积法"),ROUND(T41/'附表1-面积统计表'!$D$29*'附表1-面积统计表'!$D$7,2),IF(AND(V41="共同成本费用",Z41="可售建筑面积法"),ROUND(T41/'附表1-面积统计表'!$F$29*'附表1-面积统计表'!$F$7,2),"请手工填写"))))</f>
        <v>5518.95</v>
      </c>
      <c r="Z41" s="183" t="s">
        <v>351</v>
      </c>
      <c r="AA41" s="157"/>
      <c r="AB41" s="184" t="s">
        <v>2319</v>
      </c>
      <c r="AC41" s="132">
        <f t="shared" si="1"/>
        <v>0</v>
      </c>
    </row>
    <row r="42" s="132" customFormat="1" ht="24" customHeight="1" spans="1:29">
      <c r="A42" s="150">
        <v>36</v>
      </c>
      <c r="B42" s="151">
        <v>43544</v>
      </c>
      <c r="C42" s="152" t="s">
        <v>2441</v>
      </c>
      <c r="D42" s="157" t="s">
        <v>2339</v>
      </c>
      <c r="E42" s="158" t="s">
        <v>2351</v>
      </c>
      <c r="F42" s="159" t="s">
        <v>2352</v>
      </c>
      <c r="G42" s="156" t="s">
        <v>2353</v>
      </c>
      <c r="H42" s="157" t="str">
        <f>IF(G42="","",VLOOKUP(G42,'附表8-合同明细采集底稿'!B:I,2,0))</f>
        <v>规划设计合同书</v>
      </c>
      <c r="I42" s="165" t="str">
        <f>IF(G42="","",VLOOKUP(G42,'附表8-合同明细采集底稿'!B:I,3,0))</f>
        <v>技术合同</v>
      </c>
      <c r="J42" s="154" t="s">
        <v>2354</v>
      </c>
      <c r="K42" s="157" t="s">
        <v>2355</v>
      </c>
      <c r="L42" s="168" t="s">
        <v>2393</v>
      </c>
      <c r="M42" s="155" t="s">
        <v>2442</v>
      </c>
      <c r="N42" s="167">
        <v>157831.87</v>
      </c>
      <c r="O42" s="167">
        <v>167301.79</v>
      </c>
      <c r="P42" s="167">
        <v>157831.87</v>
      </c>
      <c r="Q42" s="167">
        <v>119686.06</v>
      </c>
      <c r="R42" s="167">
        <f t="shared" si="2"/>
        <v>277517.93</v>
      </c>
      <c r="S42" s="178">
        <f>IFERROR(VLOOKUP(G42,'附表8-合同明细采集底稿'!B:N,12,0),100%)</f>
        <v>0.338555832480367</v>
      </c>
      <c r="T42" s="167">
        <f t="shared" si="3"/>
        <v>93955.31</v>
      </c>
      <c r="U42" s="157" t="s">
        <v>2318</v>
      </c>
      <c r="V42" s="179" t="s">
        <v>375</v>
      </c>
      <c r="W42" s="180">
        <f>IF('附表1-面积统计表'!$D$29=0,"",IF(AND(V42="共同成本费用",Z42="总建筑面积法"),ROUND(T42/'附表1-面积统计表'!$D$29*'附表1-面积统计表'!$D$5,2),IF(AND(V42="共同成本费用",Z42="可售建筑面积法"),ROUND(T42/'附表1-面积统计表'!$F$29*'附表1-面积统计表'!$F$5,2),"请手工填写")))</f>
        <v>45517.88</v>
      </c>
      <c r="X42" s="180">
        <f>IF(SUM('附表1-面积统计表'!$D$6)=0,"",SUM(T42)-SUM(W42)-SUM(Y42))</f>
        <v>30115.88</v>
      </c>
      <c r="Y42" s="180">
        <f>IF(SUM('附表1-面积统计表'!$D$6)=0,SUM(T42)-SUM(W42),IF('附表1-面积统计表'!$D$29=0,"",IF(AND(V42="共同成本费用",Z42="总建筑面积法"),ROUND(T42/'附表1-面积统计表'!$D$29*'附表1-面积统计表'!$D$7,2),IF(AND(V42="共同成本费用",Z42="可售建筑面积法"),ROUND(T42/'附表1-面积统计表'!$F$29*'附表1-面积统计表'!$F$7,2),"请手工填写"))))</f>
        <v>18321.55</v>
      </c>
      <c r="Z42" s="183" t="s">
        <v>351</v>
      </c>
      <c r="AA42" s="157"/>
      <c r="AB42" s="184" t="s">
        <v>2319</v>
      </c>
      <c r="AC42" s="132">
        <f t="shared" si="1"/>
        <v>0</v>
      </c>
    </row>
    <row r="43" s="132" customFormat="1" ht="24" customHeight="1" spans="1:29">
      <c r="A43" s="150">
        <v>37</v>
      </c>
      <c r="B43" s="151">
        <v>43553</v>
      </c>
      <c r="C43" s="152" t="s">
        <v>2443</v>
      </c>
      <c r="D43" s="157" t="s">
        <v>2346</v>
      </c>
      <c r="E43" s="158" t="s">
        <v>2418</v>
      </c>
      <c r="F43" s="159" t="s">
        <v>2444</v>
      </c>
      <c r="G43" s="156"/>
      <c r="H43" s="157" t="str">
        <f>IF(G43="","",VLOOKUP(G43,'附表8-合同明细采集底稿'!B:I,2,0))</f>
        <v/>
      </c>
      <c r="I43" s="165" t="str">
        <f>IF(G43="","",VLOOKUP(G43,'附表8-合同明细采集底稿'!B:I,3,0))</f>
        <v/>
      </c>
      <c r="J43" s="165" t="s">
        <v>2445</v>
      </c>
      <c r="K43" s="157" t="s">
        <v>2335</v>
      </c>
      <c r="L43" s="168" t="s">
        <v>2336</v>
      </c>
      <c r="M43" s="155">
        <v>18464859</v>
      </c>
      <c r="N43" s="167">
        <v>4950</v>
      </c>
      <c r="O43" s="167">
        <v>4950</v>
      </c>
      <c r="P43" s="167">
        <v>4950</v>
      </c>
      <c r="Q43" s="167">
        <v>-4950</v>
      </c>
      <c r="R43" s="167">
        <f t="shared" si="2"/>
        <v>0</v>
      </c>
      <c r="S43" s="178">
        <v>1</v>
      </c>
      <c r="T43" s="167">
        <f t="shared" si="3"/>
        <v>0</v>
      </c>
      <c r="U43" s="157" t="s">
        <v>2344</v>
      </c>
      <c r="V43" s="179" t="s">
        <v>375</v>
      </c>
      <c r="W43" s="180">
        <f>IF('附表1-面积统计表'!$D$29=0,"",IF(AND(V43="共同成本费用",Z43="总建筑面积法"),ROUND(T43/'附表1-面积统计表'!$D$29*'附表1-面积统计表'!$D$5,2),IF(AND(V43="共同成本费用",Z43="可售建筑面积法"),ROUND(T43/'附表1-面积统计表'!$F$29*'附表1-面积统计表'!$F$5,2),"请手工填写")))</f>
        <v>0</v>
      </c>
      <c r="X43" s="180">
        <f>IF(SUM('附表1-面积统计表'!$D$6)=0,"",SUM(T43)-SUM(W43)-SUM(Y43))</f>
        <v>0</v>
      </c>
      <c r="Y43" s="180">
        <f>IF(SUM('附表1-面积统计表'!$D$6)=0,SUM(T43)-SUM(W43),IF('附表1-面积统计表'!$D$29=0,"",IF(AND(V43="共同成本费用",Z43="总建筑面积法"),ROUND(T43/'附表1-面积统计表'!$D$29*'附表1-面积统计表'!$D$7,2),IF(AND(V43="共同成本费用",Z43="可售建筑面积法"),ROUND(T43/'附表1-面积统计表'!$F$29*'附表1-面积统计表'!$F$7,2),"请手工填写"))))</f>
        <v>0</v>
      </c>
      <c r="Z43" s="183" t="s">
        <v>351</v>
      </c>
      <c r="AA43" s="157"/>
      <c r="AB43" s="184" t="s">
        <v>2319</v>
      </c>
      <c r="AC43" s="132">
        <f t="shared" si="1"/>
        <v>0</v>
      </c>
    </row>
    <row r="44" s="132" customFormat="1" ht="24" customHeight="1" spans="1:29">
      <c r="A44" s="150">
        <v>38</v>
      </c>
      <c r="B44" s="151">
        <v>43557</v>
      </c>
      <c r="C44" s="152" t="s">
        <v>2446</v>
      </c>
      <c r="D44" s="157" t="s">
        <v>2346</v>
      </c>
      <c r="E44" s="158" t="s">
        <v>2418</v>
      </c>
      <c r="F44" s="159" t="s">
        <v>2447</v>
      </c>
      <c r="G44" s="156"/>
      <c r="H44" s="157" t="str">
        <f>IF(G44="","",VLOOKUP(G44,'附表8-合同明细采集底稿'!B:I,2,0))</f>
        <v/>
      </c>
      <c r="I44" s="165" t="str">
        <f>IF(G44="","",VLOOKUP(G44,'附表8-合同明细采集底稿'!B:I,3,0))</f>
        <v/>
      </c>
      <c r="J44" s="165" t="s">
        <v>2448</v>
      </c>
      <c r="K44" s="157" t="s">
        <v>2335</v>
      </c>
      <c r="L44" s="168" t="s">
        <v>2336</v>
      </c>
      <c r="M44" s="554" t="s">
        <v>2449</v>
      </c>
      <c r="N44" s="167">
        <v>2000</v>
      </c>
      <c r="O44" s="167">
        <v>2000</v>
      </c>
      <c r="P44" s="167">
        <v>2000</v>
      </c>
      <c r="Q44" s="167">
        <v>-2000</v>
      </c>
      <c r="R44" s="167">
        <f t="shared" si="2"/>
        <v>0</v>
      </c>
      <c r="S44" s="178">
        <v>1</v>
      </c>
      <c r="T44" s="167">
        <f t="shared" si="3"/>
        <v>0</v>
      </c>
      <c r="U44" s="157" t="s">
        <v>2344</v>
      </c>
      <c r="V44" s="179" t="s">
        <v>375</v>
      </c>
      <c r="W44" s="180">
        <f>IF('附表1-面积统计表'!$D$29=0,"",IF(AND(V44="共同成本费用",Z44="总建筑面积法"),ROUND(T44/'附表1-面积统计表'!$D$29*'附表1-面积统计表'!$D$5,2),IF(AND(V44="共同成本费用",Z44="可售建筑面积法"),ROUND(T44/'附表1-面积统计表'!$F$29*'附表1-面积统计表'!$F$5,2),"请手工填写")))</f>
        <v>0</v>
      </c>
      <c r="X44" s="180">
        <f>IF(SUM('附表1-面积统计表'!$D$6)=0,"",SUM(T44)-SUM(W44)-SUM(Y44))</f>
        <v>0</v>
      </c>
      <c r="Y44" s="180">
        <f>IF(SUM('附表1-面积统计表'!$D$6)=0,SUM(T44)-SUM(W44),IF('附表1-面积统计表'!$D$29=0,"",IF(AND(V44="共同成本费用",Z44="总建筑面积法"),ROUND(T44/'附表1-面积统计表'!$D$29*'附表1-面积统计表'!$D$7,2),IF(AND(V44="共同成本费用",Z44="可售建筑面积法"),ROUND(T44/'附表1-面积统计表'!$F$29*'附表1-面积统计表'!$F$7,2),"请手工填写"))))</f>
        <v>0</v>
      </c>
      <c r="Z44" s="183" t="s">
        <v>351</v>
      </c>
      <c r="AA44" s="157"/>
      <c r="AB44" s="184" t="s">
        <v>2319</v>
      </c>
      <c r="AC44" s="132">
        <f t="shared" si="1"/>
        <v>0</v>
      </c>
    </row>
    <row r="45" s="132" customFormat="1" ht="24" customHeight="1" spans="1:29">
      <c r="A45" s="150">
        <v>39</v>
      </c>
      <c r="B45" s="151">
        <v>43561</v>
      </c>
      <c r="C45" s="152" t="s">
        <v>2450</v>
      </c>
      <c r="D45" s="157" t="s">
        <v>2339</v>
      </c>
      <c r="E45" s="158" t="s">
        <v>2363</v>
      </c>
      <c r="F45" s="159" t="s">
        <v>2451</v>
      </c>
      <c r="G45" s="156"/>
      <c r="H45" s="157" t="str">
        <f>IF(G45="","",VLOOKUP(G45,'附表8-合同明细采集底稿'!B:I,2,0))</f>
        <v/>
      </c>
      <c r="I45" s="165" t="str">
        <f>IF(G45="","",VLOOKUP(G45,'附表8-合同明细采集底稿'!B:I,3,0))</f>
        <v/>
      </c>
      <c r="J45" s="154" t="s">
        <v>2439</v>
      </c>
      <c r="K45" s="157" t="s">
        <v>2335</v>
      </c>
      <c r="L45" s="168" t="s">
        <v>2336</v>
      </c>
      <c r="M45" s="155">
        <v>15916273</v>
      </c>
      <c r="N45" s="167">
        <v>400</v>
      </c>
      <c r="O45" s="167">
        <v>400</v>
      </c>
      <c r="P45" s="167">
        <v>400</v>
      </c>
      <c r="Q45" s="167"/>
      <c r="R45" s="167">
        <f t="shared" si="2"/>
        <v>400</v>
      </c>
      <c r="S45" s="178">
        <v>1</v>
      </c>
      <c r="T45" s="167">
        <f t="shared" si="3"/>
        <v>400</v>
      </c>
      <c r="U45" s="157" t="s">
        <v>2344</v>
      </c>
      <c r="V45" s="179" t="s">
        <v>375</v>
      </c>
      <c r="W45" s="180">
        <f>IF('附表1-面积统计表'!$D$29=0,"",IF(AND(V45="共同成本费用",Z45="总建筑面积法"),ROUND(T45/'附表1-面积统计表'!$D$29*'附表1-面积统计表'!$D$5,2),IF(AND(V45="共同成本费用",Z45="可售建筑面积法"),ROUND(T45/'附表1-面积统计表'!$F$29*'附表1-面积统计表'!$F$5,2),"请手工填写")))</f>
        <v>193.79</v>
      </c>
      <c r="X45" s="180">
        <f>IF(SUM('附表1-面积统计表'!$D$6)=0,"",SUM(T45)-SUM(W45)-SUM(Y45))</f>
        <v>128.21</v>
      </c>
      <c r="Y45" s="180">
        <f>IF(SUM('附表1-面积统计表'!$D$6)=0,SUM(T45)-SUM(W45),IF('附表1-面积统计表'!$D$29=0,"",IF(AND(V45="共同成本费用",Z45="总建筑面积法"),ROUND(T45/'附表1-面积统计表'!$D$29*'附表1-面积统计表'!$D$7,2),IF(AND(V45="共同成本费用",Z45="可售建筑面积法"),ROUND(T45/'附表1-面积统计表'!$F$29*'附表1-面积统计表'!$F$7,2),"请手工填写"))))</f>
        <v>78</v>
      </c>
      <c r="Z45" s="183" t="s">
        <v>351</v>
      </c>
      <c r="AA45" s="157"/>
      <c r="AB45" s="184" t="s">
        <v>2319</v>
      </c>
      <c r="AC45" s="132">
        <f t="shared" si="1"/>
        <v>0</v>
      </c>
    </row>
    <row r="46" s="132" customFormat="1" ht="24" customHeight="1" spans="1:29">
      <c r="A46" s="150">
        <v>40</v>
      </c>
      <c r="B46" s="151">
        <v>43561</v>
      </c>
      <c r="C46" s="152" t="s">
        <v>2386</v>
      </c>
      <c r="D46" s="157" t="s">
        <v>2339</v>
      </c>
      <c r="E46" s="158" t="s">
        <v>2363</v>
      </c>
      <c r="F46" s="159" t="s">
        <v>2451</v>
      </c>
      <c r="G46" s="156"/>
      <c r="H46" s="157" t="str">
        <f>IF(G46="","",VLOOKUP(G46,'附表8-合同明细采集底稿'!B:I,2,0))</f>
        <v/>
      </c>
      <c r="I46" s="165" t="str">
        <f>IF(G46="","",VLOOKUP(G46,'附表8-合同明细采集底稿'!B:I,3,0))</f>
        <v/>
      </c>
      <c r="J46" s="154" t="s">
        <v>2439</v>
      </c>
      <c r="K46" s="157" t="s">
        <v>2335</v>
      </c>
      <c r="L46" s="168" t="s">
        <v>2336</v>
      </c>
      <c r="M46" s="155">
        <v>15916270</v>
      </c>
      <c r="N46" s="167">
        <v>450</v>
      </c>
      <c r="O46" s="167">
        <v>450</v>
      </c>
      <c r="P46" s="167">
        <v>450</v>
      </c>
      <c r="Q46" s="167"/>
      <c r="R46" s="167">
        <f t="shared" si="2"/>
        <v>450</v>
      </c>
      <c r="S46" s="178">
        <v>1</v>
      </c>
      <c r="T46" s="167">
        <f t="shared" si="3"/>
        <v>450</v>
      </c>
      <c r="U46" s="157" t="s">
        <v>2344</v>
      </c>
      <c r="V46" s="179" t="s">
        <v>375</v>
      </c>
      <c r="W46" s="180">
        <f>IF('附表1-面积统计表'!$D$29=0,"",IF(AND(V46="共同成本费用",Z46="总建筑面积法"),ROUND(T46/'附表1-面积统计表'!$D$29*'附表1-面积统计表'!$D$5,2),IF(AND(V46="共同成本费用",Z46="可售建筑面积法"),ROUND(T46/'附表1-面积统计表'!$F$29*'附表1-面积统计表'!$F$5,2),"请手工填写")))</f>
        <v>218.01</v>
      </c>
      <c r="X46" s="180">
        <f>IF(SUM('附表1-面积统计表'!$D$6)=0,"",SUM(T46)-SUM(W46)-SUM(Y46))</f>
        <v>144.24</v>
      </c>
      <c r="Y46" s="180">
        <f>IF(SUM('附表1-面积统计表'!$D$6)=0,SUM(T46)-SUM(W46),IF('附表1-面积统计表'!$D$29=0,"",IF(AND(V46="共同成本费用",Z46="总建筑面积法"),ROUND(T46/'附表1-面积统计表'!$D$29*'附表1-面积统计表'!$D$7,2),IF(AND(V46="共同成本费用",Z46="可售建筑面积法"),ROUND(T46/'附表1-面积统计表'!$F$29*'附表1-面积统计表'!$F$7,2),"请手工填写"))))</f>
        <v>87.75</v>
      </c>
      <c r="Z46" s="183" t="s">
        <v>351</v>
      </c>
      <c r="AA46" s="157"/>
      <c r="AB46" s="184" t="s">
        <v>2319</v>
      </c>
      <c r="AC46" s="132">
        <f t="shared" si="1"/>
        <v>0</v>
      </c>
    </row>
    <row r="47" s="132" customFormat="1" ht="24" customHeight="1" spans="1:29">
      <c r="A47" s="150">
        <v>41</v>
      </c>
      <c r="B47" s="151">
        <v>43561</v>
      </c>
      <c r="C47" s="152" t="s">
        <v>2382</v>
      </c>
      <c r="D47" s="157" t="s">
        <v>2339</v>
      </c>
      <c r="E47" s="158" t="s">
        <v>2370</v>
      </c>
      <c r="F47" s="159" t="s">
        <v>2438</v>
      </c>
      <c r="G47" s="156"/>
      <c r="H47" s="157" t="str">
        <f>IF(G47="","",VLOOKUP(G47,'附表8-合同明细采集底稿'!B:I,2,0))</f>
        <v/>
      </c>
      <c r="I47" s="165" t="str">
        <f>IF(G47="","",VLOOKUP(G47,'附表8-合同明细采集底稿'!B:I,3,0))</f>
        <v/>
      </c>
      <c r="J47" s="154" t="s">
        <v>2452</v>
      </c>
      <c r="K47" s="157" t="s">
        <v>2335</v>
      </c>
      <c r="L47" s="168" t="s">
        <v>2336</v>
      </c>
      <c r="M47" s="155">
        <v>15728397</v>
      </c>
      <c r="N47" s="167">
        <v>2000</v>
      </c>
      <c r="O47" s="167">
        <v>2000</v>
      </c>
      <c r="P47" s="167">
        <v>2000</v>
      </c>
      <c r="Q47" s="167"/>
      <c r="R47" s="167">
        <f t="shared" si="2"/>
        <v>2000</v>
      </c>
      <c r="S47" s="178">
        <v>1</v>
      </c>
      <c r="T47" s="167">
        <f t="shared" si="3"/>
        <v>2000</v>
      </c>
      <c r="U47" s="157" t="s">
        <v>2344</v>
      </c>
      <c r="V47" s="179" t="s">
        <v>375</v>
      </c>
      <c r="W47" s="180">
        <f>IF('附表1-面积统计表'!$D$29=0,"",IF(AND(V47="共同成本费用",Z47="总建筑面积法"),ROUND(T47/'附表1-面积统计表'!$D$29*'附表1-面积统计表'!$D$5,2),IF(AND(V47="共同成本费用",Z47="可售建筑面积法"),ROUND(T47/'附表1-面积统计表'!$F$29*'附表1-面积统计表'!$F$5,2),"请手工填写")))</f>
        <v>968.93</v>
      </c>
      <c r="X47" s="180">
        <f>IF(SUM('附表1-面积统计表'!$D$6)=0,"",SUM(T47)-SUM(W47)-SUM(Y47))</f>
        <v>641.06</v>
      </c>
      <c r="Y47" s="180">
        <f>IF(SUM('附表1-面积统计表'!$D$6)=0,SUM(T47)-SUM(W47),IF('附表1-面积统计表'!$D$29=0,"",IF(AND(V47="共同成本费用",Z47="总建筑面积法"),ROUND(T47/'附表1-面积统计表'!$D$29*'附表1-面积统计表'!$D$7,2),IF(AND(V47="共同成本费用",Z47="可售建筑面积法"),ROUND(T47/'附表1-面积统计表'!$F$29*'附表1-面积统计表'!$F$7,2),"请手工填写"))))</f>
        <v>390.01</v>
      </c>
      <c r="Z47" s="183" t="s">
        <v>351</v>
      </c>
      <c r="AA47" s="157"/>
      <c r="AB47" s="184" t="s">
        <v>2319</v>
      </c>
      <c r="AC47" s="132">
        <f t="shared" si="1"/>
        <v>0</v>
      </c>
    </row>
    <row r="48" s="132" customFormat="1" ht="24" customHeight="1" spans="1:29">
      <c r="A48" s="150">
        <v>42</v>
      </c>
      <c r="B48" s="151">
        <v>43571</v>
      </c>
      <c r="C48" s="152" t="s">
        <v>2441</v>
      </c>
      <c r="D48" s="157" t="s">
        <v>2346</v>
      </c>
      <c r="E48" s="158" t="s">
        <v>2453</v>
      </c>
      <c r="F48" s="159" t="s">
        <v>2454</v>
      </c>
      <c r="G48" s="156" t="s">
        <v>2455</v>
      </c>
      <c r="H48" s="157" t="str">
        <f>IF(G48="","",VLOOKUP(G48,'附表8-合同明细采集底稿'!B:I,2,0))</f>
        <v>人造草坪</v>
      </c>
      <c r="I48" s="165" t="str">
        <f>IF(G48="","",VLOOKUP(G48,'附表8-合同明细采集底稿'!B:I,3,0))</f>
        <v>其他合同</v>
      </c>
      <c r="J48" s="169" t="s">
        <v>2456</v>
      </c>
      <c r="K48" s="157" t="s">
        <v>2355</v>
      </c>
      <c r="L48" s="166" t="s">
        <v>2457</v>
      </c>
      <c r="M48" s="168" t="s">
        <v>2458</v>
      </c>
      <c r="N48" s="167">
        <v>25000</v>
      </c>
      <c r="O48" s="167">
        <v>25000</v>
      </c>
      <c r="P48" s="167">
        <v>25000</v>
      </c>
      <c r="Q48" s="167">
        <v>-25000</v>
      </c>
      <c r="R48" s="167">
        <f t="shared" si="2"/>
        <v>0</v>
      </c>
      <c r="S48" s="178">
        <f>IFERROR(VLOOKUP(G48,'附表8-合同明细采集底稿'!B:N,12,0),100%)</f>
        <v>1</v>
      </c>
      <c r="T48" s="167">
        <f t="shared" si="3"/>
        <v>0</v>
      </c>
      <c r="U48" s="157" t="s">
        <v>2344</v>
      </c>
      <c r="V48" s="179" t="s">
        <v>375</v>
      </c>
      <c r="W48" s="180">
        <f>IF('附表1-面积统计表'!$D$29=0,"",IF(AND(V48="共同成本费用",Z48="总建筑面积法"),ROUND(T48/'附表1-面积统计表'!$D$29*'附表1-面积统计表'!$D$5,2),IF(AND(V48="共同成本费用",Z48="可售建筑面积法"),ROUND(T48/'附表1-面积统计表'!$F$29*'附表1-面积统计表'!$F$5,2),"请手工填写")))</f>
        <v>0</v>
      </c>
      <c r="X48" s="180">
        <f>IF(SUM('附表1-面积统计表'!$D$6)=0,"",SUM(T48)-SUM(W48)-SUM(Y48))</f>
        <v>0</v>
      </c>
      <c r="Y48" s="180">
        <f>IF(SUM('附表1-面积统计表'!$D$6)=0,SUM(T48)-SUM(W48),IF('附表1-面积统计表'!$D$29=0,"",IF(AND(V48="共同成本费用",Z48="总建筑面积法"),ROUND(T48/'附表1-面积统计表'!$D$29*'附表1-面积统计表'!$D$7,2),IF(AND(V48="共同成本费用",Z48="可售建筑面积法"),ROUND(T48/'附表1-面积统计表'!$F$29*'附表1-面积统计表'!$F$7,2),"请手工填写"))))</f>
        <v>0</v>
      </c>
      <c r="Z48" s="183" t="s">
        <v>351</v>
      </c>
      <c r="AA48" s="157"/>
      <c r="AB48" s="184" t="s">
        <v>2319</v>
      </c>
      <c r="AC48" s="132">
        <f t="shared" si="1"/>
        <v>0</v>
      </c>
    </row>
    <row r="49" s="132" customFormat="1" ht="24" customHeight="1" spans="1:29">
      <c r="A49" s="150">
        <v>43</v>
      </c>
      <c r="B49" s="151">
        <v>43571</v>
      </c>
      <c r="C49" s="152" t="s">
        <v>2459</v>
      </c>
      <c r="D49" s="157" t="s">
        <v>2339</v>
      </c>
      <c r="E49" s="158" t="s">
        <v>2351</v>
      </c>
      <c r="F49" s="159" t="s">
        <v>2460</v>
      </c>
      <c r="G49" s="156" t="s">
        <v>2461</v>
      </c>
      <c r="H49" s="157" t="str">
        <f>IF(G49="","",VLOOKUP(G49,'附表8-合同明细采集底稿'!B:I,2,0))</f>
        <v>装修设计合同（35#）</v>
      </c>
      <c r="I49" s="165" t="str">
        <f>IF(G49="","",VLOOKUP(G49,'附表8-合同明细采集底稿'!B:I,3,0))</f>
        <v>技术合同</v>
      </c>
      <c r="J49" s="154" t="s">
        <v>2462</v>
      </c>
      <c r="K49" s="157" t="s">
        <v>2355</v>
      </c>
      <c r="L49" s="166" t="s">
        <v>2463</v>
      </c>
      <c r="M49" s="168" t="s">
        <v>2464</v>
      </c>
      <c r="N49" s="167">
        <v>63106.8</v>
      </c>
      <c r="O49" s="167">
        <v>65000</v>
      </c>
      <c r="P49" s="167">
        <v>63106.8</v>
      </c>
      <c r="Q49" s="167">
        <v>-63106.8</v>
      </c>
      <c r="R49" s="167">
        <f t="shared" si="2"/>
        <v>0</v>
      </c>
      <c r="S49" s="178">
        <f>IFERROR(VLOOKUP(G49,'附表8-合同明细采集底稿'!B:N,12,0),100%)</f>
        <v>1</v>
      </c>
      <c r="T49" s="167">
        <f t="shared" si="3"/>
        <v>0</v>
      </c>
      <c r="U49" s="157" t="s">
        <v>2465</v>
      </c>
      <c r="V49" s="179" t="s">
        <v>375</v>
      </c>
      <c r="W49" s="180">
        <f>IF('附表1-面积统计表'!$D$29=0,"",IF(AND(V49="共同成本费用",Z49="总建筑面积法"),ROUND(T49/'附表1-面积统计表'!$D$29*'附表1-面积统计表'!$D$5,2),IF(AND(V49="共同成本费用",Z49="可售建筑面积法"),ROUND(T49/'附表1-面积统计表'!$F$29*'附表1-面积统计表'!$F$5,2),"请手工填写")))</f>
        <v>0</v>
      </c>
      <c r="X49" s="180">
        <f>IF(SUM('附表1-面积统计表'!$D$6)=0,"",SUM(T49)-SUM(W49)-SUM(Y49))</f>
        <v>0</v>
      </c>
      <c r="Y49" s="180">
        <f>IF(SUM('附表1-面积统计表'!$D$6)=0,SUM(T49)-SUM(W49),IF('附表1-面积统计表'!$D$29=0,"",IF(AND(V49="共同成本费用",Z49="总建筑面积法"),ROUND(T49/'附表1-面积统计表'!$D$29*'附表1-面积统计表'!$D$7,2),IF(AND(V49="共同成本费用",Z49="可售建筑面积法"),ROUND(T49/'附表1-面积统计表'!$F$29*'附表1-面积统计表'!$F$7,2),"请手工填写"))))</f>
        <v>0</v>
      </c>
      <c r="Z49" s="183" t="s">
        <v>351</v>
      </c>
      <c r="AA49" s="157"/>
      <c r="AB49" s="184" t="s">
        <v>2319</v>
      </c>
      <c r="AC49" s="132">
        <f t="shared" si="1"/>
        <v>0</v>
      </c>
    </row>
    <row r="50" s="132" customFormat="1" ht="24" customHeight="1" spans="1:29">
      <c r="A50" s="150">
        <v>44</v>
      </c>
      <c r="B50" s="151">
        <v>43572</v>
      </c>
      <c r="C50" s="152" t="s">
        <v>2466</v>
      </c>
      <c r="D50" s="157" t="s">
        <v>2346</v>
      </c>
      <c r="E50" s="158" t="s">
        <v>2418</v>
      </c>
      <c r="F50" s="159" t="s">
        <v>2447</v>
      </c>
      <c r="G50" s="156"/>
      <c r="H50" s="157" t="str">
        <f>IF(G50="","",VLOOKUP(G50,'附表8-合同明细采集底稿'!B:I,2,0))</f>
        <v/>
      </c>
      <c r="I50" s="165" t="str">
        <f>IF(G50="","",VLOOKUP(G50,'附表8-合同明细采集底稿'!B:I,3,0))</f>
        <v/>
      </c>
      <c r="J50" s="165" t="s">
        <v>2467</v>
      </c>
      <c r="K50" s="157" t="s">
        <v>2335</v>
      </c>
      <c r="L50" s="168" t="s">
        <v>2336</v>
      </c>
      <c r="M50" s="554" t="s">
        <v>2468</v>
      </c>
      <c r="N50" s="167">
        <v>2000</v>
      </c>
      <c r="O50" s="167">
        <v>2000</v>
      </c>
      <c r="P50" s="167">
        <v>2200</v>
      </c>
      <c r="Q50" s="167">
        <v>-2200</v>
      </c>
      <c r="R50" s="167">
        <f t="shared" si="2"/>
        <v>0</v>
      </c>
      <c r="S50" s="178">
        <v>1</v>
      </c>
      <c r="T50" s="167">
        <f t="shared" si="3"/>
        <v>0</v>
      </c>
      <c r="U50" s="157" t="s">
        <v>2344</v>
      </c>
      <c r="V50" s="179" t="s">
        <v>375</v>
      </c>
      <c r="W50" s="180">
        <f>IF('附表1-面积统计表'!$D$29=0,"",IF(AND(V50="共同成本费用",Z50="总建筑面积法"),ROUND(T50/'附表1-面积统计表'!$D$29*'附表1-面积统计表'!$D$5,2),IF(AND(V50="共同成本费用",Z50="可售建筑面积法"),ROUND(T50/'附表1-面积统计表'!$F$29*'附表1-面积统计表'!$F$5,2),"请手工填写")))</f>
        <v>0</v>
      </c>
      <c r="X50" s="180">
        <f>IF(SUM('附表1-面积统计表'!$D$6)=0,"",SUM(T50)-SUM(W50)-SUM(Y50))</f>
        <v>0</v>
      </c>
      <c r="Y50" s="180">
        <f>IF(SUM('附表1-面积统计表'!$D$6)=0,SUM(T50)-SUM(W50),IF('附表1-面积统计表'!$D$29=0,"",IF(AND(V50="共同成本费用",Z50="总建筑面积法"),ROUND(T50/'附表1-面积统计表'!$D$29*'附表1-面积统计表'!$D$7,2),IF(AND(V50="共同成本费用",Z50="可售建筑面积法"),ROUND(T50/'附表1-面积统计表'!$F$29*'附表1-面积统计表'!$F$7,2),"请手工填写"))))</f>
        <v>0</v>
      </c>
      <c r="Z50" s="183" t="s">
        <v>351</v>
      </c>
      <c r="AA50" s="157"/>
      <c r="AB50" s="184" t="s">
        <v>2319</v>
      </c>
      <c r="AC50" s="132">
        <f t="shared" si="1"/>
        <v>0</v>
      </c>
    </row>
    <row r="51" s="132" customFormat="1" ht="24" customHeight="1" spans="1:29">
      <c r="A51" s="150">
        <v>45</v>
      </c>
      <c r="B51" s="151">
        <v>43585</v>
      </c>
      <c r="C51" s="152" t="s">
        <v>2469</v>
      </c>
      <c r="D51" s="157" t="s">
        <v>2470</v>
      </c>
      <c r="E51" s="158" t="s">
        <v>2471</v>
      </c>
      <c r="F51" s="159" t="s">
        <v>2472</v>
      </c>
      <c r="G51" s="156" t="s">
        <v>2473</v>
      </c>
      <c r="H51" s="157" t="str">
        <f>IF(G51="","",VLOOKUP(G51,'附表8-合同明细采集底稿'!B:I,2,0))</f>
        <v>彩钢板购销及安装合同</v>
      </c>
      <c r="I51" s="165" t="str">
        <f>IF(G51="","",VLOOKUP(G51,'附表8-合同明细采集底稿'!B:I,3,0))</f>
        <v>其他合同</v>
      </c>
      <c r="J51" s="154" t="s">
        <v>2474</v>
      </c>
      <c r="K51" s="157" t="s">
        <v>2355</v>
      </c>
      <c r="L51" s="166" t="s">
        <v>2475</v>
      </c>
      <c r="M51" s="554" t="s">
        <v>2476</v>
      </c>
      <c r="N51" s="167">
        <v>31665.05</v>
      </c>
      <c r="O51" s="167">
        <v>32615</v>
      </c>
      <c r="P51" s="167">
        <v>31665.05</v>
      </c>
      <c r="Q51" s="167">
        <v>-31665.05</v>
      </c>
      <c r="R51" s="167">
        <f t="shared" si="2"/>
        <v>0</v>
      </c>
      <c r="S51" s="178">
        <f>IFERROR(VLOOKUP(G51,'附表8-合同明细采集底稿'!B:N,12,0),100%)</f>
        <v>1</v>
      </c>
      <c r="T51" s="167">
        <f t="shared" si="3"/>
        <v>0</v>
      </c>
      <c r="U51" s="157" t="s">
        <v>2381</v>
      </c>
      <c r="V51" s="179" t="s">
        <v>375</v>
      </c>
      <c r="W51" s="180">
        <f>IF('附表1-面积统计表'!$D$29=0,"",IF(AND(V51="共同成本费用",Z51="总建筑面积法"),ROUND(T51/'附表1-面积统计表'!$D$29*'附表1-面积统计表'!$D$5,2),IF(AND(V51="共同成本费用",Z51="可售建筑面积法"),ROUND(T51/'附表1-面积统计表'!$F$29*'附表1-面积统计表'!$F$5,2),"请手工填写")))</f>
        <v>0</v>
      </c>
      <c r="X51" s="180">
        <f>IF(SUM('附表1-面积统计表'!$D$6)=0,"",SUM(T51)-SUM(W51)-SUM(Y51))</f>
        <v>0</v>
      </c>
      <c r="Y51" s="180">
        <f>IF(SUM('附表1-面积统计表'!$D$6)=0,SUM(T51)-SUM(W51),IF('附表1-面积统计表'!$D$29=0,"",IF(AND(V51="共同成本费用",Z51="总建筑面积法"),ROUND(T51/'附表1-面积统计表'!$D$29*'附表1-面积统计表'!$D$7,2),IF(AND(V51="共同成本费用",Z51="可售建筑面积法"),ROUND(T51/'附表1-面积统计表'!$F$29*'附表1-面积统计表'!$F$7,2),"请手工填写"))))</f>
        <v>0</v>
      </c>
      <c r="Z51" s="183" t="s">
        <v>351</v>
      </c>
      <c r="AA51" s="157"/>
      <c r="AB51" s="184" t="s">
        <v>2319</v>
      </c>
      <c r="AC51" s="132">
        <f t="shared" si="1"/>
        <v>0</v>
      </c>
    </row>
    <row r="52" s="132" customFormat="1" ht="24" customHeight="1" spans="1:29">
      <c r="A52" s="150">
        <v>46</v>
      </c>
      <c r="B52" s="151">
        <v>43590</v>
      </c>
      <c r="C52" s="152" t="s">
        <v>2477</v>
      </c>
      <c r="D52" s="157" t="s">
        <v>2339</v>
      </c>
      <c r="E52" s="158" t="s">
        <v>2363</v>
      </c>
      <c r="F52" s="159" t="s">
        <v>2478</v>
      </c>
      <c r="G52" s="156"/>
      <c r="H52" s="157" t="str">
        <f>IF(G52="","",VLOOKUP(G52,'附表8-合同明细采集底稿'!B:I,2,0))</f>
        <v/>
      </c>
      <c r="I52" s="165" t="str">
        <f>IF(G52="","",VLOOKUP(G52,'附表8-合同明细采集底稿'!B:I,3,0))</f>
        <v/>
      </c>
      <c r="J52" s="154" t="s">
        <v>2479</v>
      </c>
      <c r="K52" s="157" t="s">
        <v>2355</v>
      </c>
      <c r="L52" s="166" t="s">
        <v>2393</v>
      </c>
      <c r="M52" s="554" t="s">
        <v>2480</v>
      </c>
      <c r="N52" s="167">
        <v>97087.38</v>
      </c>
      <c r="O52" s="167">
        <v>100000</v>
      </c>
      <c r="P52" s="167">
        <v>97087.38</v>
      </c>
      <c r="Q52" s="167"/>
      <c r="R52" s="167">
        <f t="shared" si="2"/>
        <v>97087.38</v>
      </c>
      <c r="S52" s="178">
        <v>0.338555832480367</v>
      </c>
      <c r="T52" s="167">
        <f t="shared" si="3"/>
        <v>32869.5</v>
      </c>
      <c r="U52" s="157" t="s">
        <v>2318</v>
      </c>
      <c r="V52" s="179" t="s">
        <v>375</v>
      </c>
      <c r="W52" s="180">
        <f>IF('附表1-面积统计表'!$D$29=0,"",IF(AND(V52="共同成本费用",Z52="总建筑面积法"),ROUND(T52/'附表1-面积统计表'!$D$29*'附表1-面积统计表'!$D$5,2),IF(AND(V52="共同成本费用",Z52="可售建筑面积法"),ROUND(T52/'附表1-面积统计表'!$F$29*'附表1-面积统计表'!$F$5,2),"请手工填写")))</f>
        <v>15924.06</v>
      </c>
      <c r="X52" s="180">
        <f>IF(SUM('附表1-面积统计表'!$D$6)=0,"",SUM(T52)-SUM(W52)-SUM(Y52))</f>
        <v>10535.79</v>
      </c>
      <c r="Y52" s="180">
        <f>IF(SUM('附表1-面积统计表'!$D$6)=0,SUM(T52)-SUM(W52),IF('附表1-面积统计表'!$D$29=0,"",IF(AND(V52="共同成本费用",Z52="总建筑面积法"),ROUND(T52/'附表1-面积统计表'!$D$29*'附表1-面积统计表'!$D$7,2),IF(AND(V52="共同成本费用",Z52="可售建筑面积法"),ROUND(T52/'附表1-面积统计表'!$F$29*'附表1-面积统计表'!$F$7,2),"请手工填写"))))</f>
        <v>6409.65</v>
      </c>
      <c r="Z52" s="183" t="s">
        <v>351</v>
      </c>
      <c r="AA52" s="157"/>
      <c r="AB52" s="184" t="s">
        <v>2319</v>
      </c>
      <c r="AC52" s="132">
        <f t="shared" si="1"/>
        <v>0</v>
      </c>
    </row>
    <row r="53" s="132" customFormat="1" ht="24" customHeight="1" spans="1:30">
      <c r="A53" s="150">
        <v>47</v>
      </c>
      <c r="B53" s="151">
        <v>43595</v>
      </c>
      <c r="C53" s="152" t="s">
        <v>2450</v>
      </c>
      <c r="D53" s="157" t="s">
        <v>2470</v>
      </c>
      <c r="E53" s="158" t="s">
        <v>2471</v>
      </c>
      <c r="F53" s="159" t="s">
        <v>2481</v>
      </c>
      <c r="G53" s="156"/>
      <c r="H53" s="157"/>
      <c r="I53" s="165"/>
      <c r="J53" s="154" t="s">
        <v>2482</v>
      </c>
      <c r="K53" s="157" t="s">
        <v>2483</v>
      </c>
      <c r="L53" s="166"/>
      <c r="M53" s="155">
        <v>6013977281</v>
      </c>
      <c r="N53" s="167">
        <v>275596.5</v>
      </c>
      <c r="O53" s="167">
        <v>275596.5</v>
      </c>
      <c r="P53" s="167">
        <v>275596.5</v>
      </c>
      <c r="Q53" s="167"/>
      <c r="R53" s="167">
        <f t="shared" si="2"/>
        <v>275596.5</v>
      </c>
      <c r="S53" s="178">
        <v>1</v>
      </c>
      <c r="T53" s="167">
        <f t="shared" si="3"/>
        <v>275596.5</v>
      </c>
      <c r="U53" s="157" t="s">
        <v>2416</v>
      </c>
      <c r="V53" s="179" t="s">
        <v>374</v>
      </c>
      <c r="W53" s="182">
        <f>ROUND(T53*成本分摊比例!$G$13/(成本分摊比例!$G$13+成本分摊比例!$H$13+成本分摊比例!$I$13),2)</f>
        <v>148905.28</v>
      </c>
      <c r="X53" s="182">
        <f>ROUND(T53*成本分摊比例!$H$13/(成本分摊比例!$G$13+成本分摊比例!$H$13+成本分摊比例!$I$13),2)</f>
        <v>98519.83</v>
      </c>
      <c r="Y53" s="182">
        <f>T53-W53-X53</f>
        <v>28171.39</v>
      </c>
      <c r="Z53" s="183" t="s">
        <v>2406</v>
      </c>
      <c r="AA53" s="157"/>
      <c r="AB53" s="184" t="s">
        <v>2319</v>
      </c>
      <c r="AC53" s="132">
        <f t="shared" si="1"/>
        <v>0</v>
      </c>
      <c r="AD53" s="185"/>
    </row>
    <row r="54" s="132" customFormat="1" ht="24" customHeight="1" spans="1:29">
      <c r="A54" s="150">
        <v>48</v>
      </c>
      <c r="B54" s="151">
        <v>43595</v>
      </c>
      <c r="C54" s="152" t="s">
        <v>2484</v>
      </c>
      <c r="D54" s="157" t="s">
        <v>2470</v>
      </c>
      <c r="E54" s="158" t="s">
        <v>2471</v>
      </c>
      <c r="F54" s="159" t="s">
        <v>2485</v>
      </c>
      <c r="G54" s="156" t="s">
        <v>2486</v>
      </c>
      <c r="H54" s="157" t="str">
        <f>IF(G54="","",VLOOKUP(G54,'附表8-合同明细采集底稿'!B:I,2,0))</f>
        <v>库尔勒市杜鹃路施工合同</v>
      </c>
      <c r="I54" s="165" t="str">
        <f>IF(G54="","",VLOOKUP(G54,'附表8-合同明细采集底稿'!B:I,3,0))</f>
        <v>建设工程合同</v>
      </c>
      <c r="J54" s="154"/>
      <c r="K54" s="157" t="s">
        <v>2317</v>
      </c>
      <c r="L54" s="166"/>
      <c r="M54" s="155"/>
      <c r="N54" s="167">
        <v>19706.46</v>
      </c>
      <c r="O54" s="167">
        <v>0</v>
      </c>
      <c r="P54" s="167">
        <v>19706.46</v>
      </c>
      <c r="Q54" s="167">
        <v>-19706.46</v>
      </c>
      <c r="R54" s="167">
        <f t="shared" si="2"/>
        <v>0</v>
      </c>
      <c r="S54" s="178">
        <f>IFERROR(VLOOKUP(G54,'附表8-合同明细采集底稿'!B:N,12,0),100%)</f>
        <v>1</v>
      </c>
      <c r="T54" s="167">
        <f t="shared" ref="T54:T66" si="4">ROUND(SUM(R54)*SUM(S54),2)</f>
        <v>0</v>
      </c>
      <c r="U54" s="157" t="s">
        <v>2381</v>
      </c>
      <c r="V54" s="179" t="s">
        <v>375</v>
      </c>
      <c r="W54" s="180">
        <f>IF('附表1-面积统计表'!$D$29=0,"",IF(AND(V54="共同成本费用",Z54="总建筑面积法"),ROUND(T54/'附表1-面积统计表'!$D$29*'附表1-面积统计表'!$D$5,2),IF(AND(V54="共同成本费用",Z54="可售建筑面积法"),ROUND(T54/'附表1-面积统计表'!$F$29*'附表1-面积统计表'!$F$5,2),"请手工填写")))</f>
        <v>0</v>
      </c>
      <c r="X54" s="180">
        <f>IF(SUM('附表1-面积统计表'!$D$6)=0,"",SUM(T54)-SUM(W54)-SUM(Y54))</f>
        <v>0</v>
      </c>
      <c r="Y54" s="180">
        <f>IF(SUM('附表1-面积统计表'!$D$6)=0,SUM(T54)-SUM(W54),IF('附表1-面积统计表'!$D$29=0,"",IF(AND(V54="共同成本费用",Z54="总建筑面积法"),ROUND(T54/'附表1-面积统计表'!$D$29*'附表1-面积统计表'!$D$7,2),IF(AND(V54="共同成本费用",Z54="可售建筑面积法"),ROUND(T54/'附表1-面积统计表'!$F$29*'附表1-面积统计表'!$F$7,2),"请手工填写"))))</f>
        <v>0</v>
      </c>
      <c r="Z54" s="183" t="s">
        <v>351</v>
      </c>
      <c r="AA54" s="157"/>
      <c r="AB54" s="184" t="s">
        <v>2319</v>
      </c>
      <c r="AC54" s="132">
        <f t="shared" si="1"/>
        <v>0</v>
      </c>
    </row>
    <row r="55" s="132" customFormat="1" ht="24" customHeight="1" spans="1:29">
      <c r="A55" s="150">
        <v>49</v>
      </c>
      <c r="B55" s="151">
        <v>43595</v>
      </c>
      <c r="C55" s="152" t="s">
        <v>2382</v>
      </c>
      <c r="D55" s="157" t="s">
        <v>2470</v>
      </c>
      <c r="E55" s="158" t="s">
        <v>2471</v>
      </c>
      <c r="F55" s="159" t="s">
        <v>2487</v>
      </c>
      <c r="G55" s="156" t="s">
        <v>2486</v>
      </c>
      <c r="H55" s="157" t="str">
        <f>IF(G55="","",VLOOKUP(G55,'附表8-合同明细采集底稿'!B:I,2,0))</f>
        <v>库尔勒市杜鹃路施工合同</v>
      </c>
      <c r="I55" s="165" t="str">
        <f>IF(G55="","",VLOOKUP(G55,'附表8-合同明细采集底稿'!B:I,3,0))</f>
        <v>建设工程合同</v>
      </c>
      <c r="J55" s="154"/>
      <c r="K55" s="157" t="s">
        <v>2317</v>
      </c>
      <c r="L55" s="166"/>
      <c r="M55" s="155"/>
      <c r="N55" s="167">
        <v>20707.96</v>
      </c>
      <c r="O55" s="167">
        <v>0</v>
      </c>
      <c r="P55" s="167">
        <v>20707.96</v>
      </c>
      <c r="Q55" s="167">
        <v>-20707.96</v>
      </c>
      <c r="R55" s="167">
        <f t="shared" si="2"/>
        <v>0</v>
      </c>
      <c r="S55" s="178">
        <f>IFERROR(VLOOKUP(G55,'附表8-合同明细采集底稿'!B:N,12,0),100%)</f>
        <v>1</v>
      </c>
      <c r="T55" s="167">
        <f t="shared" si="4"/>
        <v>0</v>
      </c>
      <c r="U55" s="157" t="s">
        <v>2381</v>
      </c>
      <c r="V55" s="179" t="s">
        <v>375</v>
      </c>
      <c r="W55" s="180">
        <f>IF('附表1-面积统计表'!$D$29=0,"",IF(AND(V55="共同成本费用",Z55="总建筑面积法"),ROUND(T55/'附表1-面积统计表'!$D$29*'附表1-面积统计表'!$D$5,2),IF(AND(V55="共同成本费用",Z55="可售建筑面积法"),ROUND(T55/'附表1-面积统计表'!$F$29*'附表1-面积统计表'!$F$5,2),"请手工填写")))</f>
        <v>0</v>
      </c>
      <c r="X55" s="180">
        <f>IF(SUM('附表1-面积统计表'!$D$6)=0,"",SUM(T55)-SUM(W55)-SUM(Y55))</f>
        <v>0</v>
      </c>
      <c r="Y55" s="180">
        <f>IF(SUM('附表1-面积统计表'!$D$6)=0,SUM(T55)-SUM(W55),IF('附表1-面积统计表'!$D$29=0,"",IF(AND(V55="共同成本费用",Z55="总建筑面积法"),ROUND(T55/'附表1-面积统计表'!$D$29*'附表1-面积统计表'!$D$7,2),IF(AND(V55="共同成本费用",Z55="可售建筑面积法"),ROUND(T55/'附表1-面积统计表'!$F$29*'附表1-面积统计表'!$F$7,2),"请手工填写"))))</f>
        <v>0</v>
      </c>
      <c r="Z55" s="183" t="s">
        <v>351</v>
      </c>
      <c r="AA55" s="157"/>
      <c r="AB55" s="184" t="s">
        <v>2319</v>
      </c>
      <c r="AC55" s="132">
        <f t="shared" si="1"/>
        <v>0</v>
      </c>
    </row>
    <row r="56" s="132" customFormat="1" ht="24" customHeight="1" spans="1:29">
      <c r="A56" s="150">
        <v>50</v>
      </c>
      <c r="B56" s="151">
        <v>43601</v>
      </c>
      <c r="C56" s="152" t="s">
        <v>2488</v>
      </c>
      <c r="D56" s="157" t="s">
        <v>2339</v>
      </c>
      <c r="E56" s="158" t="s">
        <v>2370</v>
      </c>
      <c r="F56" s="159" t="s">
        <v>2489</v>
      </c>
      <c r="G56" s="156" t="s">
        <v>2372</v>
      </c>
      <c r="H56" s="157" t="str">
        <f>IF(G56="","",VLOOKUP(G56,'附表8-合同明细采集底稿'!B:I,2,0))</f>
        <v>25-29号楼红、蓝线图</v>
      </c>
      <c r="I56" s="165" t="str">
        <f>IF(G56="","",VLOOKUP(G56,'附表8-合同明细采集底稿'!B:I,3,0))</f>
        <v>其他合同</v>
      </c>
      <c r="J56" s="154" t="s">
        <v>2373</v>
      </c>
      <c r="K56" s="157" t="s">
        <v>2355</v>
      </c>
      <c r="L56" s="166" t="s">
        <v>2393</v>
      </c>
      <c r="M56" s="554" t="s">
        <v>2490</v>
      </c>
      <c r="N56" s="167">
        <v>2600</v>
      </c>
      <c r="O56" s="167">
        <v>2756</v>
      </c>
      <c r="P56" s="167">
        <v>2600</v>
      </c>
      <c r="Q56" s="167"/>
      <c r="R56" s="167">
        <f t="shared" si="2"/>
        <v>2600</v>
      </c>
      <c r="S56" s="178">
        <f>IFERROR(VLOOKUP(G56,'附表8-合同明细采集底稿'!B:N,12,0),100%)</f>
        <v>1</v>
      </c>
      <c r="T56" s="167">
        <f t="shared" si="4"/>
        <v>2600</v>
      </c>
      <c r="U56" s="157" t="s">
        <v>2344</v>
      </c>
      <c r="V56" s="179" t="s">
        <v>375</v>
      </c>
      <c r="W56" s="180">
        <f>IF('附表1-面积统计表'!$D$29=0,"",IF(AND(V56="共同成本费用",Z56="总建筑面积法"),ROUND(T56/'附表1-面积统计表'!$D$29*'附表1-面积统计表'!$D$5,2),IF(AND(V56="共同成本费用",Z56="可售建筑面积法"),ROUND(T56/'附表1-面积统计表'!$F$29*'附表1-面积统计表'!$F$5,2),"请手工填写")))</f>
        <v>1259.6</v>
      </c>
      <c r="X56" s="180">
        <f>IF(SUM('附表1-面积统计表'!$D$6)=0,"",SUM(T56)-SUM(W56)-SUM(Y56))</f>
        <v>833.39</v>
      </c>
      <c r="Y56" s="180">
        <f>IF(SUM('附表1-面积统计表'!$D$6)=0,SUM(T56)-SUM(W56),IF('附表1-面积统计表'!$D$29=0,"",IF(AND(V56="共同成本费用",Z56="总建筑面积法"),ROUND(T56/'附表1-面积统计表'!$D$29*'附表1-面积统计表'!$D$7,2),IF(AND(V56="共同成本费用",Z56="可售建筑面积法"),ROUND(T56/'附表1-面积统计表'!$F$29*'附表1-面积统计表'!$F$7,2),"请手工填写"))))</f>
        <v>507.01</v>
      </c>
      <c r="Z56" s="183" t="s">
        <v>351</v>
      </c>
      <c r="AA56" s="157"/>
      <c r="AB56" s="184" t="s">
        <v>2319</v>
      </c>
      <c r="AC56" s="132">
        <f t="shared" si="1"/>
        <v>0</v>
      </c>
    </row>
    <row r="57" s="132" customFormat="1" ht="24" customHeight="1" spans="1:29">
      <c r="A57" s="150">
        <v>51</v>
      </c>
      <c r="B57" s="151">
        <v>43601</v>
      </c>
      <c r="C57" s="152" t="s">
        <v>2491</v>
      </c>
      <c r="D57" s="157" t="s">
        <v>2339</v>
      </c>
      <c r="E57" s="158" t="s">
        <v>2340</v>
      </c>
      <c r="F57" s="159" t="s">
        <v>2492</v>
      </c>
      <c r="G57" s="156"/>
      <c r="H57" s="157"/>
      <c r="I57" s="165"/>
      <c r="J57" s="154" t="s">
        <v>2493</v>
      </c>
      <c r="K57" s="157" t="s">
        <v>2483</v>
      </c>
      <c r="L57" s="166"/>
      <c r="M57" s="554" t="s">
        <v>2494</v>
      </c>
      <c r="N57" s="167">
        <v>921650.85</v>
      </c>
      <c r="O57" s="167">
        <v>921650.85</v>
      </c>
      <c r="P57" s="167">
        <v>921650.85</v>
      </c>
      <c r="Q57" s="167">
        <v>-921650.85</v>
      </c>
      <c r="R57" s="167">
        <f t="shared" si="2"/>
        <v>0</v>
      </c>
      <c r="S57" s="178">
        <f>IFERROR(VLOOKUP(G57,'附表8-合同明细采集底稿'!B:N,12,0),100%)</f>
        <v>1</v>
      </c>
      <c r="T57" s="167">
        <f t="shared" si="4"/>
        <v>0</v>
      </c>
      <c r="U57" s="157" t="s">
        <v>2495</v>
      </c>
      <c r="V57" s="179" t="s">
        <v>375</v>
      </c>
      <c r="W57" s="180">
        <f>IF('附表1-面积统计表'!$D$29=0,"",IF(AND(V57="共同成本费用",Z57="总建筑面积法"),ROUND(T57/'附表1-面积统计表'!$D$29*'附表1-面积统计表'!$D$5,2),IF(AND(V57="共同成本费用",Z57="可售建筑面积法"),ROUND(T57/'附表1-面积统计表'!$F$29*'附表1-面积统计表'!$F$5,2),"请手工填写")))</f>
        <v>0</v>
      </c>
      <c r="X57" s="180">
        <f>IF(SUM('附表1-面积统计表'!$D$6)=0,"",SUM(T57)-SUM(W57)-SUM(Y57))</f>
        <v>0</v>
      </c>
      <c r="Y57" s="180">
        <f>IF(SUM('附表1-面积统计表'!$D$6)=0,SUM(T57)-SUM(W57),IF('附表1-面积统计表'!$D$29=0,"",IF(AND(V57="共同成本费用",Z57="总建筑面积法"),ROUND(T57/'附表1-面积统计表'!$D$29*'附表1-面积统计表'!$D$7,2),IF(AND(V57="共同成本费用",Z57="可售建筑面积法"),ROUND(T57/'附表1-面积统计表'!$F$29*'附表1-面积统计表'!$F$7,2),"请手工填写"))))</f>
        <v>0</v>
      </c>
      <c r="Z57" s="183" t="s">
        <v>351</v>
      </c>
      <c r="AA57" s="157"/>
      <c r="AB57" s="184" t="s">
        <v>2319</v>
      </c>
      <c r="AC57" s="132">
        <f t="shared" si="1"/>
        <v>0</v>
      </c>
    </row>
    <row r="58" s="132" customFormat="1" ht="24" customHeight="1" spans="1:29">
      <c r="A58" s="150">
        <v>52</v>
      </c>
      <c r="B58" s="151">
        <v>43608</v>
      </c>
      <c r="C58" s="160" t="s">
        <v>2369</v>
      </c>
      <c r="D58" s="157" t="s">
        <v>2346</v>
      </c>
      <c r="E58" s="158" t="s">
        <v>2453</v>
      </c>
      <c r="F58" s="159" t="s">
        <v>2496</v>
      </c>
      <c r="G58" s="156" t="s">
        <v>2497</v>
      </c>
      <c r="H58" s="157" t="str">
        <f>IF(G58="","",VLOOKUP(G58,'附表8-合同明细采集底稿'!B:I,2,0))</f>
        <v>沁春锦苑一期园林绿化工程（19-24、32/33.34)</v>
      </c>
      <c r="I58" s="165" t="str">
        <f>IF(G58="","",VLOOKUP(G58,'附表8-合同明细采集底稿'!B:I,3,0))</f>
        <v>其他合同</v>
      </c>
      <c r="J58" s="165" t="s">
        <v>2498</v>
      </c>
      <c r="K58" s="157" t="s">
        <v>2355</v>
      </c>
      <c r="L58" s="168" t="s">
        <v>2463</v>
      </c>
      <c r="M58" s="155" t="s">
        <v>2499</v>
      </c>
      <c r="N58" s="167">
        <v>291262.14</v>
      </c>
      <c r="O58" s="167">
        <v>300000</v>
      </c>
      <c r="P58" s="167">
        <v>291262.14</v>
      </c>
      <c r="Q58" s="167"/>
      <c r="R58" s="167">
        <f t="shared" si="2"/>
        <v>291262.14</v>
      </c>
      <c r="S58" s="178">
        <f>IFERROR(VLOOKUP(G58,'附表8-合同明细采集底稿'!B:N,12,0),100%)</f>
        <v>1</v>
      </c>
      <c r="T58" s="167">
        <f t="shared" si="4"/>
        <v>291262.14</v>
      </c>
      <c r="U58" s="157" t="s">
        <v>2344</v>
      </c>
      <c r="V58" s="179" t="s">
        <v>375</v>
      </c>
      <c r="W58" s="180">
        <f>IF('附表1-面积统计表'!$D$29=0,"",IF(AND(V58="共同成本费用",Z58="总建筑面积法"),ROUND(T58/'附表1-面积统计表'!$D$29*'附表1-面积统计表'!$D$5,2),IF(AND(V58="共同成本费用",Z58="可售建筑面积法"),ROUND(T58/'附表1-面积统计表'!$F$29*'附表1-面积统计表'!$F$5,2),"请手工填写")))</f>
        <v>141105.75</v>
      </c>
      <c r="X58" s="180">
        <f>IF(SUM('附表1-面积统计表'!$D$6)=0,"",SUM(T58)-SUM(W58)-SUM(Y58))</f>
        <v>93359.45</v>
      </c>
      <c r="Y58" s="180">
        <f>IF(SUM('附表1-面积统计表'!$D$6)=0,SUM(T58)-SUM(W58),IF('附表1-面积统计表'!$D$29=0,"",IF(AND(V58="共同成本费用",Z58="总建筑面积法"),ROUND(T58/'附表1-面积统计表'!$D$29*'附表1-面积统计表'!$D$7,2),IF(AND(V58="共同成本费用",Z58="可售建筑面积法"),ROUND(T58/'附表1-面积统计表'!$F$29*'附表1-面积统计表'!$F$7,2),"请手工填写"))))</f>
        <v>56796.94</v>
      </c>
      <c r="Z58" s="183" t="s">
        <v>351</v>
      </c>
      <c r="AA58" s="157"/>
      <c r="AB58" s="184" t="s">
        <v>2319</v>
      </c>
      <c r="AC58" s="132">
        <f t="shared" si="1"/>
        <v>0</v>
      </c>
    </row>
    <row r="59" s="132" customFormat="1" ht="24" customHeight="1" spans="1:29">
      <c r="A59" s="150">
        <v>53</v>
      </c>
      <c r="B59" s="151">
        <v>43608</v>
      </c>
      <c r="C59" s="152" t="s">
        <v>2500</v>
      </c>
      <c r="D59" s="157" t="s">
        <v>2346</v>
      </c>
      <c r="E59" s="158" t="s">
        <v>2501</v>
      </c>
      <c r="F59" s="159" t="s">
        <v>2502</v>
      </c>
      <c r="G59" s="156" t="s">
        <v>2486</v>
      </c>
      <c r="H59" s="157" t="str">
        <f>IF(G59="","",VLOOKUP(G59,'附表8-合同明细采集底稿'!B:I,2,0))</f>
        <v>库尔勒市杜鹃路施工合同</v>
      </c>
      <c r="I59" s="165" t="str">
        <f>IF(G59="","",VLOOKUP(G59,'附表8-合同明细采集底稿'!B:I,3,0))</f>
        <v>建设工程合同</v>
      </c>
      <c r="J59" s="165" t="s">
        <v>2503</v>
      </c>
      <c r="K59" s="157" t="s">
        <v>2355</v>
      </c>
      <c r="L59" s="166" t="s">
        <v>2393</v>
      </c>
      <c r="M59" s="554" t="s">
        <v>2504</v>
      </c>
      <c r="N59" s="167">
        <v>40884.96</v>
      </c>
      <c r="O59" s="167">
        <v>46200</v>
      </c>
      <c r="P59" s="167">
        <v>40884.96</v>
      </c>
      <c r="Q59" s="167">
        <v>-40884.96</v>
      </c>
      <c r="R59" s="167">
        <f t="shared" si="2"/>
        <v>0</v>
      </c>
      <c r="S59" s="178">
        <f>IFERROR(VLOOKUP(G59,'附表8-合同明细采集底稿'!B:N,12,0),100%)</f>
        <v>1</v>
      </c>
      <c r="T59" s="167">
        <f t="shared" si="4"/>
        <v>0</v>
      </c>
      <c r="U59" s="157" t="s">
        <v>2381</v>
      </c>
      <c r="V59" s="179" t="s">
        <v>375</v>
      </c>
      <c r="W59" s="180">
        <f>IF('附表1-面积统计表'!$D$29=0,"",IF(AND(V59="共同成本费用",Z59="总建筑面积法"),ROUND(T59/'附表1-面积统计表'!$D$29*'附表1-面积统计表'!$D$5,2),IF(AND(V59="共同成本费用",Z59="可售建筑面积法"),ROUND(T59/'附表1-面积统计表'!$F$29*'附表1-面积统计表'!$F$5,2),"请手工填写")))</f>
        <v>0</v>
      </c>
      <c r="X59" s="180">
        <f>IF(SUM('附表1-面积统计表'!$D$6)=0,"",SUM(T59)-SUM(W59)-SUM(Y59))</f>
        <v>0</v>
      </c>
      <c r="Y59" s="180">
        <f>IF(SUM('附表1-面积统计表'!$D$6)=0,SUM(T59)-SUM(W59),IF('附表1-面积统计表'!$D$29=0,"",IF(AND(V59="共同成本费用",Z59="总建筑面积法"),ROUND(T59/'附表1-面积统计表'!$D$29*'附表1-面积统计表'!$D$7,2),IF(AND(V59="共同成本费用",Z59="可售建筑面积法"),ROUND(T59/'附表1-面积统计表'!$F$29*'附表1-面积统计表'!$F$7,2),"请手工填写"))))</f>
        <v>0</v>
      </c>
      <c r="Z59" s="183" t="s">
        <v>351</v>
      </c>
      <c r="AA59" s="157"/>
      <c r="AB59" s="184" t="s">
        <v>2319</v>
      </c>
      <c r="AC59" s="132">
        <f t="shared" si="1"/>
        <v>0</v>
      </c>
    </row>
    <row r="60" s="132" customFormat="1" ht="24" customHeight="1" spans="1:29">
      <c r="A60" s="150">
        <v>54</v>
      </c>
      <c r="B60" s="151">
        <v>43612</v>
      </c>
      <c r="C60" s="152" t="s">
        <v>2505</v>
      </c>
      <c r="D60" s="157" t="s">
        <v>2346</v>
      </c>
      <c r="E60" s="158" t="s">
        <v>2506</v>
      </c>
      <c r="F60" s="159" t="s">
        <v>2507</v>
      </c>
      <c r="G60" s="156"/>
      <c r="H60" s="157" t="str">
        <f>IF(G60="","",VLOOKUP(G60,'附表8-合同明细采集底稿'!B:I,2,0))</f>
        <v/>
      </c>
      <c r="I60" s="165" t="str">
        <f>IF(G60="","",VLOOKUP(G60,'附表8-合同明细采集底稿'!B:I,3,0))</f>
        <v/>
      </c>
      <c r="J60" s="165" t="s">
        <v>2508</v>
      </c>
      <c r="K60" s="157" t="s">
        <v>2335</v>
      </c>
      <c r="L60" s="168" t="s">
        <v>2336</v>
      </c>
      <c r="M60" s="155" t="s">
        <v>2509</v>
      </c>
      <c r="N60" s="167">
        <v>260</v>
      </c>
      <c r="O60" s="167">
        <v>260</v>
      </c>
      <c r="P60" s="167">
        <v>260</v>
      </c>
      <c r="Q60" s="167">
        <v>-260</v>
      </c>
      <c r="R60" s="167">
        <f t="shared" si="2"/>
        <v>0</v>
      </c>
      <c r="S60" s="178">
        <v>1</v>
      </c>
      <c r="T60" s="167">
        <f t="shared" si="4"/>
        <v>0</v>
      </c>
      <c r="U60" s="157" t="s">
        <v>2344</v>
      </c>
      <c r="V60" s="179" t="s">
        <v>375</v>
      </c>
      <c r="W60" s="180">
        <f>IF('附表1-面积统计表'!$D$29=0,"",IF(AND(V60="共同成本费用",Z60="总建筑面积法"),ROUND(T60/'附表1-面积统计表'!$D$29*'附表1-面积统计表'!$D$5,2),IF(AND(V60="共同成本费用",Z60="可售建筑面积法"),ROUND(T60/'附表1-面积统计表'!$F$29*'附表1-面积统计表'!$F$5,2),"请手工填写")))</f>
        <v>0</v>
      </c>
      <c r="X60" s="180">
        <f>IF(SUM('附表1-面积统计表'!$D$6)=0,"",SUM(T60)-SUM(W60)-SUM(Y60))</f>
        <v>0</v>
      </c>
      <c r="Y60" s="180">
        <f>IF(SUM('附表1-面积统计表'!$D$6)=0,SUM(T60)-SUM(W60),IF('附表1-面积统计表'!$D$29=0,"",IF(AND(V60="共同成本费用",Z60="总建筑面积法"),ROUND(T60/'附表1-面积统计表'!$D$29*'附表1-面积统计表'!$D$7,2),IF(AND(V60="共同成本费用",Z60="可售建筑面积法"),ROUND(T60/'附表1-面积统计表'!$F$29*'附表1-面积统计表'!$F$7,2),"请手工填写"))))</f>
        <v>0</v>
      </c>
      <c r="Z60" s="183" t="s">
        <v>351</v>
      </c>
      <c r="AA60" s="157"/>
      <c r="AB60" s="184" t="s">
        <v>2319</v>
      </c>
      <c r="AC60" s="132">
        <f t="shared" si="1"/>
        <v>0</v>
      </c>
    </row>
    <row r="61" s="132" customFormat="1" ht="24" customHeight="1" spans="1:29">
      <c r="A61" s="150">
        <v>55</v>
      </c>
      <c r="B61" s="151">
        <v>43613</v>
      </c>
      <c r="C61" s="152" t="s">
        <v>2510</v>
      </c>
      <c r="D61" s="157" t="s">
        <v>2339</v>
      </c>
      <c r="E61" s="158" t="s">
        <v>2363</v>
      </c>
      <c r="F61" s="159" t="s">
        <v>2511</v>
      </c>
      <c r="G61" s="156" t="s">
        <v>2411</v>
      </c>
      <c r="H61" s="157" t="str">
        <f>IF(G61="","",VLOOKUP(G61,'附表8-合同明细采集底稿'!B:I,2,0))</f>
        <v>19#20#23#24#、25-30#、1#、大门审图费</v>
      </c>
      <c r="I61" s="165" t="str">
        <f>IF(G61="","",VLOOKUP(G61,'附表8-合同明细采集底稿'!B:I,3,0))</f>
        <v>买卖合同</v>
      </c>
      <c r="J61" s="154" t="s">
        <v>2366</v>
      </c>
      <c r="K61" s="157" t="s">
        <v>2355</v>
      </c>
      <c r="L61" s="166" t="s">
        <v>2393</v>
      </c>
      <c r="M61" s="168" t="s">
        <v>2512</v>
      </c>
      <c r="N61" s="167">
        <v>38537.74</v>
      </c>
      <c r="O61" s="167">
        <v>40850</v>
      </c>
      <c r="P61" s="167">
        <v>38537.74</v>
      </c>
      <c r="Q61" s="167"/>
      <c r="R61" s="167">
        <f t="shared" si="2"/>
        <v>38537.74</v>
      </c>
      <c r="S61" s="178">
        <f>IFERROR(VLOOKUP(G61,'附表8-合同明细采集底稿'!B:N,12,0),100%)</f>
        <v>1</v>
      </c>
      <c r="T61" s="167">
        <f t="shared" si="4"/>
        <v>38537.74</v>
      </c>
      <c r="U61" s="157" t="s">
        <v>2344</v>
      </c>
      <c r="V61" s="179" t="s">
        <v>375</v>
      </c>
      <c r="W61" s="180">
        <f>IF('附表1-面积统计表'!$D$29=0,"",IF(AND(V61="共同成本费用",Z61="总建筑面积法"),ROUND(T61/'附表1-面积统计表'!$D$29*'附表1-面积统计表'!$D$5,2),IF(AND(V61="共同成本费用",Z61="可售建筑面积法"),ROUND(T61/'附表1-面积统计表'!$F$29*'附表1-面积统计表'!$F$5,2),"请手工填写")))</f>
        <v>18670.11</v>
      </c>
      <c r="X61" s="180">
        <f>IF(SUM('附表1-面积统计表'!$D$6)=0,"",SUM(T61)-SUM(W61)-SUM(Y61))</f>
        <v>12352.66</v>
      </c>
      <c r="Y61" s="180">
        <f>IF(SUM('附表1-面积统计表'!$D$6)=0,SUM(T61)-SUM(W61),IF('附表1-面积统计表'!$D$29=0,"",IF(AND(V61="共同成本费用",Z61="总建筑面积法"),ROUND(T61/'附表1-面积统计表'!$D$29*'附表1-面积统计表'!$D$7,2),IF(AND(V61="共同成本费用",Z61="可售建筑面积法"),ROUND(T61/'附表1-面积统计表'!$F$29*'附表1-面积统计表'!$F$7,2),"请手工填写"))))</f>
        <v>7514.97</v>
      </c>
      <c r="Z61" s="183" t="s">
        <v>351</v>
      </c>
      <c r="AA61" s="157"/>
      <c r="AB61" s="184" t="s">
        <v>2319</v>
      </c>
      <c r="AC61" s="132">
        <f t="shared" si="1"/>
        <v>0</v>
      </c>
    </row>
    <row r="62" s="132" customFormat="1" ht="24" customHeight="1" spans="1:30">
      <c r="A62" s="150">
        <v>56</v>
      </c>
      <c r="B62" s="151">
        <v>43613</v>
      </c>
      <c r="C62" s="152" t="s">
        <v>2513</v>
      </c>
      <c r="D62" s="157" t="s">
        <v>2339</v>
      </c>
      <c r="E62" s="158" t="s">
        <v>2351</v>
      </c>
      <c r="F62" s="159" t="s">
        <v>2514</v>
      </c>
      <c r="G62" s="156" t="s">
        <v>2515</v>
      </c>
      <c r="H62" s="157" t="str">
        <f>IF(G62="","",VLOOKUP(G62,'附表8-合同明细采集底稿'!B:I,2,0))</f>
        <v>25-34#建设工程设计合同（民用建设工程设计合同）25#-30#、32#-34</v>
      </c>
      <c r="I62" s="165" t="str">
        <f>IF(G62="","",VLOOKUP(G62,'附表8-合同明细采集底稿'!B:I,3,0))</f>
        <v>技术合同</v>
      </c>
      <c r="J62" s="154" t="s">
        <v>2388</v>
      </c>
      <c r="K62" s="157" t="s">
        <v>2355</v>
      </c>
      <c r="L62" s="168" t="s">
        <v>2393</v>
      </c>
      <c r="M62" s="155" t="s">
        <v>2516</v>
      </c>
      <c r="N62" s="167">
        <v>129245.28</v>
      </c>
      <c r="O62" s="167">
        <v>137000</v>
      </c>
      <c r="P62" s="167">
        <v>129245.28</v>
      </c>
      <c r="Q62" s="167"/>
      <c r="R62" s="167">
        <f t="shared" si="2"/>
        <v>129245.28</v>
      </c>
      <c r="S62" s="178">
        <f>IFERROR(VLOOKUP(G62,'附表8-合同明细采集底稿'!B:N,12,0),100%)</f>
        <v>1</v>
      </c>
      <c r="T62" s="167">
        <f t="shared" si="4"/>
        <v>129245.28</v>
      </c>
      <c r="U62" s="157" t="s">
        <v>2416</v>
      </c>
      <c r="V62" s="179" t="s">
        <v>374</v>
      </c>
      <c r="W62" s="182">
        <f>ROUND(T62*成本分摊比例!$G$13/(成本分摊比例!$G$13+成本分摊比例!$H$13+成本分摊比例!$I$13),2)</f>
        <v>69831.45</v>
      </c>
      <c r="X62" s="182">
        <f>ROUND(T62*成本分摊比例!$H$13/(成本分摊比例!$G$13+成本分摊比例!$H$13+成本分摊比例!$I$13),2)</f>
        <v>46202.41</v>
      </c>
      <c r="Y62" s="182">
        <f>T62-W62-X62</f>
        <v>13211.42</v>
      </c>
      <c r="Z62" s="183" t="s">
        <v>2406</v>
      </c>
      <c r="AA62" s="157"/>
      <c r="AB62" s="184" t="s">
        <v>2319</v>
      </c>
      <c r="AC62" s="132">
        <f t="shared" si="1"/>
        <v>0</v>
      </c>
      <c r="AD62" s="185"/>
    </row>
    <row r="63" s="132" customFormat="1" ht="24" customHeight="1" spans="1:29">
      <c r="A63" s="150">
        <v>57</v>
      </c>
      <c r="B63" s="151">
        <v>43613</v>
      </c>
      <c r="C63" s="152" t="s">
        <v>2517</v>
      </c>
      <c r="D63" s="157" t="s">
        <v>2346</v>
      </c>
      <c r="E63" s="158" t="s">
        <v>2501</v>
      </c>
      <c r="F63" s="159" t="s">
        <v>2518</v>
      </c>
      <c r="G63" s="156" t="s">
        <v>2519</v>
      </c>
      <c r="H63" s="157" t="str">
        <f>IF(G63="","",VLOOKUP(G63,'附表8-合同明细采集底稿'!B:I,2,0))</f>
        <v>材料销售合同</v>
      </c>
      <c r="I63" s="165" t="str">
        <f>IF(G63="","",VLOOKUP(G63,'附表8-合同明细采集底稿'!B:I,3,0))</f>
        <v>买卖合同</v>
      </c>
      <c r="J63" s="165" t="s">
        <v>2520</v>
      </c>
      <c r="K63" s="157" t="s">
        <v>2355</v>
      </c>
      <c r="L63" s="168" t="s">
        <v>2393</v>
      </c>
      <c r="M63" s="155" t="s">
        <v>2521</v>
      </c>
      <c r="N63" s="167">
        <v>159292.03</v>
      </c>
      <c r="O63" s="167">
        <v>20707.97</v>
      </c>
      <c r="P63" s="167">
        <v>159292.03</v>
      </c>
      <c r="Q63" s="167">
        <v>-159292.03</v>
      </c>
      <c r="R63" s="167">
        <f t="shared" si="2"/>
        <v>0</v>
      </c>
      <c r="S63" s="178">
        <f>IFERROR(VLOOKUP(G63,'附表8-合同明细采集底稿'!B:N,12,0),100%)</f>
        <v>1</v>
      </c>
      <c r="T63" s="167">
        <f t="shared" si="4"/>
        <v>0</v>
      </c>
      <c r="U63" s="157" t="s">
        <v>2522</v>
      </c>
      <c r="V63" s="179" t="s">
        <v>375</v>
      </c>
      <c r="W63" s="180">
        <f>IF('附表1-面积统计表'!$D$29=0,"",IF(AND(V63="共同成本费用",Z63="总建筑面积法"),ROUND(T63/'附表1-面积统计表'!$D$29*'附表1-面积统计表'!$D$5,2),IF(AND(V63="共同成本费用",Z63="可售建筑面积法"),ROUND(T63/'附表1-面积统计表'!$F$29*'附表1-面积统计表'!$F$5,2),"请手工填写")))</f>
        <v>0</v>
      </c>
      <c r="X63" s="180">
        <f>IF(SUM('附表1-面积统计表'!$D$6)=0,"",SUM(T63)-SUM(W63)-SUM(Y63))</f>
        <v>0</v>
      </c>
      <c r="Y63" s="180">
        <f>IF(SUM('附表1-面积统计表'!$D$6)=0,SUM(T63)-SUM(W63),IF('附表1-面积统计表'!$D$29=0,"",IF(AND(V63="共同成本费用",Z63="总建筑面积法"),ROUND(T63/'附表1-面积统计表'!$D$29*'附表1-面积统计表'!$D$7,2),IF(AND(V63="共同成本费用",Z63="可售建筑面积法"),ROUND(T63/'附表1-面积统计表'!$F$29*'附表1-面积统计表'!$F$7,2),"请手工填写"))))</f>
        <v>0</v>
      </c>
      <c r="Z63" s="183" t="s">
        <v>351</v>
      </c>
      <c r="AA63" s="157"/>
      <c r="AB63" s="184" t="s">
        <v>2319</v>
      </c>
      <c r="AC63" s="132">
        <f t="shared" si="1"/>
        <v>0</v>
      </c>
    </row>
    <row r="64" s="132" customFormat="1" ht="24" customHeight="1" spans="1:29">
      <c r="A64" s="150">
        <v>58</v>
      </c>
      <c r="B64" s="151">
        <v>43627</v>
      </c>
      <c r="C64" s="152" t="s">
        <v>2395</v>
      </c>
      <c r="D64" s="157" t="s">
        <v>2339</v>
      </c>
      <c r="E64" s="158" t="s">
        <v>2523</v>
      </c>
      <c r="F64" s="159" t="s">
        <v>2524</v>
      </c>
      <c r="G64" s="156" t="s">
        <v>2486</v>
      </c>
      <c r="H64" s="157" t="str">
        <f>IF(G64="","",VLOOKUP(G64,'附表8-合同明细采集底稿'!B:I,2,0))</f>
        <v>库尔勒市杜鹃路施工合同</v>
      </c>
      <c r="I64" s="165" t="str">
        <f>IF(G64="","",VLOOKUP(G64,'附表8-合同明细采集底稿'!B:I,3,0))</f>
        <v>建设工程合同</v>
      </c>
      <c r="J64" s="154" t="s">
        <v>2525</v>
      </c>
      <c r="K64" s="157" t="s">
        <v>2335</v>
      </c>
      <c r="L64" s="168" t="s">
        <v>2336</v>
      </c>
      <c r="M64" s="555" t="s">
        <v>2526</v>
      </c>
      <c r="N64" s="167">
        <v>19540</v>
      </c>
      <c r="O64" s="167">
        <v>19540</v>
      </c>
      <c r="P64" s="167">
        <v>19540</v>
      </c>
      <c r="Q64" s="167">
        <v>-19540</v>
      </c>
      <c r="R64" s="167">
        <f t="shared" si="2"/>
        <v>0</v>
      </c>
      <c r="S64" s="178">
        <f>IFERROR(VLOOKUP(G64,'附表8-合同明细采集底稿'!B:N,12,0),100%)</f>
        <v>1</v>
      </c>
      <c r="T64" s="167">
        <f t="shared" si="4"/>
        <v>0</v>
      </c>
      <c r="U64" s="157" t="s">
        <v>2381</v>
      </c>
      <c r="V64" s="179" t="s">
        <v>375</v>
      </c>
      <c r="W64" s="180">
        <f>IF('附表1-面积统计表'!$D$29=0,"",IF(AND(V64="共同成本费用",Z64="总建筑面积法"),ROUND(T64/'附表1-面积统计表'!$D$29*'附表1-面积统计表'!$D$5,2),IF(AND(V64="共同成本费用",Z64="可售建筑面积法"),ROUND(T64/'附表1-面积统计表'!$F$29*'附表1-面积统计表'!$F$5,2),"请手工填写")))</f>
        <v>0</v>
      </c>
      <c r="X64" s="180">
        <f>IF(SUM('附表1-面积统计表'!$D$6)=0,"",SUM(T64)-SUM(W64)-SUM(Y64))</f>
        <v>0</v>
      </c>
      <c r="Y64" s="180">
        <f>IF(SUM('附表1-面积统计表'!$D$6)=0,SUM(T64)-SUM(W64),IF('附表1-面积统计表'!$D$29=0,"",IF(AND(V64="共同成本费用",Z64="总建筑面积法"),ROUND(T64/'附表1-面积统计表'!$D$29*'附表1-面积统计表'!$D$7,2),IF(AND(V64="共同成本费用",Z64="可售建筑面积法"),ROUND(T64/'附表1-面积统计表'!$F$29*'附表1-面积统计表'!$F$7,2),"请手工填写"))))</f>
        <v>0</v>
      </c>
      <c r="Z64" s="183" t="s">
        <v>351</v>
      </c>
      <c r="AA64" s="157"/>
      <c r="AB64" s="184" t="s">
        <v>2319</v>
      </c>
      <c r="AC64" s="132">
        <f t="shared" si="1"/>
        <v>0</v>
      </c>
    </row>
    <row r="65" s="132" customFormat="1" ht="24" customHeight="1" spans="1:29">
      <c r="A65" s="150">
        <v>59</v>
      </c>
      <c r="B65" s="151">
        <v>43627</v>
      </c>
      <c r="C65" s="152" t="s">
        <v>2527</v>
      </c>
      <c r="D65" s="157" t="s">
        <v>2346</v>
      </c>
      <c r="E65" s="158" t="s">
        <v>2453</v>
      </c>
      <c r="F65" s="159" t="s">
        <v>2528</v>
      </c>
      <c r="G65" s="156" t="s">
        <v>2486</v>
      </c>
      <c r="H65" s="157" t="str">
        <f>IF(G65="","",VLOOKUP(G65,'附表8-合同明细采集底稿'!B:I,2,0))</f>
        <v>库尔勒市杜鹃路施工合同</v>
      </c>
      <c r="I65" s="165" t="str">
        <f>IF(G65="","",VLOOKUP(G65,'附表8-合同明细采集底稿'!B:I,3,0))</f>
        <v>建设工程合同</v>
      </c>
      <c r="J65" s="169" t="s">
        <v>2529</v>
      </c>
      <c r="K65" s="157" t="s">
        <v>2355</v>
      </c>
      <c r="L65" s="166" t="s">
        <v>2530</v>
      </c>
      <c r="M65" s="555" t="s">
        <v>2531</v>
      </c>
      <c r="N65" s="167">
        <v>28788.5</v>
      </c>
      <c r="O65" s="167">
        <v>32531</v>
      </c>
      <c r="P65" s="167">
        <v>28788.5</v>
      </c>
      <c r="Q65" s="167">
        <v>-28788.5</v>
      </c>
      <c r="R65" s="167">
        <f t="shared" si="2"/>
        <v>0</v>
      </c>
      <c r="S65" s="178">
        <f>IFERROR(VLOOKUP(G65,'附表8-合同明细采集底稿'!B:N,12,0),100%)</f>
        <v>1</v>
      </c>
      <c r="T65" s="167">
        <f t="shared" si="4"/>
        <v>0</v>
      </c>
      <c r="U65" s="157" t="s">
        <v>2381</v>
      </c>
      <c r="V65" s="179" t="s">
        <v>375</v>
      </c>
      <c r="W65" s="180">
        <f>IF('附表1-面积统计表'!$D$29=0,"",IF(AND(V65="共同成本费用",Z65="总建筑面积法"),ROUND(T65/'附表1-面积统计表'!$D$29*'附表1-面积统计表'!$D$5,2),IF(AND(V65="共同成本费用",Z65="可售建筑面积法"),ROUND(T65/'附表1-面积统计表'!$F$29*'附表1-面积统计表'!$F$5,2),"请手工填写")))</f>
        <v>0</v>
      </c>
      <c r="X65" s="180">
        <f>IF(SUM('附表1-面积统计表'!$D$6)=0,"",SUM(T65)-SUM(W65)-SUM(Y65))</f>
        <v>0</v>
      </c>
      <c r="Y65" s="180">
        <f>IF(SUM('附表1-面积统计表'!$D$6)=0,SUM(T65)-SUM(W65),IF('附表1-面积统计表'!$D$29=0,"",IF(AND(V65="共同成本费用",Z65="总建筑面积法"),ROUND(T65/'附表1-面积统计表'!$D$29*'附表1-面积统计表'!$D$7,2),IF(AND(V65="共同成本费用",Z65="可售建筑面积法"),ROUND(T65/'附表1-面积统计表'!$F$29*'附表1-面积统计表'!$F$7,2),"请手工填写"))))</f>
        <v>0</v>
      </c>
      <c r="Z65" s="183" t="s">
        <v>351</v>
      </c>
      <c r="AA65" s="157"/>
      <c r="AB65" s="184" t="s">
        <v>2319</v>
      </c>
      <c r="AC65" s="132">
        <f t="shared" si="1"/>
        <v>0</v>
      </c>
    </row>
    <row r="66" s="132" customFormat="1" ht="24" customHeight="1" spans="1:30">
      <c r="A66" s="150">
        <v>60</v>
      </c>
      <c r="B66" s="151">
        <v>43629</v>
      </c>
      <c r="C66" s="152" t="s">
        <v>2532</v>
      </c>
      <c r="D66" s="157" t="s">
        <v>2533</v>
      </c>
      <c r="E66" s="158" t="s">
        <v>2534</v>
      </c>
      <c r="F66" s="159" t="s">
        <v>2535</v>
      </c>
      <c r="G66" s="156"/>
      <c r="H66" s="157" t="str">
        <f>IF(G66="","",VLOOKUP(G66,'附表8-合同明细采集底稿'!B:I,2,0))</f>
        <v/>
      </c>
      <c r="I66" s="165" t="str">
        <f>IF(G66="","",VLOOKUP(G66,'附表8-合同明细采集底稿'!B:I,3,0))</f>
        <v/>
      </c>
      <c r="J66" s="187" t="s">
        <v>2536</v>
      </c>
      <c r="K66" s="157" t="s">
        <v>2355</v>
      </c>
      <c r="L66" s="166" t="s">
        <v>2393</v>
      </c>
      <c r="M66" s="555" t="s">
        <v>2537</v>
      </c>
      <c r="N66" s="167">
        <v>66367.26</v>
      </c>
      <c r="O66" s="167">
        <v>74995</v>
      </c>
      <c r="P66" s="167">
        <v>66367.26</v>
      </c>
      <c r="Q66" s="167"/>
      <c r="R66" s="167">
        <f t="shared" si="2"/>
        <v>66367.26</v>
      </c>
      <c r="S66" s="178">
        <v>1</v>
      </c>
      <c r="T66" s="167">
        <f t="shared" si="4"/>
        <v>66367.26</v>
      </c>
      <c r="U66" s="157" t="s">
        <v>2416</v>
      </c>
      <c r="V66" s="179" t="s">
        <v>374</v>
      </c>
      <c r="W66" s="182">
        <f>ROUND(T66*成本分摊比例!$G$13/(成本分摊比例!$G$13+成本分摊比例!$H$13+成本分摊比例!$I$13),2)</f>
        <v>35858.35</v>
      </c>
      <c r="X66" s="182">
        <f>ROUND(T66*成本分摊比例!$H$13/(成本分摊比例!$G$13+成本分摊比例!$H$13+成本分摊比例!$I$13),2)</f>
        <v>23724.87</v>
      </c>
      <c r="Y66" s="182">
        <f>T66-W66-X66</f>
        <v>6784.04</v>
      </c>
      <c r="Z66" s="183" t="s">
        <v>2406</v>
      </c>
      <c r="AA66" s="157"/>
      <c r="AB66" s="184" t="s">
        <v>2319</v>
      </c>
      <c r="AC66" s="132">
        <f t="shared" si="1"/>
        <v>0</v>
      </c>
      <c r="AD66" s="185"/>
    </row>
    <row r="67" s="132" customFormat="1" ht="24" customHeight="1" spans="1:29">
      <c r="A67" s="150">
        <v>61</v>
      </c>
      <c r="B67" s="151">
        <v>43629</v>
      </c>
      <c r="C67" s="152" t="s">
        <v>2538</v>
      </c>
      <c r="D67" s="157" t="s">
        <v>2470</v>
      </c>
      <c r="E67" s="158" t="s">
        <v>2539</v>
      </c>
      <c r="F67" s="159" t="s">
        <v>2540</v>
      </c>
      <c r="G67" s="156"/>
      <c r="H67" s="157" t="str">
        <f>IF(G67="","",VLOOKUP(G67,'附表8-合同明细采集底稿'!B:I,2,0))</f>
        <v/>
      </c>
      <c r="I67" s="165" t="str">
        <f>IF(G67="","",VLOOKUP(G67,'附表8-合同明细采集底稿'!B:I,3,0))</f>
        <v/>
      </c>
      <c r="J67" s="187" t="s">
        <v>2541</v>
      </c>
      <c r="K67" s="157" t="s">
        <v>2335</v>
      </c>
      <c r="L67" s="168" t="s">
        <v>2336</v>
      </c>
      <c r="M67" s="166">
        <v>36887681</v>
      </c>
      <c r="N67" s="167">
        <v>4642.56</v>
      </c>
      <c r="O67" s="167">
        <v>4642.56</v>
      </c>
      <c r="P67" s="167">
        <v>4642.56</v>
      </c>
      <c r="Q67" s="167">
        <v>-4642.56</v>
      </c>
      <c r="R67" s="167">
        <f t="shared" si="2"/>
        <v>0</v>
      </c>
      <c r="S67" s="178">
        <v>1</v>
      </c>
      <c r="T67" s="167">
        <f t="shared" ref="T67:T102" si="5">ROUND(SUM(R67)*SUM(S67),2)</f>
        <v>0</v>
      </c>
      <c r="U67" s="157" t="s">
        <v>2344</v>
      </c>
      <c r="V67" s="179" t="s">
        <v>375</v>
      </c>
      <c r="W67" s="180">
        <f>IF('附表1-面积统计表'!$D$29=0,"",IF(AND(V67="共同成本费用",Z67="总建筑面积法"),ROUND(T67/'附表1-面积统计表'!$D$29*'附表1-面积统计表'!$D$5,2),IF(AND(V67="共同成本费用",Z67="可售建筑面积法"),ROUND(T67/'附表1-面积统计表'!$F$29*'附表1-面积统计表'!$F$5,2),"请手工填写")))</f>
        <v>0</v>
      </c>
      <c r="X67" s="180">
        <f>IF(SUM('附表1-面积统计表'!$D$6)=0,"",SUM(T67)-SUM(W67)-SUM(Y67))</f>
        <v>0</v>
      </c>
      <c r="Y67" s="180">
        <f>IF(SUM('附表1-面积统计表'!$D$6)=0,SUM(T67)-SUM(W67),IF('附表1-面积统计表'!$D$29=0,"",IF(AND(V67="共同成本费用",Z67="总建筑面积法"),ROUND(T67/'附表1-面积统计表'!$D$29*'附表1-面积统计表'!$D$7,2),IF(AND(V67="共同成本费用",Z67="可售建筑面积法"),ROUND(T67/'附表1-面积统计表'!$F$29*'附表1-面积统计表'!$F$7,2),"请手工填写"))))</f>
        <v>0</v>
      </c>
      <c r="Z67" s="183" t="s">
        <v>351</v>
      </c>
      <c r="AA67" s="157"/>
      <c r="AB67" s="184" t="s">
        <v>2319</v>
      </c>
      <c r="AC67" s="132">
        <f t="shared" si="1"/>
        <v>0</v>
      </c>
    </row>
    <row r="68" s="132" customFormat="1" ht="24" customHeight="1" spans="1:29">
      <c r="A68" s="150">
        <v>62</v>
      </c>
      <c r="B68" s="151">
        <v>43629</v>
      </c>
      <c r="C68" s="152" t="s">
        <v>2538</v>
      </c>
      <c r="D68" s="157" t="s">
        <v>2470</v>
      </c>
      <c r="E68" s="158" t="s">
        <v>2539</v>
      </c>
      <c r="F68" s="159" t="s">
        <v>2540</v>
      </c>
      <c r="G68" s="156"/>
      <c r="H68" s="157" t="str">
        <f>IF(G68="","",VLOOKUP(G68,'附表8-合同明细采集底稿'!B:I,2,0))</f>
        <v/>
      </c>
      <c r="I68" s="165" t="str">
        <f>IF(G68="","",VLOOKUP(G68,'附表8-合同明细采集底稿'!B:I,3,0))</f>
        <v/>
      </c>
      <c r="J68" s="187" t="s">
        <v>2541</v>
      </c>
      <c r="K68" s="157" t="s">
        <v>2335</v>
      </c>
      <c r="L68" s="168" t="s">
        <v>2336</v>
      </c>
      <c r="M68" s="166">
        <v>36887682</v>
      </c>
      <c r="N68" s="167">
        <v>1668.03</v>
      </c>
      <c r="O68" s="167">
        <v>1668.03</v>
      </c>
      <c r="P68" s="167">
        <v>1668.03</v>
      </c>
      <c r="Q68" s="167">
        <v>-1668.03</v>
      </c>
      <c r="R68" s="167">
        <f t="shared" si="2"/>
        <v>0</v>
      </c>
      <c r="S68" s="178">
        <v>1</v>
      </c>
      <c r="T68" s="167">
        <f t="shared" si="5"/>
        <v>0</v>
      </c>
      <c r="U68" s="157" t="s">
        <v>2344</v>
      </c>
      <c r="V68" s="179" t="s">
        <v>375</v>
      </c>
      <c r="W68" s="180">
        <f>IF('附表1-面积统计表'!$D$29=0,"",IF(AND(V68="共同成本费用",Z68="总建筑面积法"),ROUND(T68/'附表1-面积统计表'!$D$29*'附表1-面积统计表'!$D$5,2),IF(AND(V68="共同成本费用",Z68="可售建筑面积法"),ROUND(T68/'附表1-面积统计表'!$F$29*'附表1-面积统计表'!$F$5,2),"请手工填写")))</f>
        <v>0</v>
      </c>
      <c r="X68" s="180">
        <f>IF(SUM('附表1-面积统计表'!$D$6)=0,"",SUM(T68)-SUM(W68)-SUM(Y68))</f>
        <v>0</v>
      </c>
      <c r="Y68" s="180">
        <f>IF(SUM('附表1-面积统计表'!$D$6)=0,SUM(T68)-SUM(W68),IF('附表1-面积统计表'!$D$29=0,"",IF(AND(V68="共同成本费用",Z68="总建筑面积法"),ROUND(T68/'附表1-面积统计表'!$D$29*'附表1-面积统计表'!$D$7,2),IF(AND(V68="共同成本费用",Z68="可售建筑面积法"),ROUND(T68/'附表1-面积统计表'!$F$29*'附表1-面积统计表'!$F$7,2),"请手工填写"))))</f>
        <v>0</v>
      </c>
      <c r="Z68" s="183" t="s">
        <v>351</v>
      </c>
      <c r="AA68" s="157"/>
      <c r="AB68" s="184" t="s">
        <v>2319</v>
      </c>
      <c r="AC68" s="132">
        <f t="shared" si="1"/>
        <v>0</v>
      </c>
    </row>
    <row r="69" s="132" customFormat="1" ht="24" customHeight="1" spans="1:29">
      <c r="A69" s="150">
        <v>63</v>
      </c>
      <c r="B69" s="151">
        <v>43629</v>
      </c>
      <c r="C69" s="152" t="s">
        <v>2538</v>
      </c>
      <c r="D69" s="157" t="s">
        <v>2470</v>
      </c>
      <c r="E69" s="158" t="s">
        <v>2539</v>
      </c>
      <c r="F69" s="159" t="s">
        <v>2540</v>
      </c>
      <c r="G69" s="156"/>
      <c r="H69" s="157" t="str">
        <f>IF(G69="","",VLOOKUP(G69,'附表8-合同明细采集底稿'!B:I,2,0))</f>
        <v/>
      </c>
      <c r="I69" s="165" t="str">
        <f>IF(G69="","",VLOOKUP(G69,'附表8-合同明细采集底稿'!B:I,3,0))</f>
        <v/>
      </c>
      <c r="J69" s="187" t="s">
        <v>2541</v>
      </c>
      <c r="K69" s="157" t="s">
        <v>2335</v>
      </c>
      <c r="L69" s="168" t="s">
        <v>2336</v>
      </c>
      <c r="M69" s="166">
        <v>36887683</v>
      </c>
      <c r="N69" s="167">
        <v>2267.85</v>
      </c>
      <c r="O69" s="167">
        <v>2267.85</v>
      </c>
      <c r="P69" s="167">
        <v>2267.85</v>
      </c>
      <c r="Q69" s="167">
        <v>-2267.85</v>
      </c>
      <c r="R69" s="167">
        <f t="shared" si="2"/>
        <v>0</v>
      </c>
      <c r="S69" s="178">
        <v>1</v>
      </c>
      <c r="T69" s="167">
        <f t="shared" si="5"/>
        <v>0</v>
      </c>
      <c r="U69" s="157" t="s">
        <v>2344</v>
      </c>
      <c r="V69" s="179" t="s">
        <v>375</v>
      </c>
      <c r="W69" s="180">
        <f>IF('附表1-面积统计表'!$D$29=0,"",IF(AND(V69="共同成本费用",Z69="总建筑面积法"),ROUND(T69/'附表1-面积统计表'!$D$29*'附表1-面积统计表'!$D$5,2),IF(AND(V69="共同成本费用",Z69="可售建筑面积法"),ROUND(T69/'附表1-面积统计表'!$F$29*'附表1-面积统计表'!$F$5,2),"请手工填写")))</f>
        <v>0</v>
      </c>
      <c r="X69" s="180">
        <f>IF(SUM('附表1-面积统计表'!$D$6)=0,"",SUM(T69)-SUM(W69)-SUM(Y69))</f>
        <v>0</v>
      </c>
      <c r="Y69" s="180">
        <f>IF(SUM('附表1-面积统计表'!$D$6)=0,SUM(T69)-SUM(W69),IF('附表1-面积统计表'!$D$29=0,"",IF(AND(V69="共同成本费用",Z69="总建筑面积法"),ROUND(T69/'附表1-面积统计表'!$D$29*'附表1-面积统计表'!$D$7,2),IF(AND(V69="共同成本费用",Z69="可售建筑面积法"),ROUND(T69/'附表1-面积统计表'!$F$29*'附表1-面积统计表'!$F$7,2),"请手工填写"))))</f>
        <v>0</v>
      </c>
      <c r="Z69" s="183" t="s">
        <v>351</v>
      </c>
      <c r="AA69" s="157"/>
      <c r="AB69" s="184" t="s">
        <v>2319</v>
      </c>
      <c r="AC69" s="132">
        <f t="shared" si="1"/>
        <v>0</v>
      </c>
    </row>
    <row r="70" s="132" customFormat="1" ht="24" customHeight="1" spans="1:29">
      <c r="A70" s="150">
        <v>64</v>
      </c>
      <c r="B70" s="151">
        <v>43629</v>
      </c>
      <c r="C70" s="152" t="s">
        <v>2538</v>
      </c>
      <c r="D70" s="157" t="s">
        <v>2470</v>
      </c>
      <c r="E70" s="158" t="s">
        <v>2539</v>
      </c>
      <c r="F70" s="159" t="s">
        <v>2540</v>
      </c>
      <c r="G70" s="156"/>
      <c r="H70" s="157" t="str">
        <f>IF(G70="","",VLOOKUP(G70,'附表8-合同明细采集底稿'!B:I,2,0))</f>
        <v/>
      </c>
      <c r="I70" s="165" t="str">
        <f>IF(G70="","",VLOOKUP(G70,'附表8-合同明细采集底稿'!B:I,3,0))</f>
        <v/>
      </c>
      <c r="J70" s="187" t="s">
        <v>2541</v>
      </c>
      <c r="K70" s="157" t="s">
        <v>2335</v>
      </c>
      <c r="L70" s="168" t="s">
        <v>2336</v>
      </c>
      <c r="M70" s="166">
        <v>36892651</v>
      </c>
      <c r="N70" s="167">
        <v>441281.4</v>
      </c>
      <c r="O70" s="167">
        <v>441281.4</v>
      </c>
      <c r="P70" s="167">
        <v>441281.4</v>
      </c>
      <c r="Q70" s="167">
        <v>-441281.4</v>
      </c>
      <c r="R70" s="167">
        <f t="shared" si="2"/>
        <v>0</v>
      </c>
      <c r="S70" s="178">
        <v>1</v>
      </c>
      <c r="T70" s="167">
        <f t="shared" si="5"/>
        <v>0</v>
      </c>
      <c r="U70" s="157" t="s">
        <v>2344</v>
      </c>
      <c r="V70" s="179" t="s">
        <v>375</v>
      </c>
      <c r="W70" s="180">
        <f>IF('附表1-面积统计表'!$D$29=0,"",IF(AND(V70="共同成本费用",Z70="总建筑面积法"),ROUND(T70/'附表1-面积统计表'!$D$29*'附表1-面积统计表'!$D$5,2),IF(AND(V70="共同成本费用",Z70="可售建筑面积法"),ROUND(T70/'附表1-面积统计表'!$F$29*'附表1-面积统计表'!$F$5,2),"请手工填写")))</f>
        <v>0</v>
      </c>
      <c r="X70" s="180">
        <f>IF(SUM('附表1-面积统计表'!$D$6)=0,"",SUM(T70)-SUM(W70)-SUM(Y70))</f>
        <v>0</v>
      </c>
      <c r="Y70" s="180">
        <f>IF(SUM('附表1-面积统计表'!$D$6)=0,SUM(T70)-SUM(W70),IF('附表1-面积统计表'!$D$29=0,"",IF(AND(V70="共同成本费用",Z70="总建筑面积法"),ROUND(T70/'附表1-面积统计表'!$D$29*'附表1-面积统计表'!$D$7,2),IF(AND(V70="共同成本费用",Z70="可售建筑面积法"),ROUND(T70/'附表1-面积统计表'!$F$29*'附表1-面积统计表'!$F$7,2),"请手工填写"))))</f>
        <v>0</v>
      </c>
      <c r="Z70" s="183" t="s">
        <v>351</v>
      </c>
      <c r="AA70" s="157"/>
      <c r="AB70" s="184" t="s">
        <v>2319</v>
      </c>
      <c r="AC70" s="132">
        <f t="shared" si="1"/>
        <v>0</v>
      </c>
    </row>
    <row r="71" s="132" customFormat="1" ht="24" customHeight="1" spans="1:29">
      <c r="A71" s="150">
        <v>65</v>
      </c>
      <c r="B71" s="151">
        <v>43640</v>
      </c>
      <c r="C71" s="152" t="s">
        <v>2491</v>
      </c>
      <c r="D71" s="157" t="s">
        <v>2346</v>
      </c>
      <c r="E71" s="158" t="s">
        <v>2506</v>
      </c>
      <c r="F71" s="159" t="s">
        <v>2542</v>
      </c>
      <c r="G71" s="156" t="s">
        <v>2543</v>
      </c>
      <c r="H71" s="157" t="str">
        <f>IF(G71="","",VLOOKUP(G71,'附表8-合同明细采集底稿'!B:I,2,0))</f>
        <v>供水管道安装（自来水接口）</v>
      </c>
      <c r="I71" s="165" t="str">
        <f>IF(G71="","",VLOOKUP(G71,'附表8-合同明细采集底稿'!B:I,3,0))</f>
        <v>其他合同</v>
      </c>
      <c r="J71" s="169" t="s">
        <v>2544</v>
      </c>
      <c r="K71" s="157" t="s">
        <v>2355</v>
      </c>
      <c r="L71" s="166" t="s">
        <v>2530</v>
      </c>
      <c r="M71" s="555" t="s">
        <v>2545</v>
      </c>
      <c r="N71" s="167">
        <v>4265.2</v>
      </c>
      <c r="O71" s="167">
        <v>4649.07</v>
      </c>
      <c r="P71" s="167">
        <v>4265.2</v>
      </c>
      <c r="Q71" s="167"/>
      <c r="R71" s="167">
        <f t="shared" si="2"/>
        <v>4265.2</v>
      </c>
      <c r="S71" s="178">
        <f>IFERROR(VLOOKUP(G71,'附表8-合同明细采集底稿'!B:N,12,0),100%)</f>
        <v>0.338555832480367</v>
      </c>
      <c r="T71" s="167">
        <f t="shared" si="5"/>
        <v>1444.01</v>
      </c>
      <c r="U71" s="157" t="s">
        <v>2318</v>
      </c>
      <c r="V71" s="179" t="s">
        <v>375</v>
      </c>
      <c r="W71" s="180">
        <f>IF('附表1-面积统计表'!$D$29=0,"",IF(AND(V71="共同成本费用",Z71="总建筑面积法"),ROUND(T71/'附表1-面积统计表'!$D$29*'附表1-面积统计表'!$D$5,2),IF(AND(V71="共同成本费用",Z71="可售建筑面积法"),ROUND(T71/'附表1-面积统计表'!$F$29*'附表1-面积统计表'!$F$5,2),"请手工填写")))</f>
        <v>699.57</v>
      </c>
      <c r="X71" s="180">
        <f>IF(SUM('附表1-面积统计表'!$D$6)=0,"",SUM(T71)-SUM(W71)-SUM(Y71))</f>
        <v>462.85</v>
      </c>
      <c r="Y71" s="180">
        <f>IF(SUM('附表1-面积统计表'!$D$6)=0,SUM(T71)-SUM(W71),IF('附表1-面积统计表'!$D$29=0,"",IF(AND(V71="共同成本费用",Z71="总建筑面积法"),ROUND(T71/'附表1-面积统计表'!$D$29*'附表1-面积统计表'!$D$7,2),IF(AND(V71="共同成本费用",Z71="可售建筑面积法"),ROUND(T71/'附表1-面积统计表'!$F$29*'附表1-面积统计表'!$F$7,2),"请手工填写"))))</f>
        <v>281.59</v>
      </c>
      <c r="Z71" s="183" t="s">
        <v>351</v>
      </c>
      <c r="AA71" s="157"/>
      <c r="AB71" s="184" t="s">
        <v>2319</v>
      </c>
      <c r="AC71" s="132">
        <f t="shared" si="1"/>
        <v>0</v>
      </c>
    </row>
    <row r="72" s="132" customFormat="1" ht="24" customHeight="1" spans="1:29">
      <c r="A72" s="150">
        <v>66</v>
      </c>
      <c r="B72" s="151">
        <v>43642</v>
      </c>
      <c r="C72" s="152" t="s">
        <v>2546</v>
      </c>
      <c r="D72" s="157" t="s">
        <v>2470</v>
      </c>
      <c r="E72" s="158" t="s">
        <v>2471</v>
      </c>
      <c r="F72" s="159" t="s">
        <v>2547</v>
      </c>
      <c r="G72" s="156" t="s">
        <v>2548</v>
      </c>
      <c r="H72" s="157" t="str">
        <f>IF(G72="","",VLOOKUP(G72,'附表8-合同明细采集底稿'!B:I,2,0))</f>
        <v>建设工程监理合同</v>
      </c>
      <c r="I72" s="165" t="str">
        <f>IF(G72="","",VLOOKUP(G72,'附表8-合同明细采集底稿'!B:I,3,0))</f>
        <v>技术合同</v>
      </c>
      <c r="J72" s="154" t="s">
        <v>2549</v>
      </c>
      <c r="K72" s="157" t="s">
        <v>2355</v>
      </c>
      <c r="L72" s="166" t="s">
        <v>2403</v>
      </c>
      <c r="M72" s="555" t="s">
        <v>2550</v>
      </c>
      <c r="N72" s="167">
        <v>20970.87</v>
      </c>
      <c r="O72" s="167">
        <v>21600</v>
      </c>
      <c r="P72" s="167">
        <v>20970.87</v>
      </c>
      <c r="Q72" s="167"/>
      <c r="R72" s="167">
        <f t="shared" si="2"/>
        <v>20970.87</v>
      </c>
      <c r="S72" s="178">
        <f>IFERROR(VLOOKUP(G72,'附表8-合同明细采集底稿'!B:N,12,0),100%)</f>
        <v>1</v>
      </c>
      <c r="T72" s="167">
        <f t="shared" si="5"/>
        <v>20970.87</v>
      </c>
      <c r="U72" s="157" t="s">
        <v>2344</v>
      </c>
      <c r="V72" s="179" t="s">
        <v>375</v>
      </c>
      <c r="W72" s="180">
        <f>IF('附表1-面积统计表'!$D$29=0,"",IF(AND(V72="共同成本费用",Z72="总建筑面积法"),ROUND(T72/'附表1-面积统计表'!$D$29*'附表1-面积统计表'!$D$5,2),IF(AND(V72="共同成本费用",Z72="可售建筑面积法"),ROUND(T72/'附表1-面积统计表'!$F$29*'附表1-面积统计表'!$F$5,2),"请手工填写")))</f>
        <v>10159.61</v>
      </c>
      <c r="X72" s="180">
        <f>IF(SUM('附表1-面积统计表'!$D$6)=0,"",SUM(T72)-SUM(W72)-SUM(Y72))</f>
        <v>6721.88</v>
      </c>
      <c r="Y72" s="180">
        <f>IF(SUM('附表1-面积统计表'!$D$6)=0,SUM(T72)-SUM(W72),IF('附表1-面积统计表'!$D$29=0,"",IF(AND(V72="共同成本费用",Z72="总建筑面积法"),ROUND(T72/'附表1-面积统计表'!$D$29*'附表1-面积统计表'!$D$7,2),IF(AND(V72="共同成本费用",Z72="可售建筑面积法"),ROUND(T72/'附表1-面积统计表'!$F$29*'附表1-面积统计表'!$F$7,2),"请手工填写"))))</f>
        <v>4089.38</v>
      </c>
      <c r="Z72" s="183" t="s">
        <v>351</v>
      </c>
      <c r="AA72" s="157"/>
      <c r="AB72" s="184" t="s">
        <v>2319</v>
      </c>
      <c r="AC72" s="132">
        <f t="shared" ref="AC72:AC135" si="6">T72-W72-X72-Y72</f>
        <v>0</v>
      </c>
    </row>
    <row r="73" s="132" customFormat="1" ht="24" customHeight="1" spans="1:29">
      <c r="A73" s="150">
        <v>67</v>
      </c>
      <c r="B73" s="151">
        <v>43642</v>
      </c>
      <c r="C73" s="152" t="s">
        <v>2345</v>
      </c>
      <c r="D73" s="157" t="s">
        <v>2339</v>
      </c>
      <c r="E73" s="158" t="s">
        <v>2370</v>
      </c>
      <c r="F73" s="159" t="s">
        <v>2551</v>
      </c>
      <c r="G73" s="156" t="s">
        <v>2372</v>
      </c>
      <c r="H73" s="157" t="str">
        <f>IF(G73="","",VLOOKUP(G73,'附表8-合同明细采集底稿'!B:I,2,0))</f>
        <v>25-29号楼红、蓝线图</v>
      </c>
      <c r="I73" s="165" t="str">
        <f>IF(G73="","",VLOOKUP(G73,'附表8-合同明细采集底稿'!B:I,3,0))</f>
        <v>其他合同</v>
      </c>
      <c r="J73" s="187" t="s">
        <v>2373</v>
      </c>
      <c r="K73" s="157" t="s">
        <v>2355</v>
      </c>
      <c r="L73" s="166" t="s">
        <v>2530</v>
      </c>
      <c r="M73" s="555" t="s">
        <v>2552</v>
      </c>
      <c r="N73" s="167">
        <v>1226.42</v>
      </c>
      <c r="O73" s="167">
        <v>1300</v>
      </c>
      <c r="P73" s="167">
        <v>1300</v>
      </c>
      <c r="Q73" s="167"/>
      <c r="R73" s="167">
        <f t="shared" si="2"/>
        <v>1300</v>
      </c>
      <c r="S73" s="178">
        <f>IFERROR(VLOOKUP(G73,'附表8-合同明细采集底稿'!B:N,12,0),100%)</f>
        <v>1</v>
      </c>
      <c r="T73" s="167">
        <f t="shared" si="5"/>
        <v>1300</v>
      </c>
      <c r="U73" s="157" t="s">
        <v>2344</v>
      </c>
      <c r="V73" s="179" t="s">
        <v>375</v>
      </c>
      <c r="W73" s="180">
        <f>IF('附表1-面积统计表'!$D$29=0,"",IF(AND(V73="共同成本费用",Z73="总建筑面积法"),ROUND(T73/'附表1-面积统计表'!$D$29*'附表1-面积统计表'!$D$5,2),IF(AND(V73="共同成本费用",Z73="可售建筑面积法"),ROUND(T73/'附表1-面积统计表'!$F$29*'附表1-面积统计表'!$F$5,2),"请手工填写")))</f>
        <v>629.8</v>
      </c>
      <c r="X73" s="180">
        <f>IF(SUM('附表1-面积统计表'!$D$6)=0,"",SUM(T73)-SUM(W73)-SUM(Y73))</f>
        <v>416.7</v>
      </c>
      <c r="Y73" s="180">
        <f>IF(SUM('附表1-面积统计表'!$D$6)=0,SUM(T73)-SUM(W73),IF('附表1-面积统计表'!$D$29=0,"",IF(AND(V73="共同成本费用",Z73="总建筑面积法"),ROUND(T73/'附表1-面积统计表'!$D$29*'附表1-面积统计表'!$D$7,2),IF(AND(V73="共同成本费用",Z73="可售建筑面积法"),ROUND(T73/'附表1-面积统计表'!$F$29*'附表1-面积统计表'!$F$7,2),"请手工填写"))))</f>
        <v>253.5</v>
      </c>
      <c r="Z73" s="183" t="s">
        <v>351</v>
      </c>
      <c r="AA73" s="157"/>
      <c r="AB73" s="184" t="s">
        <v>2319</v>
      </c>
      <c r="AC73" s="132">
        <f t="shared" si="6"/>
        <v>0</v>
      </c>
    </row>
    <row r="74" s="132" customFormat="1" ht="24" customHeight="1" spans="1:29">
      <c r="A74" s="150">
        <v>68</v>
      </c>
      <c r="B74" s="151">
        <v>43644</v>
      </c>
      <c r="C74" s="152" t="s">
        <v>2311</v>
      </c>
      <c r="D74" s="157" t="s">
        <v>2339</v>
      </c>
      <c r="E74" s="158" t="s">
        <v>2363</v>
      </c>
      <c r="F74" s="159" t="s">
        <v>2553</v>
      </c>
      <c r="G74" s="156"/>
      <c r="H74" s="157" t="str">
        <f>IF(G74="","",VLOOKUP(G74,'附表8-合同明细采集底稿'!B:I,2,0))</f>
        <v/>
      </c>
      <c r="I74" s="165" t="str">
        <f>IF(G74="","",VLOOKUP(G74,'附表8-合同明细采集底稿'!B:I,3,0))</f>
        <v/>
      </c>
      <c r="J74" s="187" t="s">
        <v>2439</v>
      </c>
      <c r="K74" s="157" t="s">
        <v>2335</v>
      </c>
      <c r="L74" s="168" t="s">
        <v>2336</v>
      </c>
      <c r="M74" s="166">
        <v>37007385</v>
      </c>
      <c r="N74" s="167">
        <v>1800</v>
      </c>
      <c r="O74" s="167">
        <v>1800</v>
      </c>
      <c r="P74" s="167">
        <v>1800</v>
      </c>
      <c r="Q74" s="167"/>
      <c r="R74" s="167">
        <f t="shared" si="2"/>
        <v>1800</v>
      </c>
      <c r="S74" s="178">
        <v>1</v>
      </c>
      <c r="T74" s="167">
        <f t="shared" si="5"/>
        <v>1800</v>
      </c>
      <c r="U74" s="157" t="s">
        <v>2344</v>
      </c>
      <c r="V74" s="179" t="s">
        <v>375</v>
      </c>
      <c r="W74" s="180">
        <f>IF('附表1-面积统计表'!$D$29=0,"",IF(AND(V74="共同成本费用",Z74="总建筑面积法"),ROUND(T74/'附表1-面积统计表'!$D$29*'附表1-面积统计表'!$D$5,2),IF(AND(V74="共同成本费用",Z74="可售建筑面积法"),ROUND(T74/'附表1-面积统计表'!$F$29*'附表1-面积统计表'!$F$5,2),"请手工填写")))</f>
        <v>872.03</v>
      </c>
      <c r="X74" s="180">
        <f>IF(SUM('附表1-面积统计表'!$D$6)=0,"",SUM(T74)-SUM(W74)-SUM(Y74))</f>
        <v>576.96</v>
      </c>
      <c r="Y74" s="180">
        <f>IF(SUM('附表1-面积统计表'!$D$6)=0,SUM(T74)-SUM(W74),IF('附表1-面积统计表'!$D$29=0,"",IF(AND(V74="共同成本费用",Z74="总建筑面积法"),ROUND(T74/'附表1-面积统计表'!$D$29*'附表1-面积统计表'!$D$7,2),IF(AND(V74="共同成本费用",Z74="可售建筑面积法"),ROUND(T74/'附表1-面积统计表'!$F$29*'附表1-面积统计表'!$F$7,2),"请手工填写"))))</f>
        <v>351.01</v>
      </c>
      <c r="Z74" s="183" t="s">
        <v>351</v>
      </c>
      <c r="AA74" s="157"/>
      <c r="AB74" s="184" t="s">
        <v>2319</v>
      </c>
      <c r="AC74" s="132">
        <f t="shared" si="6"/>
        <v>0</v>
      </c>
    </row>
    <row r="75" s="132" customFormat="1" ht="24" customHeight="1" spans="1:29">
      <c r="A75" s="150">
        <v>69</v>
      </c>
      <c r="B75" s="151">
        <v>43648</v>
      </c>
      <c r="C75" s="152" t="s">
        <v>2375</v>
      </c>
      <c r="D75" s="157" t="s">
        <v>2346</v>
      </c>
      <c r="E75" s="158" t="s">
        <v>2453</v>
      </c>
      <c r="F75" s="159" t="s">
        <v>2554</v>
      </c>
      <c r="G75" s="156" t="s">
        <v>2555</v>
      </c>
      <c r="H75" s="157" t="str">
        <f>IF(G75="","",VLOOKUP(G75,'附表8-合同明细采集底稿'!B:I,2,0))</f>
        <v>沁春锦苑小区景观廊架工程</v>
      </c>
      <c r="I75" s="165" t="str">
        <f>IF(G75="","",VLOOKUP(G75,'附表8-合同明细采集底稿'!B:I,3,0))</f>
        <v>其他合同</v>
      </c>
      <c r="J75" s="169" t="s">
        <v>2556</v>
      </c>
      <c r="K75" s="157" t="s">
        <v>2355</v>
      </c>
      <c r="L75" s="166" t="s">
        <v>2393</v>
      </c>
      <c r="M75" s="555" t="s">
        <v>2557</v>
      </c>
      <c r="N75" s="167">
        <v>88495.58</v>
      </c>
      <c r="O75" s="167">
        <v>100000</v>
      </c>
      <c r="P75" s="167">
        <v>88495.58</v>
      </c>
      <c r="Q75" s="167"/>
      <c r="R75" s="167">
        <f t="shared" si="2"/>
        <v>88495.58</v>
      </c>
      <c r="S75" s="178">
        <f>IFERROR(VLOOKUP(G75,'附表8-合同明细采集底稿'!B:N,12,0),100%)</f>
        <v>0.338555832480367</v>
      </c>
      <c r="T75" s="167">
        <f t="shared" si="5"/>
        <v>29960.69</v>
      </c>
      <c r="U75" s="157" t="s">
        <v>2318</v>
      </c>
      <c r="V75" s="179" t="s">
        <v>375</v>
      </c>
      <c r="W75" s="180">
        <f>IF('附表1-面积统计表'!$D$29=0,"",IF(AND(V75="共同成本费用",Z75="总建筑面积法"),ROUND(T75/'附表1-面积统计表'!$D$29*'附表1-面积统计表'!$D$5,2),IF(AND(V75="共同成本费用",Z75="可售建筑面积法"),ROUND(T75/'附表1-面积统计表'!$F$29*'附表1-面积统计表'!$F$5,2),"请手工填写")))</f>
        <v>14514.85</v>
      </c>
      <c r="X75" s="180">
        <f>IF(SUM('附表1-面积统计表'!$D$6)=0,"",SUM(T75)-SUM(W75)-SUM(Y75))</f>
        <v>9603.42</v>
      </c>
      <c r="Y75" s="180">
        <f>IF(SUM('附表1-面积统计表'!$D$6)=0,SUM(T75)-SUM(W75),IF('附表1-面积统计表'!$D$29=0,"",IF(AND(V75="共同成本费用",Z75="总建筑面积法"),ROUND(T75/'附表1-面积统计表'!$D$29*'附表1-面积统计表'!$D$7,2),IF(AND(V75="共同成本费用",Z75="可售建筑面积法"),ROUND(T75/'附表1-面积统计表'!$F$29*'附表1-面积统计表'!$F$7,2),"请手工填写"))))</f>
        <v>5842.42</v>
      </c>
      <c r="Z75" s="183" t="s">
        <v>351</v>
      </c>
      <c r="AA75" s="157"/>
      <c r="AB75" s="184" t="s">
        <v>2319</v>
      </c>
      <c r="AC75" s="132">
        <f t="shared" si="6"/>
        <v>0</v>
      </c>
    </row>
    <row r="76" s="132" customFormat="1" ht="24" customHeight="1" spans="1:29">
      <c r="A76" s="150">
        <v>70</v>
      </c>
      <c r="B76" s="151">
        <v>43649</v>
      </c>
      <c r="C76" s="152" t="s">
        <v>2338</v>
      </c>
      <c r="D76" s="157" t="s">
        <v>2339</v>
      </c>
      <c r="E76" s="158" t="s">
        <v>2363</v>
      </c>
      <c r="F76" s="159" t="s">
        <v>2451</v>
      </c>
      <c r="G76" s="156"/>
      <c r="H76" s="157" t="str">
        <f>IF(G76="","",VLOOKUP(G76,'附表8-合同明细采集底稿'!B:I,2,0))</f>
        <v/>
      </c>
      <c r="I76" s="165" t="str">
        <f>IF(G76="","",VLOOKUP(G76,'附表8-合同明细采集底稿'!B:I,3,0))</f>
        <v/>
      </c>
      <c r="J76" s="187" t="s">
        <v>2439</v>
      </c>
      <c r="K76" s="157" t="s">
        <v>2335</v>
      </c>
      <c r="L76" s="168" t="s">
        <v>2336</v>
      </c>
      <c r="M76" s="166">
        <v>37007391</v>
      </c>
      <c r="N76" s="167">
        <v>600</v>
      </c>
      <c r="O76" s="167">
        <v>600</v>
      </c>
      <c r="P76" s="167">
        <v>600</v>
      </c>
      <c r="Q76" s="167"/>
      <c r="R76" s="167">
        <f t="shared" si="2"/>
        <v>600</v>
      </c>
      <c r="S76" s="178">
        <v>1</v>
      </c>
      <c r="T76" s="167">
        <f t="shared" si="5"/>
        <v>600</v>
      </c>
      <c r="U76" s="157" t="s">
        <v>2344</v>
      </c>
      <c r="V76" s="179" t="s">
        <v>375</v>
      </c>
      <c r="W76" s="180">
        <f>IF('附表1-面积统计表'!$D$29=0,"",IF(AND(V76="共同成本费用",Z76="总建筑面积法"),ROUND(T76/'附表1-面积统计表'!$D$29*'附表1-面积统计表'!$D$5,2),IF(AND(V76="共同成本费用",Z76="可售建筑面积法"),ROUND(T76/'附表1-面积统计表'!$F$29*'附表1-面积统计表'!$F$5,2),"请手工填写")))</f>
        <v>290.68</v>
      </c>
      <c r="X76" s="180">
        <f>IF(SUM('附表1-面积统计表'!$D$6)=0,"",SUM(T76)-SUM(W76)-SUM(Y76))</f>
        <v>192.32</v>
      </c>
      <c r="Y76" s="180">
        <f>IF(SUM('附表1-面积统计表'!$D$6)=0,SUM(T76)-SUM(W76),IF('附表1-面积统计表'!$D$29=0,"",IF(AND(V76="共同成本费用",Z76="总建筑面积法"),ROUND(T76/'附表1-面积统计表'!$D$29*'附表1-面积统计表'!$D$7,2),IF(AND(V76="共同成本费用",Z76="可售建筑面积法"),ROUND(T76/'附表1-面积统计表'!$F$29*'附表1-面积统计表'!$F$7,2),"请手工填写"))))</f>
        <v>117</v>
      </c>
      <c r="Z76" s="183" t="s">
        <v>351</v>
      </c>
      <c r="AA76" s="157"/>
      <c r="AB76" s="184" t="s">
        <v>2319</v>
      </c>
      <c r="AC76" s="132">
        <f t="shared" si="6"/>
        <v>0</v>
      </c>
    </row>
    <row r="77" s="132" customFormat="1" ht="24" customHeight="1" spans="1:29">
      <c r="A77" s="150">
        <v>71</v>
      </c>
      <c r="B77" s="151">
        <v>43654</v>
      </c>
      <c r="C77" s="152" t="s">
        <v>2429</v>
      </c>
      <c r="D77" s="157" t="s">
        <v>2346</v>
      </c>
      <c r="E77" s="158" t="s">
        <v>2453</v>
      </c>
      <c r="F77" s="159" t="s">
        <v>2454</v>
      </c>
      <c r="G77" s="156" t="s">
        <v>2455</v>
      </c>
      <c r="H77" s="157" t="str">
        <f>IF(G77="","",VLOOKUP(G77,'附表8-合同明细采集底稿'!B:I,2,0))</f>
        <v>人造草坪</v>
      </c>
      <c r="I77" s="165" t="str">
        <f>IF(G77="","",VLOOKUP(G77,'附表8-合同明细采集底稿'!B:I,3,0))</f>
        <v>其他合同</v>
      </c>
      <c r="J77" s="169" t="s">
        <v>2456</v>
      </c>
      <c r="K77" s="157" t="s">
        <v>2355</v>
      </c>
      <c r="L77" s="166" t="s">
        <v>2457</v>
      </c>
      <c r="M77" s="555" t="s">
        <v>2558</v>
      </c>
      <c r="N77" s="167">
        <v>7964.6</v>
      </c>
      <c r="O77" s="167">
        <v>9000</v>
      </c>
      <c r="P77" s="167">
        <v>7964.6</v>
      </c>
      <c r="Q77" s="167">
        <v>-7964.6</v>
      </c>
      <c r="R77" s="167">
        <f t="shared" si="2"/>
        <v>0</v>
      </c>
      <c r="S77" s="178">
        <f>IFERROR(VLOOKUP(G77,'附表8-合同明细采集底稿'!B:N,12,0),100%)</f>
        <v>1</v>
      </c>
      <c r="T77" s="167">
        <f t="shared" si="5"/>
        <v>0</v>
      </c>
      <c r="U77" s="157" t="s">
        <v>2344</v>
      </c>
      <c r="V77" s="179" t="s">
        <v>375</v>
      </c>
      <c r="W77" s="180">
        <f>IF('附表1-面积统计表'!$D$29=0,"",IF(AND(V77="共同成本费用",Z77="总建筑面积法"),ROUND(T77/'附表1-面积统计表'!$D$29*'附表1-面积统计表'!$D$5,2),IF(AND(V77="共同成本费用",Z77="可售建筑面积法"),ROUND(T77/'附表1-面积统计表'!$F$29*'附表1-面积统计表'!$F$5,2),"请手工填写")))</f>
        <v>0</v>
      </c>
      <c r="X77" s="180">
        <f>IF(SUM('附表1-面积统计表'!$D$6)=0,"",SUM(T77)-SUM(W77)-SUM(Y77))</f>
        <v>0</v>
      </c>
      <c r="Y77" s="180">
        <f>IF(SUM('附表1-面积统计表'!$D$6)=0,SUM(T77)-SUM(W77),IF('附表1-面积统计表'!$D$29=0,"",IF(AND(V77="共同成本费用",Z77="总建筑面积法"),ROUND(T77/'附表1-面积统计表'!$D$29*'附表1-面积统计表'!$D$7,2),IF(AND(V77="共同成本费用",Z77="可售建筑面积法"),ROUND(T77/'附表1-面积统计表'!$F$29*'附表1-面积统计表'!$F$7,2),"请手工填写"))))</f>
        <v>0</v>
      </c>
      <c r="Z77" s="183" t="s">
        <v>351</v>
      </c>
      <c r="AA77" s="157"/>
      <c r="AB77" s="184" t="s">
        <v>2319</v>
      </c>
      <c r="AC77" s="132">
        <f t="shared" si="6"/>
        <v>0</v>
      </c>
    </row>
    <row r="78" s="132" customFormat="1" ht="24" customHeight="1" spans="1:29">
      <c r="A78" s="150">
        <v>72</v>
      </c>
      <c r="B78" s="151">
        <v>43654</v>
      </c>
      <c r="C78" s="152" t="s">
        <v>2395</v>
      </c>
      <c r="D78" s="157" t="s">
        <v>2346</v>
      </c>
      <c r="E78" s="158" t="s">
        <v>2501</v>
      </c>
      <c r="F78" s="159" t="s">
        <v>2559</v>
      </c>
      <c r="G78" s="156" t="s">
        <v>2560</v>
      </c>
      <c r="H78" s="157" t="str">
        <f>IF(G78="","",VLOOKUP(G78,'附表8-合同明细采集底稿'!B:I,2,0))</f>
        <v>一期景观混凝土</v>
      </c>
      <c r="I78" s="165" t="str">
        <f>IF(G78="","",VLOOKUP(G78,'附表8-合同明细采集底稿'!B:I,3,0))</f>
        <v>其他合同</v>
      </c>
      <c r="J78" s="169" t="s">
        <v>2561</v>
      </c>
      <c r="K78" s="157" t="s">
        <v>2355</v>
      </c>
      <c r="L78" s="166" t="s">
        <v>2530</v>
      </c>
      <c r="M78" s="555" t="s">
        <v>2562</v>
      </c>
      <c r="N78" s="167">
        <v>46185.83</v>
      </c>
      <c r="O78" s="167">
        <v>52190</v>
      </c>
      <c r="P78" s="167">
        <v>46185.83</v>
      </c>
      <c r="Q78" s="167"/>
      <c r="R78" s="167">
        <f t="shared" si="2"/>
        <v>46185.83</v>
      </c>
      <c r="S78" s="178">
        <f>IFERROR(VLOOKUP(G78,'附表8-合同明细采集底稿'!B:N,12,0),100%)</f>
        <v>1</v>
      </c>
      <c r="T78" s="167">
        <f t="shared" si="5"/>
        <v>46185.83</v>
      </c>
      <c r="U78" s="157" t="s">
        <v>2344</v>
      </c>
      <c r="V78" s="179" t="s">
        <v>375</v>
      </c>
      <c r="W78" s="180">
        <f>IF('附表1-面积统计表'!$D$29=0,"",IF(AND(V78="共同成本费用",Z78="总建筑面积法"),ROUND(T78/'附表1-面积统计表'!$D$29*'附表1-面积统计表'!$D$5,2),IF(AND(V78="共同成本费用",Z78="可售建筑面积法"),ROUND(T78/'附表1-面积统计表'!$F$29*'附表1-面积统计表'!$F$5,2),"请手工填写")))</f>
        <v>22375.33</v>
      </c>
      <c r="X78" s="180">
        <f>IF(SUM('附表1-面积统计表'!$D$6)=0,"",SUM(T78)-SUM(W78)-SUM(Y78))</f>
        <v>14804.13</v>
      </c>
      <c r="Y78" s="180">
        <f>IF(SUM('附表1-面积统计表'!$D$6)=0,SUM(T78)-SUM(W78),IF('附表1-面积统计表'!$D$29=0,"",IF(AND(V78="共同成本费用",Z78="总建筑面积法"),ROUND(T78/'附表1-面积统计表'!$D$29*'附表1-面积统计表'!$D$7,2),IF(AND(V78="共同成本费用",Z78="可售建筑面积法"),ROUND(T78/'附表1-面积统计表'!$F$29*'附表1-面积统计表'!$F$7,2),"请手工填写"))))</f>
        <v>9006.37</v>
      </c>
      <c r="Z78" s="183" t="s">
        <v>351</v>
      </c>
      <c r="AA78" s="157"/>
      <c r="AB78" s="184" t="s">
        <v>2319</v>
      </c>
      <c r="AC78" s="132">
        <f t="shared" si="6"/>
        <v>0</v>
      </c>
    </row>
    <row r="79" s="132" customFormat="1" ht="24" customHeight="1" spans="1:29">
      <c r="A79" s="150">
        <v>73</v>
      </c>
      <c r="B79" s="151">
        <v>43655</v>
      </c>
      <c r="C79" s="152" t="s">
        <v>2563</v>
      </c>
      <c r="D79" s="157" t="s">
        <v>2533</v>
      </c>
      <c r="E79" s="158" t="s">
        <v>2564</v>
      </c>
      <c r="F79" s="159" t="s">
        <v>2565</v>
      </c>
      <c r="G79" s="156" t="s">
        <v>2566</v>
      </c>
      <c r="H79" s="157" t="str">
        <f>IF(G79="","",VLOOKUP(G79,'附表8-合同明细采集底稿'!B:I,2,0))</f>
        <v>机械租赁费（挖掘机）</v>
      </c>
      <c r="I79" s="165" t="str">
        <f>IF(G79="","",VLOOKUP(G79,'附表8-合同明细采集底稿'!B:I,3,0))</f>
        <v>租赁合同</v>
      </c>
      <c r="J79" s="154" t="s">
        <v>2567</v>
      </c>
      <c r="K79" s="157" t="s">
        <v>2335</v>
      </c>
      <c r="L79" s="168" t="s">
        <v>2336</v>
      </c>
      <c r="M79" s="555" t="s">
        <v>2568</v>
      </c>
      <c r="N79" s="167">
        <v>15688.56</v>
      </c>
      <c r="O79" s="167">
        <v>15688.56</v>
      </c>
      <c r="P79" s="167">
        <v>15688.56</v>
      </c>
      <c r="Q79" s="167">
        <v>-15688.56</v>
      </c>
      <c r="R79" s="167">
        <f t="shared" si="2"/>
        <v>0</v>
      </c>
      <c r="S79" s="178">
        <f>IFERROR(VLOOKUP(G79,'附表8-合同明细采集底稿'!B:N,12,0),100%)</f>
        <v>1</v>
      </c>
      <c r="T79" s="167">
        <f t="shared" si="5"/>
        <v>0</v>
      </c>
      <c r="U79" s="157" t="s">
        <v>2381</v>
      </c>
      <c r="V79" s="179" t="s">
        <v>375</v>
      </c>
      <c r="W79" s="180">
        <f>IF('附表1-面积统计表'!$D$29=0,"",IF(AND(V79="共同成本费用",Z79="总建筑面积法"),ROUND(T79/'附表1-面积统计表'!$D$29*'附表1-面积统计表'!$D$5,2),IF(AND(V79="共同成本费用",Z79="可售建筑面积法"),ROUND(T79/'附表1-面积统计表'!$F$29*'附表1-面积统计表'!$F$5,2),"请手工填写")))</f>
        <v>0</v>
      </c>
      <c r="X79" s="180">
        <f>IF(SUM('附表1-面积统计表'!$D$6)=0,"",SUM(T79)-SUM(W79)-SUM(Y79))</f>
        <v>0</v>
      </c>
      <c r="Y79" s="180">
        <f>IF(SUM('附表1-面积统计表'!$D$6)=0,SUM(T79)-SUM(W79),IF('附表1-面积统计表'!$D$29=0,"",IF(AND(V79="共同成本费用",Z79="总建筑面积法"),ROUND(T79/'附表1-面积统计表'!$D$29*'附表1-面积统计表'!$D$7,2),IF(AND(V79="共同成本费用",Z79="可售建筑面积法"),ROUND(T79/'附表1-面积统计表'!$F$29*'附表1-面积统计表'!$F$7,2),"请手工填写"))))</f>
        <v>0</v>
      </c>
      <c r="Z79" s="183" t="s">
        <v>351</v>
      </c>
      <c r="AA79" s="157"/>
      <c r="AB79" s="184" t="s">
        <v>2319</v>
      </c>
      <c r="AC79" s="132">
        <f t="shared" si="6"/>
        <v>0</v>
      </c>
    </row>
    <row r="80" s="132" customFormat="1" ht="24" customHeight="1" spans="1:29">
      <c r="A80" s="150">
        <v>74</v>
      </c>
      <c r="B80" s="151">
        <v>43656</v>
      </c>
      <c r="C80" s="152" t="s">
        <v>2569</v>
      </c>
      <c r="D80" s="157" t="s">
        <v>2346</v>
      </c>
      <c r="E80" s="158" t="s">
        <v>2418</v>
      </c>
      <c r="F80" s="159" t="s">
        <v>2570</v>
      </c>
      <c r="G80" s="156" t="s">
        <v>2571</v>
      </c>
      <c r="H80" s="157" t="str">
        <f>IF(G80="","",VLOOKUP(G80,'附表8-合同明细采集底稿'!B:I,2,0))</f>
        <v>沁春锦苑施工用电线路安装合同</v>
      </c>
      <c r="I80" s="165" t="str">
        <f>IF(G80="","",VLOOKUP(G80,'附表8-合同明细采集底稿'!B:I,3,0))</f>
        <v>建设工程合同</v>
      </c>
      <c r="J80" s="169" t="s">
        <v>2572</v>
      </c>
      <c r="K80" s="157" t="s">
        <v>2355</v>
      </c>
      <c r="L80" s="166" t="s">
        <v>2530</v>
      </c>
      <c r="M80" s="555" t="s">
        <v>2573</v>
      </c>
      <c r="N80" s="167">
        <v>19417.48</v>
      </c>
      <c r="O80" s="167">
        <v>582.52</v>
      </c>
      <c r="P80" s="167">
        <v>19417.48</v>
      </c>
      <c r="Q80" s="167">
        <v>-6601.94</v>
      </c>
      <c r="R80" s="167">
        <f t="shared" si="2"/>
        <v>12815.54</v>
      </c>
      <c r="S80" s="178">
        <f>IFERROR(VLOOKUP(G80,'附表8-合同明细采集底稿'!B:N,12,0),100%)</f>
        <v>1</v>
      </c>
      <c r="T80" s="167">
        <f t="shared" si="5"/>
        <v>12815.54</v>
      </c>
      <c r="U80" s="157" t="s">
        <v>2344</v>
      </c>
      <c r="V80" s="179" t="s">
        <v>375</v>
      </c>
      <c r="W80" s="180">
        <f>IF('附表1-面积统计表'!$D$29=0,"",IF(AND(V80="共同成本费用",Z80="总建筑面积法"),ROUND(T80/'附表1-面积统计表'!$D$29*'附表1-面积统计表'!$D$5,2),IF(AND(V80="共同成本费用",Z80="可售建筑面积法"),ROUND(T80/'附表1-面积统计表'!$F$29*'附表1-面积统计表'!$F$5,2),"请手工填写")))</f>
        <v>6208.66</v>
      </c>
      <c r="X80" s="180">
        <f>IF(SUM('附表1-面积统计表'!$D$6)=0,"",SUM(T80)-SUM(W80)-SUM(Y80))</f>
        <v>4107.81</v>
      </c>
      <c r="Y80" s="180">
        <f>IF(SUM('附表1-面积统计表'!$D$6)=0,SUM(T80)-SUM(W80),IF('附表1-面积统计表'!$D$29=0,"",IF(AND(V80="共同成本费用",Z80="总建筑面积法"),ROUND(T80/'附表1-面积统计表'!$D$29*'附表1-面积统计表'!$D$7,2),IF(AND(V80="共同成本费用",Z80="可售建筑面积法"),ROUND(T80/'附表1-面积统计表'!$F$29*'附表1-面积统计表'!$F$7,2),"请手工填写"))))</f>
        <v>2499.07</v>
      </c>
      <c r="Z80" s="183" t="s">
        <v>351</v>
      </c>
      <c r="AA80" s="157"/>
      <c r="AB80" s="184" t="s">
        <v>2319</v>
      </c>
      <c r="AC80" s="132">
        <f t="shared" si="6"/>
        <v>0</v>
      </c>
    </row>
    <row r="81" s="132" customFormat="1" ht="24" customHeight="1" spans="1:29">
      <c r="A81" s="150">
        <v>75</v>
      </c>
      <c r="B81" s="151">
        <v>43656</v>
      </c>
      <c r="C81" s="152" t="s">
        <v>2569</v>
      </c>
      <c r="D81" s="157" t="s">
        <v>2346</v>
      </c>
      <c r="E81" s="158" t="s">
        <v>2418</v>
      </c>
      <c r="F81" s="159" t="s">
        <v>2570</v>
      </c>
      <c r="G81" s="156" t="s">
        <v>2571</v>
      </c>
      <c r="H81" s="157" t="str">
        <f>IF(G81="","",VLOOKUP(G81,'附表8-合同明细采集底稿'!B:I,2,0))</f>
        <v>沁春锦苑施工用电线路安装合同</v>
      </c>
      <c r="I81" s="165" t="str">
        <f>IF(G81="","",VLOOKUP(G81,'附表8-合同明细采集底稿'!B:I,3,0))</f>
        <v>建设工程合同</v>
      </c>
      <c r="J81" s="169" t="s">
        <v>2572</v>
      </c>
      <c r="K81" s="157" t="s">
        <v>2355</v>
      </c>
      <c r="L81" s="166" t="s">
        <v>2393</v>
      </c>
      <c r="M81" s="555" t="s">
        <v>2574</v>
      </c>
      <c r="N81" s="167">
        <v>93203.88</v>
      </c>
      <c r="O81" s="167">
        <v>2796.12</v>
      </c>
      <c r="P81" s="167">
        <v>93203.88</v>
      </c>
      <c r="Q81" s="167"/>
      <c r="R81" s="167">
        <f t="shared" si="2"/>
        <v>93203.88</v>
      </c>
      <c r="S81" s="178">
        <f>IFERROR(VLOOKUP(G81,'附表8-合同明细采集底稿'!B:N,12,0),100%)</f>
        <v>1</v>
      </c>
      <c r="T81" s="167">
        <f t="shared" si="5"/>
        <v>93203.88</v>
      </c>
      <c r="U81" s="157" t="s">
        <v>2344</v>
      </c>
      <c r="V81" s="179" t="s">
        <v>375</v>
      </c>
      <c r="W81" s="180">
        <f>IF('附表1-面积统计表'!$D$29=0,"",IF(AND(V81="共同成本费用",Z81="总建筑面积法"),ROUND(T81/'附表1-面积统计表'!$D$29*'附表1-面积统计表'!$D$5,2),IF(AND(V81="共同成本费用",Z81="可售建筑面积法"),ROUND(T81/'附表1-面积统计表'!$F$29*'附表1-面积统计表'!$F$5,2),"请手工填写")))</f>
        <v>45153.84</v>
      </c>
      <c r="X81" s="180">
        <f>IF(SUM('附表1-面积统计表'!$D$6)=0,"",SUM(T81)-SUM(W81)-SUM(Y81))</f>
        <v>29875.02</v>
      </c>
      <c r="Y81" s="180">
        <f>IF(SUM('附表1-面积统计表'!$D$6)=0,SUM(T81)-SUM(W81),IF('附表1-面积统计表'!$D$29=0,"",IF(AND(V81="共同成本费用",Z81="总建筑面积法"),ROUND(T81/'附表1-面积统计表'!$D$29*'附表1-面积统计表'!$D$7,2),IF(AND(V81="共同成本费用",Z81="可售建筑面积法"),ROUND(T81/'附表1-面积统计表'!$F$29*'附表1-面积统计表'!$F$7,2),"请手工填写"))))</f>
        <v>18175.02</v>
      </c>
      <c r="Z81" s="183" t="s">
        <v>351</v>
      </c>
      <c r="AA81" s="157"/>
      <c r="AB81" s="184" t="s">
        <v>2319</v>
      </c>
      <c r="AC81" s="132">
        <f t="shared" si="6"/>
        <v>0</v>
      </c>
    </row>
    <row r="82" s="132" customFormat="1" ht="24" customHeight="1" spans="1:29">
      <c r="A82" s="150">
        <v>76</v>
      </c>
      <c r="B82" s="151">
        <v>43662</v>
      </c>
      <c r="C82" s="152" t="s">
        <v>2575</v>
      </c>
      <c r="D82" s="157" t="s">
        <v>2339</v>
      </c>
      <c r="E82" s="158" t="s">
        <v>2523</v>
      </c>
      <c r="F82" s="159" t="s">
        <v>2576</v>
      </c>
      <c r="G82" s="156" t="s">
        <v>2577</v>
      </c>
      <c r="H82" s="157" t="str">
        <f>IF(G82="","",VLOOKUP(G82,'附表8-合同明细采集底稿'!B:I,2,0))</f>
        <v>土石方外运</v>
      </c>
      <c r="I82" s="165" t="str">
        <f>IF(G82="","",VLOOKUP(G82,'附表8-合同明细采集底稿'!B:I,3,0))</f>
        <v>运输合同</v>
      </c>
      <c r="J82" s="187" t="s">
        <v>2578</v>
      </c>
      <c r="K82" s="157" t="s">
        <v>2355</v>
      </c>
      <c r="L82" s="166" t="s">
        <v>2579</v>
      </c>
      <c r="M82" s="555" t="s">
        <v>2580</v>
      </c>
      <c r="N82" s="167">
        <v>39149.54</v>
      </c>
      <c r="O82" s="167">
        <v>42673</v>
      </c>
      <c r="P82" s="167">
        <v>39149.54</v>
      </c>
      <c r="Q82" s="167"/>
      <c r="R82" s="167">
        <f t="shared" si="2"/>
        <v>39149.54</v>
      </c>
      <c r="S82" s="178">
        <f>IFERROR(VLOOKUP(G82,'附表8-合同明细采集底稿'!B:N,12,0),100%)</f>
        <v>1</v>
      </c>
      <c r="T82" s="167">
        <f t="shared" si="5"/>
        <v>39149.54</v>
      </c>
      <c r="U82" s="157" t="s">
        <v>2344</v>
      </c>
      <c r="V82" s="179" t="s">
        <v>375</v>
      </c>
      <c r="W82" s="180">
        <f>IF('附表1-面积统计表'!$D$29=0,"",IF(AND(V82="共同成本费用",Z82="总建筑面积法"),ROUND(T82/'附表1-面积统计表'!$D$29*'附表1-面积统计表'!$D$5,2),IF(AND(V82="共同成本费用",Z82="可售建筑面积法"),ROUND(T82/'附表1-面积统计表'!$F$29*'附表1-面积统计表'!$F$5,2),"请手工填写")))</f>
        <v>18966.51</v>
      </c>
      <c r="X82" s="180">
        <f>IF(SUM('附表1-面积统计表'!$D$6)=0,"",SUM(T82)-SUM(W82)-SUM(Y82))</f>
        <v>12548.76</v>
      </c>
      <c r="Y82" s="180">
        <f>IF(SUM('附表1-面积统计表'!$D$6)=0,SUM(T82)-SUM(W82),IF('附表1-面积统计表'!$D$29=0,"",IF(AND(V82="共同成本费用",Z82="总建筑面积法"),ROUND(T82/'附表1-面积统计表'!$D$29*'附表1-面积统计表'!$D$7,2),IF(AND(V82="共同成本费用",Z82="可售建筑面积法"),ROUND(T82/'附表1-面积统计表'!$F$29*'附表1-面积统计表'!$F$7,2),"请手工填写"))))</f>
        <v>7634.27</v>
      </c>
      <c r="Z82" s="183" t="s">
        <v>351</v>
      </c>
      <c r="AA82" s="157"/>
      <c r="AB82" s="184" t="s">
        <v>2319</v>
      </c>
      <c r="AC82" s="132">
        <f t="shared" si="6"/>
        <v>0</v>
      </c>
    </row>
    <row r="83" s="132" customFormat="1" ht="24" customHeight="1" spans="1:29">
      <c r="A83" s="150">
        <v>77</v>
      </c>
      <c r="B83" s="151">
        <v>43662</v>
      </c>
      <c r="C83" s="152" t="s">
        <v>2575</v>
      </c>
      <c r="D83" s="157" t="s">
        <v>2339</v>
      </c>
      <c r="E83" s="158" t="s">
        <v>2523</v>
      </c>
      <c r="F83" s="159" t="s">
        <v>2576</v>
      </c>
      <c r="G83" s="156" t="s">
        <v>2577</v>
      </c>
      <c r="H83" s="157" t="str">
        <f>IF(G83="","",VLOOKUP(G83,'附表8-合同明细采集底稿'!B:I,2,0))</f>
        <v>土石方外运</v>
      </c>
      <c r="I83" s="165" t="str">
        <f>IF(G83="","",VLOOKUP(G83,'附表8-合同明细采集底稿'!B:I,3,0))</f>
        <v>运输合同</v>
      </c>
      <c r="J83" s="187" t="s">
        <v>2578</v>
      </c>
      <c r="K83" s="157" t="s">
        <v>2355</v>
      </c>
      <c r="L83" s="166" t="s">
        <v>2579</v>
      </c>
      <c r="M83" s="555" t="s">
        <v>2581</v>
      </c>
      <c r="N83" s="167">
        <v>91743.12</v>
      </c>
      <c r="O83" s="167">
        <v>100000</v>
      </c>
      <c r="P83" s="167">
        <v>91743.12</v>
      </c>
      <c r="Q83" s="167"/>
      <c r="R83" s="167">
        <f t="shared" si="2"/>
        <v>91743.12</v>
      </c>
      <c r="S83" s="178">
        <f>IFERROR(VLOOKUP(G83,'附表8-合同明细采集底稿'!B:N,12,0),100%)</f>
        <v>1</v>
      </c>
      <c r="T83" s="167">
        <f t="shared" si="5"/>
        <v>91743.12</v>
      </c>
      <c r="U83" s="157" t="s">
        <v>2344</v>
      </c>
      <c r="V83" s="179" t="s">
        <v>375</v>
      </c>
      <c r="W83" s="180">
        <f>IF('附表1-面积统计表'!$D$29=0,"",IF(AND(V83="共同成本费用",Z83="总建筑面积法"),ROUND(T83/'附表1-面积统计表'!$D$29*'附表1-面积统计表'!$D$5,2),IF(AND(V83="共同成本费用",Z83="可售建筑面积法"),ROUND(T83/'附表1-面积统计表'!$F$29*'附表1-面积统计表'!$F$5,2),"请手工填写")))</f>
        <v>44446.15</v>
      </c>
      <c r="X83" s="180">
        <f>IF(SUM('附表1-面积统计表'!$D$6)=0,"",SUM(T83)-SUM(W83)-SUM(Y83))</f>
        <v>29406.8</v>
      </c>
      <c r="Y83" s="180">
        <f>IF(SUM('附表1-面积统计表'!$D$6)=0,SUM(T83)-SUM(W83),IF('附表1-面积统计表'!$D$29=0,"",IF(AND(V83="共同成本费用",Z83="总建筑面积法"),ROUND(T83/'附表1-面积统计表'!$D$29*'附表1-面积统计表'!$D$7,2),IF(AND(V83="共同成本费用",Z83="可售建筑面积法"),ROUND(T83/'附表1-面积统计表'!$F$29*'附表1-面积统计表'!$F$7,2),"请手工填写"))))</f>
        <v>17890.17</v>
      </c>
      <c r="Z83" s="183" t="s">
        <v>351</v>
      </c>
      <c r="AA83" s="157"/>
      <c r="AB83" s="184" t="s">
        <v>2319</v>
      </c>
      <c r="AC83" s="132">
        <f t="shared" si="6"/>
        <v>0</v>
      </c>
    </row>
    <row r="84" s="132" customFormat="1" ht="24" customHeight="1" spans="1:29">
      <c r="A84" s="150">
        <v>78</v>
      </c>
      <c r="B84" s="151">
        <v>43668</v>
      </c>
      <c r="C84" s="152" t="s">
        <v>2505</v>
      </c>
      <c r="D84" s="157" t="s">
        <v>2346</v>
      </c>
      <c r="E84" s="158" t="s">
        <v>2453</v>
      </c>
      <c r="F84" s="159" t="s">
        <v>2582</v>
      </c>
      <c r="G84" s="156" t="s">
        <v>2583</v>
      </c>
      <c r="H84" s="157" t="str">
        <f>IF(G84="","",VLOOKUP(G84,'附表8-合同明细采集底稿'!B:I,2,0))</f>
        <v>（石材）材料购销合同</v>
      </c>
      <c r="I84" s="165" t="str">
        <f>IF(G84="","",VLOOKUP(G84,'附表8-合同明细采集底稿'!B:I,3,0))</f>
        <v>其他合同</v>
      </c>
      <c r="J84" s="169" t="s">
        <v>2584</v>
      </c>
      <c r="K84" s="157" t="s">
        <v>2355</v>
      </c>
      <c r="L84" s="166" t="s">
        <v>2393</v>
      </c>
      <c r="M84" s="555" t="s">
        <v>2585</v>
      </c>
      <c r="N84" s="167">
        <v>192175.02</v>
      </c>
      <c r="O84" s="167">
        <v>197940.27</v>
      </c>
      <c r="P84" s="167">
        <v>192175.02</v>
      </c>
      <c r="Q84" s="167"/>
      <c r="R84" s="167">
        <f t="shared" si="2"/>
        <v>192175.02</v>
      </c>
      <c r="S84" s="178">
        <f>IFERROR(VLOOKUP(G84,'附表8-合同明细采集底稿'!B:N,12,0),100%)</f>
        <v>0.338555832480367</v>
      </c>
      <c r="T84" s="167">
        <f t="shared" si="5"/>
        <v>65061.97</v>
      </c>
      <c r="U84" s="157" t="s">
        <v>2318</v>
      </c>
      <c r="V84" s="179" t="s">
        <v>375</v>
      </c>
      <c r="W84" s="180">
        <f>IF('附表1-面积统计表'!$D$29=0,"",IF(AND(V84="共同成本费用",Z84="总建筑面积法"),ROUND(T84/'附表1-面积统计表'!$D$29*'附表1-面积统计表'!$D$5,2),IF(AND(V84="共同成本费用",Z84="可售建筑面积法"),ROUND(T84/'附表1-面积统计表'!$F$29*'附表1-面积统计表'!$F$5,2),"请手工填写")))</f>
        <v>31520.12</v>
      </c>
      <c r="X84" s="180">
        <f>IF(SUM('附表1-面积统计表'!$D$6)=0,"",SUM(T84)-SUM(W84)-SUM(Y84))</f>
        <v>20854.58</v>
      </c>
      <c r="Y84" s="180">
        <f>IF(SUM('附表1-面积统计表'!$D$6)=0,SUM(T84)-SUM(W84),IF('附表1-面积统计表'!$D$29=0,"",IF(AND(V84="共同成本费用",Z84="总建筑面积法"),ROUND(T84/'附表1-面积统计表'!$D$29*'附表1-面积统计表'!$D$7,2),IF(AND(V84="共同成本费用",Z84="可售建筑面积法"),ROUND(T84/'附表1-面积统计表'!$F$29*'附表1-面积统计表'!$F$7,2),"请手工填写"))))</f>
        <v>12687.27</v>
      </c>
      <c r="Z84" s="183" t="s">
        <v>351</v>
      </c>
      <c r="AA84" s="157"/>
      <c r="AB84" s="184" t="s">
        <v>2319</v>
      </c>
      <c r="AC84" s="132">
        <f t="shared" si="6"/>
        <v>0</v>
      </c>
    </row>
    <row r="85" s="132" customFormat="1" ht="24" customHeight="1" spans="1:30">
      <c r="A85" s="150">
        <v>79</v>
      </c>
      <c r="B85" s="151">
        <v>43671</v>
      </c>
      <c r="C85" s="152" t="s">
        <v>2443</v>
      </c>
      <c r="D85" s="157" t="s">
        <v>2533</v>
      </c>
      <c r="E85" s="158" t="s">
        <v>2564</v>
      </c>
      <c r="F85" s="159" t="s">
        <v>2586</v>
      </c>
      <c r="G85" s="156" t="s">
        <v>2587</v>
      </c>
      <c r="H85" s="157" t="str">
        <f>IF(G85="","",VLOOKUP(G85,'附表8-合同明细采集底稿'!B:I,2,0))</f>
        <v>承揽合同（铝合金窗120.24#）</v>
      </c>
      <c r="I85" s="165" t="str">
        <f>IF(G85="","",VLOOKUP(G85,'附表8-合同明细采集底稿'!B:I,3,0))</f>
        <v>买卖合同</v>
      </c>
      <c r="J85" s="187" t="s">
        <v>2556</v>
      </c>
      <c r="K85" s="157" t="s">
        <v>2355</v>
      </c>
      <c r="L85" s="166" t="s">
        <v>2393</v>
      </c>
      <c r="M85" s="555" t="s">
        <v>2588</v>
      </c>
      <c r="N85" s="167">
        <v>54867.26</v>
      </c>
      <c r="O85" s="167">
        <v>62000</v>
      </c>
      <c r="P85" s="167">
        <v>54867.26</v>
      </c>
      <c r="Q85" s="167"/>
      <c r="R85" s="167">
        <f t="shared" si="2"/>
        <v>54867.26</v>
      </c>
      <c r="S85" s="178">
        <f>IFERROR(VLOOKUP(G85,'附表8-合同明细采集底稿'!B:N,12,0),100%)</f>
        <v>1</v>
      </c>
      <c r="T85" s="167">
        <f t="shared" si="5"/>
        <v>54867.26</v>
      </c>
      <c r="U85" s="157" t="s">
        <v>2416</v>
      </c>
      <c r="V85" s="179" t="s">
        <v>374</v>
      </c>
      <c r="W85" s="182">
        <f>ROUND(T85*成本分摊比例!$G$13/(成本分摊比例!$G$13+成本分摊比例!$H$13+成本分摊比例!$I$13),2)</f>
        <v>29644.88</v>
      </c>
      <c r="X85" s="182">
        <f>ROUND(T85*成本分摊比例!$H$13/(成本分摊比例!$G$13+成本分摊比例!$H$13+成本分摊比例!$I$13),2)</f>
        <v>19613.87</v>
      </c>
      <c r="Y85" s="182">
        <f t="shared" ref="Y85:Y89" si="7">T85-W85-X85</f>
        <v>5608.51</v>
      </c>
      <c r="Z85" s="183" t="s">
        <v>2406</v>
      </c>
      <c r="AA85" s="157"/>
      <c r="AB85" s="184" t="s">
        <v>2319</v>
      </c>
      <c r="AC85" s="132">
        <f t="shared" si="6"/>
        <v>0</v>
      </c>
      <c r="AD85" s="185"/>
    </row>
    <row r="86" s="132" customFormat="1" ht="24" customHeight="1" spans="1:30">
      <c r="A86" s="150">
        <v>80</v>
      </c>
      <c r="B86" s="151">
        <v>43671</v>
      </c>
      <c r="C86" s="152" t="s">
        <v>2443</v>
      </c>
      <c r="D86" s="157" t="s">
        <v>2533</v>
      </c>
      <c r="E86" s="158" t="s">
        <v>2564</v>
      </c>
      <c r="F86" s="159" t="s">
        <v>2586</v>
      </c>
      <c r="G86" s="156" t="s">
        <v>2587</v>
      </c>
      <c r="H86" s="157" t="str">
        <f>IF(G86="","",VLOOKUP(G86,'附表8-合同明细采集底稿'!B:I,2,0))</f>
        <v>承揽合同（铝合金窗120.24#）</v>
      </c>
      <c r="I86" s="165" t="str">
        <f>IF(G86="","",VLOOKUP(G86,'附表8-合同明细采集底稿'!B:I,3,0))</f>
        <v>买卖合同</v>
      </c>
      <c r="J86" s="187" t="s">
        <v>2556</v>
      </c>
      <c r="K86" s="157" t="s">
        <v>2355</v>
      </c>
      <c r="L86" s="166" t="s">
        <v>2393</v>
      </c>
      <c r="M86" s="555" t="s">
        <v>2589</v>
      </c>
      <c r="N86" s="167">
        <v>88495.58</v>
      </c>
      <c r="O86" s="167">
        <v>100000</v>
      </c>
      <c r="P86" s="167">
        <v>88495.58</v>
      </c>
      <c r="Q86" s="167"/>
      <c r="R86" s="167">
        <f t="shared" si="2"/>
        <v>88495.58</v>
      </c>
      <c r="S86" s="178">
        <f>IFERROR(VLOOKUP(G86,'附表8-合同明细采集底稿'!B:N,12,0),100%)</f>
        <v>1</v>
      </c>
      <c r="T86" s="167">
        <f t="shared" si="5"/>
        <v>88495.58</v>
      </c>
      <c r="U86" s="157" t="s">
        <v>2416</v>
      </c>
      <c r="V86" s="179" t="s">
        <v>374</v>
      </c>
      <c r="W86" s="182">
        <f>ROUND(T86*成本分摊比例!$G$13/(成本分摊比例!$G$13+成本分摊比例!$H$13+成本分摊比例!$I$13),2)</f>
        <v>47814.32</v>
      </c>
      <c r="X86" s="182">
        <f>ROUND(T86*成本分摊比例!$H$13/(成本分摊比例!$G$13+成本分摊比例!$H$13+成本分摊比例!$I$13),2)</f>
        <v>31635.27</v>
      </c>
      <c r="Y86" s="182">
        <f t="shared" si="7"/>
        <v>9045.99</v>
      </c>
      <c r="Z86" s="183" t="s">
        <v>2406</v>
      </c>
      <c r="AA86" s="157"/>
      <c r="AB86" s="184" t="s">
        <v>2319</v>
      </c>
      <c r="AC86" s="132">
        <f t="shared" si="6"/>
        <v>0</v>
      </c>
      <c r="AD86" s="185"/>
    </row>
    <row r="87" s="132" customFormat="1" ht="24" customHeight="1" spans="1:29">
      <c r="A87" s="150">
        <v>81</v>
      </c>
      <c r="B87" s="151">
        <v>43671</v>
      </c>
      <c r="C87" s="152" t="s">
        <v>2590</v>
      </c>
      <c r="D87" s="157" t="s">
        <v>2470</v>
      </c>
      <c r="E87" s="158" t="s">
        <v>2539</v>
      </c>
      <c r="F87" s="159" t="s">
        <v>2591</v>
      </c>
      <c r="G87" s="156" t="s">
        <v>2486</v>
      </c>
      <c r="H87" s="157" t="str">
        <f>IF(G87="","",VLOOKUP(G87,'附表8-合同明细采集底稿'!B:I,2,0))</f>
        <v>库尔勒市杜鹃路施工合同</v>
      </c>
      <c r="I87" s="165" t="str">
        <f>IF(G87="","",VLOOKUP(G87,'附表8-合同明细采集底稿'!B:I,3,0))</f>
        <v>建设工程合同</v>
      </c>
      <c r="J87" s="187" t="s">
        <v>2592</v>
      </c>
      <c r="K87" s="157" t="s">
        <v>2355</v>
      </c>
      <c r="L87" s="166" t="s">
        <v>2530</v>
      </c>
      <c r="M87" s="555" t="s">
        <v>2593</v>
      </c>
      <c r="N87" s="167">
        <v>18794.64</v>
      </c>
      <c r="O87" s="167">
        <v>21237.94</v>
      </c>
      <c r="P87" s="167">
        <v>18794.64</v>
      </c>
      <c r="Q87" s="167">
        <v>-18794.64</v>
      </c>
      <c r="R87" s="167">
        <f t="shared" si="2"/>
        <v>0</v>
      </c>
      <c r="S87" s="178">
        <f>IFERROR(VLOOKUP(G87,'附表8-合同明细采集底稿'!B:N,12,0),100%)</f>
        <v>1</v>
      </c>
      <c r="T87" s="167">
        <f t="shared" si="5"/>
        <v>0</v>
      </c>
      <c r="U87" s="157" t="s">
        <v>2381</v>
      </c>
      <c r="V87" s="179" t="s">
        <v>375</v>
      </c>
      <c r="W87" s="180">
        <f>IF('附表1-面积统计表'!$D$29=0,"",IF(AND(V87="共同成本费用",Z87="总建筑面积法"),ROUND(T87/'附表1-面积统计表'!$D$29*'附表1-面积统计表'!$D$5,2),IF(AND(V87="共同成本费用",Z87="可售建筑面积法"),ROUND(T87/'附表1-面积统计表'!$F$29*'附表1-面积统计表'!$F$5,2),"请手工填写")))</f>
        <v>0</v>
      </c>
      <c r="X87" s="180">
        <f>IF(SUM('附表1-面积统计表'!$D$6)=0,"",SUM(T87)-SUM(W87)-SUM(Y87))</f>
        <v>0</v>
      </c>
      <c r="Y87" s="180">
        <f>IF(SUM('附表1-面积统计表'!$D$6)=0,SUM(T87)-SUM(W87),IF('附表1-面积统计表'!$D$29=0,"",IF(AND(V87="共同成本费用",Z87="总建筑面积法"),ROUND(T87/'附表1-面积统计表'!$D$29*'附表1-面积统计表'!$D$7,2),IF(AND(V87="共同成本费用",Z87="可售建筑面积法"),ROUND(T87/'附表1-面积统计表'!$F$29*'附表1-面积统计表'!$F$7,2),"请手工填写"))))</f>
        <v>0</v>
      </c>
      <c r="Z87" s="183" t="s">
        <v>351</v>
      </c>
      <c r="AA87" s="157"/>
      <c r="AB87" s="184" t="s">
        <v>2319</v>
      </c>
      <c r="AC87" s="132">
        <f t="shared" si="6"/>
        <v>0</v>
      </c>
    </row>
    <row r="88" s="132" customFormat="1" ht="24" customHeight="1" spans="1:30">
      <c r="A88" s="150">
        <v>82</v>
      </c>
      <c r="B88" s="151">
        <v>43671</v>
      </c>
      <c r="C88" s="152" t="s">
        <v>2594</v>
      </c>
      <c r="D88" s="157" t="s">
        <v>2533</v>
      </c>
      <c r="E88" s="158" t="s">
        <v>2564</v>
      </c>
      <c r="F88" s="159" t="s">
        <v>2586</v>
      </c>
      <c r="G88" s="156" t="s">
        <v>2595</v>
      </c>
      <c r="H88" s="157" t="str">
        <f>IF(G88="","",VLOOKUP(G88,'附表8-合同明细采集底稿'!B:I,2,0))</f>
        <v>19#23#承揽合同（铝合金窗）</v>
      </c>
      <c r="I88" s="165" t="str">
        <f>IF(G88="","",VLOOKUP(G88,'附表8-合同明细采集底稿'!B:I,3,0))</f>
        <v>买卖合同</v>
      </c>
      <c r="J88" s="187" t="s">
        <v>2596</v>
      </c>
      <c r="K88" s="157" t="s">
        <v>2355</v>
      </c>
      <c r="L88" s="166" t="s">
        <v>2530</v>
      </c>
      <c r="M88" s="555" t="s">
        <v>2597</v>
      </c>
      <c r="N88" s="167">
        <v>84785.84</v>
      </c>
      <c r="O88" s="167">
        <v>95808</v>
      </c>
      <c r="P88" s="167">
        <v>84785.84</v>
      </c>
      <c r="Q88" s="167"/>
      <c r="R88" s="167">
        <f t="shared" si="2"/>
        <v>84785.84</v>
      </c>
      <c r="S88" s="178">
        <f>IFERROR(VLOOKUP(G88,'附表8-合同明细采集底稿'!B:N,12,0),100%)</f>
        <v>1</v>
      </c>
      <c r="T88" s="167">
        <f t="shared" si="5"/>
        <v>84785.84</v>
      </c>
      <c r="U88" s="157" t="s">
        <v>2416</v>
      </c>
      <c r="V88" s="179" t="s">
        <v>374</v>
      </c>
      <c r="W88" s="182">
        <f>ROUND(T88*成本分摊比例!$G$13/(成本分摊比例!$G$13+成本分摊比例!$H$13+成本分摊比例!$I$13),2)</f>
        <v>45809.94</v>
      </c>
      <c r="X88" s="182">
        <f>ROUND(T88*成本分摊比例!$H$13/(成本分摊比例!$G$13+成本分摊比例!$H$13+成本分摊比例!$I$13),2)</f>
        <v>30309.12</v>
      </c>
      <c r="Y88" s="182">
        <f t="shared" si="7"/>
        <v>8666.78</v>
      </c>
      <c r="Z88" s="183" t="s">
        <v>2406</v>
      </c>
      <c r="AA88" s="157"/>
      <c r="AB88" s="184" t="s">
        <v>2319</v>
      </c>
      <c r="AC88" s="132">
        <f t="shared" si="6"/>
        <v>0</v>
      </c>
      <c r="AD88" s="185"/>
    </row>
    <row r="89" s="132" customFormat="1" ht="24" customHeight="1" spans="1:30">
      <c r="A89" s="150">
        <v>83</v>
      </c>
      <c r="B89" s="151">
        <v>43671</v>
      </c>
      <c r="C89" s="152" t="s">
        <v>2594</v>
      </c>
      <c r="D89" s="157" t="s">
        <v>2533</v>
      </c>
      <c r="E89" s="158" t="s">
        <v>2564</v>
      </c>
      <c r="F89" s="159" t="s">
        <v>2586</v>
      </c>
      <c r="G89" s="156" t="s">
        <v>2595</v>
      </c>
      <c r="H89" s="157" t="str">
        <f>IF(G89="","",VLOOKUP(G89,'附表8-合同明细采集底稿'!B:I,2,0))</f>
        <v>19#23#承揽合同（铝合金窗）</v>
      </c>
      <c r="I89" s="165" t="str">
        <f>IF(G89="","",VLOOKUP(G89,'附表8-合同明细采集底稿'!B:I,3,0))</f>
        <v>买卖合同</v>
      </c>
      <c r="J89" s="187" t="s">
        <v>2596</v>
      </c>
      <c r="K89" s="157" t="s">
        <v>2355</v>
      </c>
      <c r="L89" s="166" t="s">
        <v>2530</v>
      </c>
      <c r="M89" s="555" t="s">
        <v>2598</v>
      </c>
      <c r="N89" s="167">
        <v>79646.02</v>
      </c>
      <c r="O89" s="167">
        <v>90000</v>
      </c>
      <c r="P89" s="167">
        <v>79646.02</v>
      </c>
      <c r="Q89" s="167"/>
      <c r="R89" s="167">
        <f t="shared" si="2"/>
        <v>79646.02</v>
      </c>
      <c r="S89" s="178">
        <f>IFERROR(VLOOKUP(G89,'附表8-合同明细采集底稿'!B:N,12,0),100%)</f>
        <v>1</v>
      </c>
      <c r="T89" s="167">
        <f t="shared" si="5"/>
        <v>79646.02</v>
      </c>
      <c r="U89" s="157" t="s">
        <v>2416</v>
      </c>
      <c r="V89" s="179" t="s">
        <v>374</v>
      </c>
      <c r="W89" s="182">
        <f>ROUND(T89*成本分摊比例!$G$13/(成本分摊比例!$G$13+成本分摊比例!$H$13+成本分摊比例!$I$13),2)</f>
        <v>43032.89</v>
      </c>
      <c r="X89" s="182">
        <f>ROUND(T89*成本分摊比例!$H$13/(成本分摊比例!$G$13+成本分摊比例!$H$13+成本分摊比例!$I$13),2)</f>
        <v>28471.74</v>
      </c>
      <c r="Y89" s="182">
        <f t="shared" si="7"/>
        <v>8141.39</v>
      </c>
      <c r="Z89" s="183" t="s">
        <v>2406</v>
      </c>
      <c r="AA89" s="157"/>
      <c r="AB89" s="184" t="s">
        <v>2319</v>
      </c>
      <c r="AC89" s="132">
        <f t="shared" si="6"/>
        <v>0</v>
      </c>
      <c r="AD89" s="185"/>
    </row>
    <row r="90" s="132" customFormat="1" ht="24" customHeight="1" spans="1:29">
      <c r="A90" s="150">
        <v>84</v>
      </c>
      <c r="B90" s="151">
        <v>43671</v>
      </c>
      <c r="C90" s="152" t="s">
        <v>2510</v>
      </c>
      <c r="D90" s="157" t="s">
        <v>2533</v>
      </c>
      <c r="E90" s="158" t="s">
        <v>2534</v>
      </c>
      <c r="F90" s="159" t="s">
        <v>2599</v>
      </c>
      <c r="G90" s="156" t="s">
        <v>2600</v>
      </c>
      <c r="H90" s="157" t="str">
        <f>IF(G90="","",VLOOKUP(G90,'附表8-合同明细采集底稿'!B:I,2,0))</f>
        <v>装饰装修工程承包合同</v>
      </c>
      <c r="I90" s="165" t="str">
        <f>IF(G90="","",VLOOKUP(G90,'附表8-合同明细采集底稿'!B:I,3,0))</f>
        <v>建设工程合同</v>
      </c>
      <c r="J90" s="187" t="s">
        <v>2601</v>
      </c>
      <c r="K90" s="157" t="s">
        <v>2355</v>
      </c>
      <c r="L90" s="166" t="s">
        <v>2530</v>
      </c>
      <c r="M90" s="555" t="s">
        <v>2602</v>
      </c>
      <c r="N90" s="167">
        <v>40591.33</v>
      </c>
      <c r="O90" s="167">
        <v>45868.2</v>
      </c>
      <c r="P90" s="167">
        <v>40591.33</v>
      </c>
      <c r="Q90" s="167">
        <v>-40591.33</v>
      </c>
      <c r="R90" s="167">
        <f t="shared" ref="R90:R153" si="8">P90+Q90</f>
        <v>0</v>
      </c>
      <c r="S90" s="178">
        <f>IFERROR(VLOOKUP(G90,'附表8-合同明细采集底稿'!B:N,12,0),100%)</f>
        <v>1</v>
      </c>
      <c r="T90" s="167">
        <f t="shared" si="5"/>
        <v>0</v>
      </c>
      <c r="U90" s="157" t="s">
        <v>2405</v>
      </c>
      <c r="V90" s="179" t="s">
        <v>374</v>
      </c>
      <c r="W90" s="181">
        <v>0</v>
      </c>
      <c r="X90" s="181">
        <v>0</v>
      </c>
      <c r="Y90" s="181">
        <v>0</v>
      </c>
      <c r="Z90" s="183" t="s">
        <v>2406</v>
      </c>
      <c r="AA90" s="157"/>
      <c r="AB90" s="184" t="s">
        <v>2319</v>
      </c>
      <c r="AC90" s="132">
        <f t="shared" si="6"/>
        <v>0</v>
      </c>
    </row>
    <row r="91" s="132" customFormat="1" ht="24" customHeight="1" spans="1:29">
      <c r="A91" s="150">
        <v>85</v>
      </c>
      <c r="B91" s="151">
        <v>43671</v>
      </c>
      <c r="C91" s="152" t="s">
        <v>2510</v>
      </c>
      <c r="D91" s="157" t="s">
        <v>2533</v>
      </c>
      <c r="E91" s="158" t="s">
        <v>2534</v>
      </c>
      <c r="F91" s="159" t="s">
        <v>2599</v>
      </c>
      <c r="G91" s="156" t="s">
        <v>2600</v>
      </c>
      <c r="H91" s="157" t="str">
        <f>IF(G91="","",VLOOKUP(G91,'附表8-合同明细采集底稿'!B:I,2,0))</f>
        <v>装饰装修工程承包合同</v>
      </c>
      <c r="I91" s="165" t="str">
        <f>IF(G91="","",VLOOKUP(G91,'附表8-合同明细采集底稿'!B:I,3,0))</f>
        <v>建设工程合同</v>
      </c>
      <c r="J91" s="187" t="s">
        <v>2601</v>
      </c>
      <c r="K91" s="157" t="s">
        <v>2355</v>
      </c>
      <c r="L91" s="166" t="s">
        <v>2530</v>
      </c>
      <c r="M91" s="555" t="s">
        <v>2603</v>
      </c>
      <c r="N91" s="167">
        <v>70007.08</v>
      </c>
      <c r="O91" s="167">
        <v>79108</v>
      </c>
      <c r="P91" s="167">
        <v>70007.08</v>
      </c>
      <c r="Q91" s="167">
        <v>-70007.08</v>
      </c>
      <c r="R91" s="167">
        <f t="shared" si="8"/>
        <v>0</v>
      </c>
      <c r="S91" s="178">
        <f>IFERROR(VLOOKUP(G91,'附表8-合同明细采集底稿'!B:N,12,0),100%)</f>
        <v>1</v>
      </c>
      <c r="T91" s="167">
        <f t="shared" si="5"/>
        <v>0</v>
      </c>
      <c r="U91" s="157" t="s">
        <v>2405</v>
      </c>
      <c r="V91" s="179" t="s">
        <v>374</v>
      </c>
      <c r="W91" s="181">
        <v>0</v>
      </c>
      <c r="X91" s="181">
        <v>0</v>
      </c>
      <c r="Y91" s="181">
        <v>0</v>
      </c>
      <c r="Z91" s="183" t="s">
        <v>2406</v>
      </c>
      <c r="AA91" s="157"/>
      <c r="AB91" s="184" t="s">
        <v>2319</v>
      </c>
      <c r="AC91" s="132">
        <f t="shared" si="6"/>
        <v>0</v>
      </c>
    </row>
    <row r="92" s="132" customFormat="1" ht="24" customHeight="1" spans="1:29">
      <c r="A92" s="150">
        <v>86</v>
      </c>
      <c r="B92" s="151">
        <v>43671</v>
      </c>
      <c r="C92" s="152" t="s">
        <v>2510</v>
      </c>
      <c r="D92" s="157" t="s">
        <v>2533</v>
      </c>
      <c r="E92" s="158" t="s">
        <v>2534</v>
      </c>
      <c r="F92" s="159" t="s">
        <v>2599</v>
      </c>
      <c r="G92" s="156" t="s">
        <v>2600</v>
      </c>
      <c r="H92" s="157" t="str">
        <f>IF(G92="","",VLOOKUP(G92,'附表8-合同明细采集底稿'!B:I,2,0))</f>
        <v>装饰装修工程承包合同</v>
      </c>
      <c r="I92" s="165" t="str">
        <f>IF(G92="","",VLOOKUP(G92,'附表8-合同明细采集底稿'!B:I,3,0))</f>
        <v>建设工程合同</v>
      </c>
      <c r="J92" s="187" t="s">
        <v>2601</v>
      </c>
      <c r="K92" s="157" t="s">
        <v>2355</v>
      </c>
      <c r="L92" s="166" t="s">
        <v>2530</v>
      </c>
      <c r="M92" s="555" t="s">
        <v>2604</v>
      </c>
      <c r="N92" s="167">
        <v>95191.86</v>
      </c>
      <c r="O92" s="167">
        <v>107566.8</v>
      </c>
      <c r="P92" s="167">
        <v>95191.86</v>
      </c>
      <c r="Q92" s="167">
        <v>-95191.86</v>
      </c>
      <c r="R92" s="167">
        <f t="shared" si="8"/>
        <v>0</v>
      </c>
      <c r="S92" s="178">
        <f>IFERROR(VLOOKUP(G92,'附表8-合同明细采集底稿'!B:N,12,0),100%)</f>
        <v>1</v>
      </c>
      <c r="T92" s="167">
        <f t="shared" si="5"/>
        <v>0</v>
      </c>
      <c r="U92" s="157" t="s">
        <v>2405</v>
      </c>
      <c r="V92" s="179" t="s">
        <v>374</v>
      </c>
      <c r="W92" s="181">
        <v>0</v>
      </c>
      <c r="X92" s="181">
        <v>0</v>
      </c>
      <c r="Y92" s="181">
        <v>0</v>
      </c>
      <c r="Z92" s="183" t="s">
        <v>2406</v>
      </c>
      <c r="AA92" s="157"/>
      <c r="AB92" s="184" t="s">
        <v>2319</v>
      </c>
      <c r="AC92" s="132">
        <f t="shared" si="6"/>
        <v>0</v>
      </c>
    </row>
    <row r="93" s="132" customFormat="1" ht="24" customHeight="1" spans="1:29">
      <c r="A93" s="150">
        <v>87</v>
      </c>
      <c r="B93" s="151">
        <v>43671</v>
      </c>
      <c r="C93" s="152" t="s">
        <v>2510</v>
      </c>
      <c r="D93" s="157" t="s">
        <v>2533</v>
      </c>
      <c r="E93" s="158" t="s">
        <v>2534</v>
      </c>
      <c r="F93" s="159" t="s">
        <v>2599</v>
      </c>
      <c r="G93" s="156" t="s">
        <v>2600</v>
      </c>
      <c r="H93" s="157" t="str">
        <f>IF(G93="","",VLOOKUP(G93,'附表8-合同明细采集底稿'!B:I,2,0))</f>
        <v>装饰装修工程承包合同</v>
      </c>
      <c r="I93" s="165" t="str">
        <f>IF(G93="","",VLOOKUP(G93,'附表8-合同明细采集底稿'!B:I,3,0))</f>
        <v>建设工程合同</v>
      </c>
      <c r="J93" s="187" t="s">
        <v>2601</v>
      </c>
      <c r="K93" s="157" t="s">
        <v>2355</v>
      </c>
      <c r="L93" s="166" t="s">
        <v>2530</v>
      </c>
      <c r="M93" s="555" t="s">
        <v>2605</v>
      </c>
      <c r="N93" s="167">
        <v>95094.69</v>
      </c>
      <c r="O93" s="167">
        <v>107457</v>
      </c>
      <c r="P93" s="167">
        <v>95094.69</v>
      </c>
      <c r="Q93" s="167">
        <v>-95094.69</v>
      </c>
      <c r="R93" s="167">
        <f t="shared" si="8"/>
        <v>0</v>
      </c>
      <c r="S93" s="178">
        <f>IFERROR(VLOOKUP(G93,'附表8-合同明细采集底稿'!B:N,12,0),100%)</f>
        <v>1</v>
      </c>
      <c r="T93" s="167">
        <f t="shared" si="5"/>
        <v>0</v>
      </c>
      <c r="U93" s="157" t="s">
        <v>2405</v>
      </c>
      <c r="V93" s="179" t="s">
        <v>374</v>
      </c>
      <c r="W93" s="181">
        <v>0</v>
      </c>
      <c r="X93" s="181">
        <v>0</v>
      </c>
      <c r="Y93" s="181">
        <v>0</v>
      </c>
      <c r="Z93" s="183" t="s">
        <v>2406</v>
      </c>
      <c r="AA93" s="157"/>
      <c r="AB93" s="184" t="s">
        <v>2319</v>
      </c>
      <c r="AC93" s="132">
        <f t="shared" si="6"/>
        <v>0</v>
      </c>
    </row>
    <row r="94" s="132" customFormat="1" ht="24" customHeight="1" spans="1:29">
      <c r="A94" s="150">
        <v>88</v>
      </c>
      <c r="B94" s="151">
        <v>43671</v>
      </c>
      <c r="C94" s="152" t="s">
        <v>2606</v>
      </c>
      <c r="D94" s="157" t="s">
        <v>2533</v>
      </c>
      <c r="E94" s="158" t="s">
        <v>2534</v>
      </c>
      <c r="F94" s="159" t="s">
        <v>2607</v>
      </c>
      <c r="G94" s="156" t="s">
        <v>2608</v>
      </c>
      <c r="H94" s="157" t="str">
        <f>IF(G94="","",VLOOKUP(G94,'附表8-合同明细采集底稿'!B:I,2,0))</f>
        <v>沁春锦苑35#中央空调</v>
      </c>
      <c r="I94" s="165" t="str">
        <f>IF(G94="","",VLOOKUP(G94,'附表8-合同明细采集底稿'!B:I,3,0))</f>
        <v>其他合同</v>
      </c>
      <c r="J94" s="187" t="s">
        <v>2609</v>
      </c>
      <c r="K94" s="157" t="s">
        <v>2355</v>
      </c>
      <c r="L94" s="166" t="s">
        <v>2393</v>
      </c>
      <c r="M94" s="555" t="s">
        <v>2610</v>
      </c>
      <c r="N94" s="167">
        <v>85575.22</v>
      </c>
      <c r="O94" s="167">
        <v>155258.66</v>
      </c>
      <c r="P94" s="167">
        <v>85575.22</v>
      </c>
      <c r="Q94" s="167">
        <v>-85575.22</v>
      </c>
      <c r="R94" s="167">
        <f t="shared" si="8"/>
        <v>0</v>
      </c>
      <c r="S94" s="178">
        <f>IFERROR(VLOOKUP(G94,'附表8-合同明细采集底稿'!B:N,12,0),100%)</f>
        <v>1</v>
      </c>
      <c r="T94" s="167">
        <f t="shared" si="5"/>
        <v>0</v>
      </c>
      <c r="U94" s="157" t="s">
        <v>2405</v>
      </c>
      <c r="V94" s="179" t="s">
        <v>374</v>
      </c>
      <c r="W94" s="181">
        <v>0</v>
      </c>
      <c r="X94" s="181">
        <v>0</v>
      </c>
      <c r="Y94" s="181"/>
      <c r="Z94" s="183" t="s">
        <v>2406</v>
      </c>
      <c r="AA94" s="157"/>
      <c r="AB94" s="184" t="s">
        <v>2319</v>
      </c>
      <c r="AC94" s="132">
        <f t="shared" si="6"/>
        <v>0</v>
      </c>
    </row>
    <row r="95" s="132" customFormat="1" ht="24" customHeight="1" spans="1:29">
      <c r="A95" s="150">
        <v>89</v>
      </c>
      <c r="B95" s="151">
        <v>43671</v>
      </c>
      <c r="C95" s="152" t="s">
        <v>2606</v>
      </c>
      <c r="D95" s="157" t="s">
        <v>2533</v>
      </c>
      <c r="E95" s="158" t="s">
        <v>2534</v>
      </c>
      <c r="F95" s="159" t="s">
        <v>2607</v>
      </c>
      <c r="G95" s="156" t="s">
        <v>2608</v>
      </c>
      <c r="H95" s="157" t="str">
        <f>IF(G95="","",VLOOKUP(G95,'附表8-合同明细采集底稿'!B:I,2,0))</f>
        <v>沁春锦苑35#中央空调</v>
      </c>
      <c r="I95" s="165" t="str">
        <f>IF(G95="","",VLOOKUP(G95,'附表8-合同明细采集底稿'!B:I,3,0))</f>
        <v>其他合同</v>
      </c>
      <c r="J95" s="187" t="s">
        <v>2609</v>
      </c>
      <c r="K95" s="157" t="s">
        <v>2355</v>
      </c>
      <c r="L95" s="166" t="s">
        <v>2393</v>
      </c>
      <c r="M95" s="555" t="s">
        <v>2611</v>
      </c>
      <c r="N95" s="167">
        <v>60000</v>
      </c>
      <c r="O95" s="167">
        <v>7800.01</v>
      </c>
      <c r="P95" s="167">
        <v>60000</v>
      </c>
      <c r="Q95" s="167">
        <v>-60000</v>
      </c>
      <c r="R95" s="167">
        <f t="shared" si="8"/>
        <v>0</v>
      </c>
      <c r="S95" s="178">
        <f>IFERROR(VLOOKUP(G95,'附表8-合同明细采集底稿'!B:N,12,0),100%)</f>
        <v>1</v>
      </c>
      <c r="T95" s="167">
        <f t="shared" si="5"/>
        <v>0</v>
      </c>
      <c r="U95" s="157" t="s">
        <v>2405</v>
      </c>
      <c r="V95" s="179" t="s">
        <v>374</v>
      </c>
      <c r="W95" s="181">
        <v>0</v>
      </c>
      <c r="X95" s="181">
        <v>0</v>
      </c>
      <c r="Y95" s="181"/>
      <c r="Z95" s="183" t="s">
        <v>2406</v>
      </c>
      <c r="AA95" s="157"/>
      <c r="AB95" s="184" t="s">
        <v>2319</v>
      </c>
      <c r="AC95" s="132">
        <f t="shared" si="6"/>
        <v>0</v>
      </c>
    </row>
    <row r="96" s="132" customFormat="1" ht="24" customHeight="1" spans="1:29">
      <c r="A96" s="150">
        <v>90</v>
      </c>
      <c r="B96" s="151">
        <v>43673</v>
      </c>
      <c r="C96" s="152" t="s">
        <v>2612</v>
      </c>
      <c r="D96" s="157" t="s">
        <v>2533</v>
      </c>
      <c r="E96" s="158" t="s">
        <v>2564</v>
      </c>
      <c r="F96" s="159" t="s">
        <v>2613</v>
      </c>
      <c r="G96" s="186" t="s">
        <v>2614</v>
      </c>
      <c r="H96" s="157" t="str">
        <f>IF(G96="","",VLOOKUP(G96,'附表8-合同明细采集底稿'!B:I,2,0))</f>
        <v>沁春锦苑1#35#、大门楼施工协议（1#.35#）</v>
      </c>
      <c r="I96" s="165" t="str">
        <f>IF(G96="","",VLOOKUP(G96,'附表8-合同明细采集底稿'!B:I,3,0))</f>
        <v>建设工程合同</v>
      </c>
      <c r="J96" s="187" t="s">
        <v>151</v>
      </c>
      <c r="K96" s="157" t="s">
        <v>2355</v>
      </c>
      <c r="L96" s="166" t="s">
        <v>2530</v>
      </c>
      <c r="M96" s="555" t="s">
        <v>2615</v>
      </c>
      <c r="N96" s="167">
        <v>458715.6</v>
      </c>
      <c r="O96" s="167">
        <v>500000</v>
      </c>
      <c r="P96" s="167">
        <v>458715.6</v>
      </c>
      <c r="Q96" s="167"/>
      <c r="R96" s="167">
        <f t="shared" si="8"/>
        <v>458715.6</v>
      </c>
      <c r="S96" s="178">
        <f>IFERROR(VLOOKUP(G96,'附表8-合同明细采集底稿'!B:N,12,0),100%)</f>
        <v>1</v>
      </c>
      <c r="T96" s="167">
        <f t="shared" si="5"/>
        <v>458715.6</v>
      </c>
      <c r="U96" s="157" t="s">
        <v>2405</v>
      </c>
      <c r="V96" s="179" t="s">
        <v>374</v>
      </c>
      <c r="W96" s="181">
        <v>0</v>
      </c>
      <c r="X96" s="181">
        <v>0</v>
      </c>
      <c r="Y96" s="181">
        <v>458715.6</v>
      </c>
      <c r="Z96" s="183" t="s">
        <v>2406</v>
      </c>
      <c r="AA96" s="157"/>
      <c r="AB96" s="184" t="s">
        <v>2319</v>
      </c>
      <c r="AC96" s="132">
        <f t="shared" si="6"/>
        <v>0</v>
      </c>
    </row>
    <row r="97" s="132" customFormat="1" ht="24" customHeight="1" spans="1:29">
      <c r="A97" s="150">
        <v>91</v>
      </c>
      <c r="B97" s="151">
        <v>43673</v>
      </c>
      <c r="C97" s="152" t="s">
        <v>2616</v>
      </c>
      <c r="D97" s="157" t="s">
        <v>2346</v>
      </c>
      <c r="E97" s="158" t="s">
        <v>2453</v>
      </c>
      <c r="F97" s="159" t="s">
        <v>2617</v>
      </c>
      <c r="G97" s="156" t="s">
        <v>2497</v>
      </c>
      <c r="H97" s="157" t="str">
        <f>IF(G97="","",VLOOKUP(G97,'附表8-合同明细采集底稿'!B:I,2,0))</f>
        <v>沁春锦苑一期园林绿化工程（19-24、32/33.34)</v>
      </c>
      <c r="I97" s="165" t="str">
        <f>IF(G97="","",VLOOKUP(G97,'附表8-合同明细采集底稿'!B:I,3,0))</f>
        <v>其他合同</v>
      </c>
      <c r="J97" s="169" t="s">
        <v>2498</v>
      </c>
      <c r="K97" s="157" t="s">
        <v>2355</v>
      </c>
      <c r="L97" s="166" t="s">
        <v>2530</v>
      </c>
      <c r="M97" s="555" t="s">
        <v>2618</v>
      </c>
      <c r="N97" s="167">
        <v>97087.38</v>
      </c>
      <c r="O97" s="167">
        <v>100000</v>
      </c>
      <c r="P97" s="167">
        <v>97087.38</v>
      </c>
      <c r="Q97" s="167"/>
      <c r="R97" s="167">
        <f t="shared" si="8"/>
        <v>97087.38</v>
      </c>
      <c r="S97" s="178">
        <f>IFERROR(VLOOKUP(G97,'附表8-合同明细采集底稿'!B:N,12,0),100%)</f>
        <v>1</v>
      </c>
      <c r="T97" s="167">
        <f t="shared" si="5"/>
        <v>97087.38</v>
      </c>
      <c r="U97" s="157" t="s">
        <v>2344</v>
      </c>
      <c r="V97" s="179" t="s">
        <v>375</v>
      </c>
      <c r="W97" s="180">
        <f>IF('附表1-面积统计表'!$D$29=0,"",IF(AND(V97="共同成本费用",Z97="总建筑面积法"),ROUND(T97/'附表1-面积统计表'!$D$29*'附表1-面积统计表'!$D$5,2),IF(AND(V97="共同成本费用",Z97="可售建筑面积法"),ROUND(T97/'附表1-面积统计表'!$F$29*'附表1-面积统计表'!$F$5,2),"请手工填写")))</f>
        <v>47035.25</v>
      </c>
      <c r="X97" s="180">
        <f>IF(SUM('附表1-面积统计表'!$D$6)=0,"",SUM(T97)-SUM(W97)-SUM(Y97))</f>
        <v>31119.82</v>
      </c>
      <c r="Y97" s="180">
        <f>IF(SUM('附表1-面积统计表'!$D$6)=0,SUM(T97)-SUM(W97),IF('附表1-面积统计表'!$D$29=0,"",IF(AND(V97="共同成本费用",Z97="总建筑面积法"),ROUND(T97/'附表1-面积统计表'!$D$29*'附表1-面积统计表'!$D$7,2),IF(AND(V97="共同成本费用",Z97="可售建筑面积法"),ROUND(T97/'附表1-面积统计表'!$F$29*'附表1-面积统计表'!$F$7,2),"请手工填写"))))</f>
        <v>18932.31</v>
      </c>
      <c r="Z97" s="183" t="s">
        <v>351</v>
      </c>
      <c r="AA97" s="157"/>
      <c r="AB97" s="184" t="s">
        <v>2319</v>
      </c>
      <c r="AC97" s="132">
        <f t="shared" si="6"/>
        <v>0</v>
      </c>
    </row>
    <row r="98" s="132" customFormat="1" ht="24" customHeight="1" spans="1:29">
      <c r="A98" s="150">
        <v>92</v>
      </c>
      <c r="B98" s="151">
        <v>43673</v>
      </c>
      <c r="C98" s="152" t="s">
        <v>2616</v>
      </c>
      <c r="D98" s="157" t="s">
        <v>2346</v>
      </c>
      <c r="E98" s="158" t="s">
        <v>2453</v>
      </c>
      <c r="F98" s="159" t="s">
        <v>2617</v>
      </c>
      <c r="G98" s="156" t="s">
        <v>2497</v>
      </c>
      <c r="H98" s="157" t="str">
        <f>IF(G98="","",VLOOKUP(G98,'附表8-合同明细采集底稿'!B:I,2,0))</f>
        <v>沁春锦苑一期园林绿化工程（19-24、32/33.34)</v>
      </c>
      <c r="I98" s="165" t="str">
        <f>IF(G98="","",VLOOKUP(G98,'附表8-合同明细采集底稿'!B:I,3,0))</f>
        <v>其他合同</v>
      </c>
      <c r="J98" s="169" t="s">
        <v>2498</v>
      </c>
      <c r="K98" s="157" t="s">
        <v>2355</v>
      </c>
      <c r="L98" s="166" t="s">
        <v>2530</v>
      </c>
      <c r="M98" s="555" t="s">
        <v>2619</v>
      </c>
      <c r="N98" s="167">
        <v>97087.38</v>
      </c>
      <c r="O98" s="167">
        <v>100000</v>
      </c>
      <c r="P98" s="167">
        <v>97087.38</v>
      </c>
      <c r="Q98" s="167"/>
      <c r="R98" s="167">
        <f t="shared" si="8"/>
        <v>97087.38</v>
      </c>
      <c r="S98" s="178">
        <f>IFERROR(VLOOKUP(G98,'附表8-合同明细采集底稿'!B:N,12,0),100%)</f>
        <v>1</v>
      </c>
      <c r="T98" s="167">
        <f t="shared" si="5"/>
        <v>97087.38</v>
      </c>
      <c r="U98" s="157" t="s">
        <v>2344</v>
      </c>
      <c r="V98" s="179" t="s">
        <v>375</v>
      </c>
      <c r="W98" s="180">
        <f>IF('附表1-面积统计表'!$D$29=0,"",IF(AND(V98="共同成本费用",Z98="总建筑面积法"),ROUND(T98/'附表1-面积统计表'!$D$29*'附表1-面积统计表'!$D$5,2),IF(AND(V98="共同成本费用",Z98="可售建筑面积法"),ROUND(T98/'附表1-面积统计表'!$F$29*'附表1-面积统计表'!$F$5,2),"请手工填写")))</f>
        <v>47035.25</v>
      </c>
      <c r="X98" s="180">
        <f>IF(SUM('附表1-面积统计表'!$D$6)=0,"",SUM(T98)-SUM(W98)-SUM(Y98))</f>
        <v>31119.82</v>
      </c>
      <c r="Y98" s="180">
        <f>IF(SUM('附表1-面积统计表'!$D$6)=0,SUM(T98)-SUM(W98),IF('附表1-面积统计表'!$D$29=0,"",IF(AND(V98="共同成本费用",Z98="总建筑面积法"),ROUND(T98/'附表1-面积统计表'!$D$29*'附表1-面积统计表'!$D$7,2),IF(AND(V98="共同成本费用",Z98="可售建筑面积法"),ROUND(T98/'附表1-面积统计表'!$F$29*'附表1-面积统计表'!$F$7,2),"请手工填写"))))</f>
        <v>18932.31</v>
      </c>
      <c r="Z98" s="183" t="s">
        <v>351</v>
      </c>
      <c r="AA98" s="157"/>
      <c r="AB98" s="184" t="s">
        <v>2319</v>
      </c>
      <c r="AC98" s="132">
        <f t="shared" si="6"/>
        <v>0</v>
      </c>
    </row>
    <row r="99" s="132" customFormat="1" ht="24" customHeight="1" spans="1:29">
      <c r="A99" s="150">
        <v>93</v>
      </c>
      <c r="B99" s="151">
        <v>43673</v>
      </c>
      <c r="C99" s="152" t="s">
        <v>2616</v>
      </c>
      <c r="D99" s="157" t="s">
        <v>2346</v>
      </c>
      <c r="E99" s="158" t="s">
        <v>2453</v>
      </c>
      <c r="F99" s="159" t="s">
        <v>2617</v>
      </c>
      <c r="G99" s="156" t="s">
        <v>2497</v>
      </c>
      <c r="H99" s="157" t="str">
        <f>IF(G99="","",VLOOKUP(G99,'附表8-合同明细采集底稿'!B:I,2,0))</f>
        <v>沁春锦苑一期园林绿化工程（19-24、32/33.34)</v>
      </c>
      <c r="I99" s="165" t="str">
        <f>IF(G99="","",VLOOKUP(G99,'附表8-合同明细采集底稿'!B:I,3,0))</f>
        <v>其他合同</v>
      </c>
      <c r="J99" s="169" t="s">
        <v>2498</v>
      </c>
      <c r="K99" s="157" t="s">
        <v>2355</v>
      </c>
      <c r="L99" s="166" t="s">
        <v>2530</v>
      </c>
      <c r="M99" s="555" t="s">
        <v>2620</v>
      </c>
      <c r="N99" s="167">
        <v>77669.9</v>
      </c>
      <c r="O99" s="167">
        <v>80000</v>
      </c>
      <c r="P99" s="167">
        <v>77669.9</v>
      </c>
      <c r="Q99" s="167"/>
      <c r="R99" s="167">
        <f t="shared" si="8"/>
        <v>77669.9</v>
      </c>
      <c r="S99" s="178">
        <f>IFERROR(VLOOKUP(G99,'附表8-合同明细采集底稿'!B:N,12,0),100%)</f>
        <v>1</v>
      </c>
      <c r="T99" s="167">
        <f t="shared" si="5"/>
        <v>77669.9</v>
      </c>
      <c r="U99" s="157" t="s">
        <v>2344</v>
      </c>
      <c r="V99" s="179" t="s">
        <v>375</v>
      </c>
      <c r="W99" s="180">
        <f>IF('附表1-面积统计表'!$D$29=0,"",IF(AND(V99="共同成本费用",Z99="总建筑面积法"),ROUND(T99/'附表1-面积统计表'!$D$29*'附表1-面积统计表'!$D$5,2),IF(AND(V99="共同成本费用",Z99="可售建筑面积法"),ROUND(T99/'附表1-面积统计表'!$F$29*'附表1-面积统计表'!$F$5,2),"请手工填写")))</f>
        <v>37628.2</v>
      </c>
      <c r="X99" s="180">
        <f>IF(SUM('附表1-面积统计表'!$D$6)=0,"",SUM(T99)-SUM(W99)-SUM(Y99))</f>
        <v>24895.85</v>
      </c>
      <c r="Y99" s="180">
        <f>IF(SUM('附表1-面积统计表'!$D$6)=0,SUM(T99)-SUM(W99),IF('附表1-面积统计表'!$D$29=0,"",IF(AND(V99="共同成本费用",Z99="总建筑面积法"),ROUND(T99/'附表1-面积统计表'!$D$29*'附表1-面积统计表'!$D$7,2),IF(AND(V99="共同成本费用",Z99="可售建筑面积法"),ROUND(T99/'附表1-面积统计表'!$F$29*'附表1-面积统计表'!$F$7,2),"请手工填写"))))</f>
        <v>15145.85</v>
      </c>
      <c r="Z99" s="183" t="s">
        <v>351</v>
      </c>
      <c r="AA99" s="157"/>
      <c r="AB99" s="184" t="s">
        <v>2319</v>
      </c>
      <c r="AC99" s="132">
        <f t="shared" si="6"/>
        <v>0</v>
      </c>
    </row>
    <row r="100" s="132" customFormat="1" ht="24" customHeight="1" spans="1:29">
      <c r="A100" s="150">
        <v>94</v>
      </c>
      <c r="B100" s="151">
        <v>43675</v>
      </c>
      <c r="C100" s="152" t="s">
        <v>2621</v>
      </c>
      <c r="D100" s="157" t="s">
        <v>2339</v>
      </c>
      <c r="E100" s="158" t="s">
        <v>2370</v>
      </c>
      <c r="F100" s="159" t="s">
        <v>2622</v>
      </c>
      <c r="G100" s="156" t="s">
        <v>2623</v>
      </c>
      <c r="H100" s="157" t="str">
        <f>IF(G100="","",VLOOKUP(G100,'附表8-合同明细采集底稿'!B:I,2,0))</f>
        <v>测绘合同书（19#-24#）</v>
      </c>
      <c r="I100" s="165" t="str">
        <f>IF(G100="","",VLOOKUP(G100,'附表8-合同明细采集底稿'!B:I,3,0))</f>
        <v>技术合同</v>
      </c>
      <c r="J100" s="187" t="s">
        <v>2624</v>
      </c>
      <c r="K100" s="157" t="s">
        <v>2355</v>
      </c>
      <c r="L100" s="166" t="s">
        <v>2530</v>
      </c>
      <c r="M100" s="555" t="s">
        <v>2625</v>
      </c>
      <c r="N100" s="167">
        <v>11783.5</v>
      </c>
      <c r="O100" s="167">
        <v>12137</v>
      </c>
      <c r="P100" s="167">
        <v>11783.5</v>
      </c>
      <c r="Q100" s="167"/>
      <c r="R100" s="167">
        <f t="shared" si="8"/>
        <v>11783.5</v>
      </c>
      <c r="S100" s="178">
        <f>IFERROR(VLOOKUP(G100,'附表8-合同明细采集底稿'!B:N,12,0),100%)</f>
        <v>1</v>
      </c>
      <c r="T100" s="167">
        <f t="shared" si="5"/>
        <v>11783.5</v>
      </c>
      <c r="U100" s="157" t="s">
        <v>2344</v>
      </c>
      <c r="V100" s="179" t="s">
        <v>375</v>
      </c>
      <c r="W100" s="180">
        <f>IF('附表1-面积统计表'!$D$29=0,"",IF(AND(V100="共同成本费用",Z100="总建筑面积法"),ROUND(T100/'附表1-面积统计表'!$D$29*'附表1-面积统计表'!$D$5,2),IF(AND(V100="共同成本费用",Z100="可售建筑面积法"),ROUND(T100/'附表1-面积统计表'!$F$29*'附表1-面积统计表'!$F$5,2),"请手工填写")))</f>
        <v>5708.67</v>
      </c>
      <c r="X100" s="180">
        <f>IF(SUM('附表1-面积统计表'!$D$6)=0,"",SUM(T100)-SUM(W100)-SUM(Y100))</f>
        <v>3777.01</v>
      </c>
      <c r="Y100" s="180">
        <f>IF(SUM('附表1-面积统计表'!$D$6)=0,SUM(T100)-SUM(W100),IF('附表1-面积统计表'!$D$29=0,"",IF(AND(V100="共同成本费用",Z100="总建筑面积法"),ROUND(T100/'附表1-面积统计表'!$D$29*'附表1-面积统计表'!$D$7,2),IF(AND(V100="共同成本费用",Z100="可售建筑面积法"),ROUND(T100/'附表1-面积统计表'!$F$29*'附表1-面积统计表'!$F$7,2),"请手工填写"))))</f>
        <v>2297.82</v>
      </c>
      <c r="Z100" s="183" t="s">
        <v>351</v>
      </c>
      <c r="AA100" s="157"/>
      <c r="AB100" s="184" t="s">
        <v>2319</v>
      </c>
      <c r="AC100" s="132">
        <f t="shared" si="6"/>
        <v>0</v>
      </c>
    </row>
    <row r="101" s="132" customFormat="1" ht="24" customHeight="1" spans="1:29">
      <c r="A101" s="150">
        <v>95</v>
      </c>
      <c r="B101" s="151">
        <v>43677</v>
      </c>
      <c r="C101" s="152" t="s">
        <v>2626</v>
      </c>
      <c r="D101" s="157" t="s">
        <v>2346</v>
      </c>
      <c r="E101" s="158" t="s">
        <v>2501</v>
      </c>
      <c r="F101" s="159" t="s">
        <v>2627</v>
      </c>
      <c r="G101" s="156"/>
      <c r="H101" s="157" t="str">
        <f>IF(G101="","",VLOOKUP(G101,'附表8-合同明细采集底稿'!B:I,2,0))</f>
        <v/>
      </c>
      <c r="I101" s="165" t="str">
        <f>IF(G101="","",VLOOKUP(G101,'附表8-合同明细采集底稿'!B:I,3,0))</f>
        <v/>
      </c>
      <c r="J101" s="169" t="s">
        <v>2628</v>
      </c>
      <c r="K101" s="157" t="s">
        <v>2355</v>
      </c>
      <c r="L101" s="166" t="s">
        <v>2393</v>
      </c>
      <c r="M101" s="555" t="s">
        <v>2629</v>
      </c>
      <c r="N101" s="167">
        <v>2097.09</v>
      </c>
      <c r="O101" s="167">
        <v>2160</v>
      </c>
      <c r="P101" s="167">
        <v>11017.44</v>
      </c>
      <c r="Q101" s="167">
        <v>-11017.44</v>
      </c>
      <c r="R101" s="167">
        <f t="shared" si="8"/>
        <v>0</v>
      </c>
      <c r="S101" s="178">
        <v>1</v>
      </c>
      <c r="T101" s="167">
        <f t="shared" si="5"/>
        <v>0</v>
      </c>
      <c r="U101" s="157" t="s">
        <v>2344</v>
      </c>
      <c r="V101" s="179" t="s">
        <v>375</v>
      </c>
      <c r="W101" s="180">
        <f>IF('附表1-面积统计表'!$D$29=0,"",IF(AND(V101="共同成本费用",Z101="总建筑面积法"),ROUND(T101/'附表1-面积统计表'!$D$29*'附表1-面积统计表'!$D$5,2),IF(AND(V101="共同成本费用",Z101="可售建筑面积法"),ROUND(T101/'附表1-面积统计表'!$F$29*'附表1-面积统计表'!$F$5,2),"请手工填写")))</f>
        <v>0</v>
      </c>
      <c r="X101" s="180">
        <f>IF(SUM('附表1-面积统计表'!$D$6)=0,"",SUM(T101)-SUM(W101)-SUM(Y101))</f>
        <v>0</v>
      </c>
      <c r="Y101" s="180">
        <f>IF(SUM('附表1-面积统计表'!$D$6)=0,SUM(T101)-SUM(W101),IF('附表1-面积统计表'!$D$29=0,"",IF(AND(V101="共同成本费用",Z101="总建筑面积法"),ROUND(T101/'附表1-面积统计表'!$D$29*'附表1-面积统计表'!$D$7,2),IF(AND(V101="共同成本费用",Z101="可售建筑面积法"),ROUND(T101/'附表1-面积统计表'!$F$29*'附表1-面积统计表'!$F$7,2),"请手工填写"))))</f>
        <v>0</v>
      </c>
      <c r="Z101" s="183" t="s">
        <v>351</v>
      </c>
      <c r="AA101" s="157"/>
      <c r="AB101" s="184" t="s">
        <v>2319</v>
      </c>
      <c r="AC101" s="132">
        <f t="shared" si="6"/>
        <v>0</v>
      </c>
    </row>
    <row r="102" s="132" customFormat="1" ht="24" customHeight="1" spans="1:29">
      <c r="A102" s="150">
        <v>96</v>
      </c>
      <c r="B102" s="151">
        <v>43684</v>
      </c>
      <c r="C102" s="152" t="s">
        <v>2630</v>
      </c>
      <c r="D102" s="157" t="s">
        <v>2470</v>
      </c>
      <c r="E102" s="158" t="s">
        <v>2471</v>
      </c>
      <c r="F102" s="159" t="s">
        <v>2481</v>
      </c>
      <c r="G102" s="156"/>
      <c r="H102" s="157"/>
      <c r="I102" s="165"/>
      <c r="J102" s="187" t="s">
        <v>2631</v>
      </c>
      <c r="K102" s="157" t="s">
        <v>2483</v>
      </c>
      <c r="L102" s="166"/>
      <c r="M102" s="166">
        <v>6013920840</v>
      </c>
      <c r="N102" s="167">
        <v>300815.1</v>
      </c>
      <c r="O102" s="167">
        <v>300815.1</v>
      </c>
      <c r="P102" s="167">
        <v>300815.1</v>
      </c>
      <c r="Q102" s="167"/>
      <c r="R102" s="167">
        <f t="shared" si="8"/>
        <v>300815.1</v>
      </c>
      <c r="S102" s="178">
        <v>1</v>
      </c>
      <c r="T102" s="167">
        <f t="shared" si="5"/>
        <v>300815.1</v>
      </c>
      <c r="U102" s="157" t="s">
        <v>2416</v>
      </c>
      <c r="V102" s="179" t="s">
        <v>374</v>
      </c>
      <c r="W102" s="182">
        <f>ROUND(T102*成本分摊比例!$G$13/(成本分摊比例!$G$13+成本分摊比例!$H$13+成本分摊比例!$I$13),2)</f>
        <v>162530.93</v>
      </c>
      <c r="X102" s="182">
        <f>ROUND(T102*成本分摊比例!$H$13/(成本分摊比例!$G$13+成本分摊比例!$H$13+成本分摊比例!$I$13),2)</f>
        <v>107534.94</v>
      </c>
      <c r="Y102" s="182">
        <f>T102-W102-X102</f>
        <v>30749.23</v>
      </c>
      <c r="Z102" s="183" t="s">
        <v>2406</v>
      </c>
      <c r="AA102" s="157"/>
      <c r="AB102" s="184" t="s">
        <v>2319</v>
      </c>
      <c r="AC102" s="132">
        <f t="shared" si="6"/>
        <v>0</v>
      </c>
    </row>
    <row r="103" s="132" customFormat="1" ht="24" customHeight="1" spans="1:29">
      <c r="A103" s="150">
        <v>97</v>
      </c>
      <c r="B103" s="151">
        <v>43684</v>
      </c>
      <c r="C103" s="152" t="s">
        <v>2338</v>
      </c>
      <c r="D103" s="157" t="s">
        <v>2339</v>
      </c>
      <c r="E103" s="158" t="s">
        <v>2370</v>
      </c>
      <c r="F103" s="159" t="s">
        <v>2407</v>
      </c>
      <c r="G103" s="156"/>
      <c r="H103" s="157" t="str">
        <f>IF(G103="","",VLOOKUP(G103,'附表8-合同明细采集底稿'!B:I,2,0))</f>
        <v/>
      </c>
      <c r="I103" s="165" t="str">
        <f>IF(G103="","",VLOOKUP(G103,'附表8-合同明细采集底稿'!B:I,3,0))</f>
        <v/>
      </c>
      <c r="J103" s="187" t="s">
        <v>2373</v>
      </c>
      <c r="K103" s="157" t="s">
        <v>2355</v>
      </c>
      <c r="L103" s="166" t="s">
        <v>2530</v>
      </c>
      <c r="M103" s="555" t="s">
        <v>2632</v>
      </c>
      <c r="N103" s="167">
        <v>1300</v>
      </c>
      <c r="O103" s="167">
        <v>1378</v>
      </c>
      <c r="P103" s="167">
        <v>1300</v>
      </c>
      <c r="Q103" s="167"/>
      <c r="R103" s="167">
        <f t="shared" si="8"/>
        <v>1300</v>
      </c>
      <c r="S103" s="178">
        <v>1</v>
      </c>
      <c r="T103" s="167">
        <f t="shared" ref="T103:T149" si="9">ROUND(SUM(R103)*SUM(S103),2)</f>
        <v>1300</v>
      </c>
      <c r="U103" s="157" t="s">
        <v>2344</v>
      </c>
      <c r="V103" s="179" t="s">
        <v>375</v>
      </c>
      <c r="W103" s="180">
        <f>IF('附表1-面积统计表'!$D$29=0,"",IF(AND(V103="共同成本费用",Z103="总建筑面积法"),ROUND(T103/'附表1-面积统计表'!$D$29*'附表1-面积统计表'!$D$5,2),IF(AND(V103="共同成本费用",Z103="可售建筑面积法"),ROUND(T103/'附表1-面积统计表'!$F$29*'附表1-面积统计表'!$F$5,2),"请手工填写")))</f>
        <v>629.8</v>
      </c>
      <c r="X103" s="180">
        <f>IF(SUM('附表1-面积统计表'!$D$6)=0,"",SUM(T103)-SUM(W103)-SUM(Y103))</f>
        <v>416.7</v>
      </c>
      <c r="Y103" s="180">
        <f>IF(SUM('附表1-面积统计表'!$D$6)=0,SUM(T103)-SUM(W103),IF('附表1-面积统计表'!$D$29=0,"",IF(AND(V103="共同成本费用",Z103="总建筑面积法"),ROUND(T103/'附表1-面积统计表'!$D$29*'附表1-面积统计表'!$D$7,2),IF(AND(V103="共同成本费用",Z103="可售建筑面积法"),ROUND(T103/'附表1-面积统计表'!$F$29*'附表1-面积统计表'!$F$7,2),"请手工填写"))))</f>
        <v>253.5</v>
      </c>
      <c r="Z103" s="183" t="s">
        <v>351</v>
      </c>
      <c r="AA103" s="157"/>
      <c r="AB103" s="184" t="s">
        <v>2319</v>
      </c>
      <c r="AC103" s="132">
        <f t="shared" si="6"/>
        <v>0</v>
      </c>
    </row>
    <row r="104" s="132" customFormat="1" ht="24" customHeight="1" spans="1:29">
      <c r="A104" s="150">
        <v>98</v>
      </c>
      <c r="B104" s="151">
        <v>43692</v>
      </c>
      <c r="C104" s="152" t="s">
        <v>2434</v>
      </c>
      <c r="D104" s="157" t="s">
        <v>2470</v>
      </c>
      <c r="E104" s="158" t="s">
        <v>2471</v>
      </c>
      <c r="F104" s="159" t="s">
        <v>2633</v>
      </c>
      <c r="G104" s="156" t="s">
        <v>2486</v>
      </c>
      <c r="H104" s="157" t="str">
        <f>IF(G104="","",VLOOKUP(G104,'附表8-合同明细采集底稿'!B:I,2,0))</f>
        <v>库尔勒市杜鹃路施工合同</v>
      </c>
      <c r="I104" s="165" t="str">
        <f>IF(G104="","",VLOOKUP(G104,'附表8-合同明细采集底稿'!B:I,3,0))</f>
        <v>建设工程合同</v>
      </c>
      <c r="J104" s="187" t="s">
        <v>2592</v>
      </c>
      <c r="K104" s="157" t="s">
        <v>2355</v>
      </c>
      <c r="L104" s="166" t="s">
        <v>2530</v>
      </c>
      <c r="M104" s="555" t="s">
        <v>2634</v>
      </c>
      <c r="N104" s="167">
        <v>3698.03</v>
      </c>
      <c r="O104" s="167">
        <v>4178.77</v>
      </c>
      <c r="P104" s="167">
        <v>3698.03</v>
      </c>
      <c r="Q104" s="167">
        <v>-3698.03</v>
      </c>
      <c r="R104" s="167">
        <f t="shared" si="8"/>
        <v>0</v>
      </c>
      <c r="S104" s="178">
        <f>IFERROR(VLOOKUP(G104,'附表8-合同明细采集底稿'!B:N,12,0),100%)</f>
        <v>1</v>
      </c>
      <c r="T104" s="167">
        <f t="shared" si="9"/>
        <v>0</v>
      </c>
      <c r="U104" s="157" t="s">
        <v>2381</v>
      </c>
      <c r="V104" s="179" t="s">
        <v>375</v>
      </c>
      <c r="W104" s="180">
        <f>IF('附表1-面积统计表'!$D$29=0,"",IF(AND(V104="共同成本费用",Z104="总建筑面积法"),ROUND(T104/'附表1-面积统计表'!$D$29*'附表1-面积统计表'!$D$5,2),IF(AND(V104="共同成本费用",Z104="可售建筑面积法"),ROUND(T104/'附表1-面积统计表'!$F$29*'附表1-面积统计表'!$F$5,2),"请手工填写")))</f>
        <v>0</v>
      </c>
      <c r="X104" s="180">
        <f>IF(SUM('附表1-面积统计表'!$D$6)=0,"",SUM(T104)-SUM(W104)-SUM(Y104))</f>
        <v>0</v>
      </c>
      <c r="Y104" s="180">
        <f>IF(SUM('附表1-面积统计表'!$D$6)=0,SUM(T104)-SUM(W104),IF('附表1-面积统计表'!$D$29=0,"",IF(AND(V104="共同成本费用",Z104="总建筑面积法"),ROUND(T104/'附表1-面积统计表'!$D$29*'附表1-面积统计表'!$D$7,2),IF(AND(V104="共同成本费用",Z104="可售建筑面积法"),ROUND(T104/'附表1-面积统计表'!$F$29*'附表1-面积统计表'!$F$7,2),"请手工填写"))))</f>
        <v>0</v>
      </c>
      <c r="Z104" s="183" t="s">
        <v>351</v>
      </c>
      <c r="AA104" s="157"/>
      <c r="AB104" s="184" t="s">
        <v>2319</v>
      </c>
      <c r="AC104" s="132">
        <f t="shared" si="6"/>
        <v>0</v>
      </c>
    </row>
    <row r="105" s="132" customFormat="1" ht="24" customHeight="1" spans="1:29">
      <c r="A105" s="150">
        <v>99</v>
      </c>
      <c r="B105" s="151">
        <v>43692</v>
      </c>
      <c r="C105" s="152" t="s">
        <v>2434</v>
      </c>
      <c r="D105" s="157" t="s">
        <v>2470</v>
      </c>
      <c r="E105" s="158" t="s">
        <v>2471</v>
      </c>
      <c r="F105" s="159" t="s">
        <v>2633</v>
      </c>
      <c r="G105" s="156"/>
      <c r="H105" s="157"/>
      <c r="I105" s="165"/>
      <c r="J105" s="187" t="s">
        <v>2635</v>
      </c>
      <c r="K105" s="157" t="s">
        <v>2355</v>
      </c>
      <c r="L105" s="166" t="s">
        <v>2393</v>
      </c>
      <c r="M105" s="555" t="s">
        <v>2636</v>
      </c>
      <c r="N105" s="167">
        <v>4218.58</v>
      </c>
      <c r="O105" s="167">
        <v>4767</v>
      </c>
      <c r="P105" s="167">
        <v>4218.58</v>
      </c>
      <c r="Q105" s="167">
        <v>-4218.58</v>
      </c>
      <c r="R105" s="167">
        <f t="shared" si="8"/>
        <v>0</v>
      </c>
      <c r="S105" s="178">
        <v>1</v>
      </c>
      <c r="T105" s="167">
        <f t="shared" si="9"/>
        <v>0</v>
      </c>
      <c r="U105" s="157" t="s">
        <v>2344</v>
      </c>
      <c r="V105" s="179" t="s">
        <v>375</v>
      </c>
      <c r="W105" s="180">
        <f>IF('附表1-面积统计表'!$D$29=0,"",IF(AND(V105="共同成本费用",Z105="总建筑面积法"),ROUND(T105/'附表1-面积统计表'!$D$29*'附表1-面积统计表'!$D$5,2),IF(AND(V105="共同成本费用",Z105="可售建筑面积法"),ROUND(T105/'附表1-面积统计表'!$F$29*'附表1-面积统计表'!$F$5,2),"请手工填写")))</f>
        <v>0</v>
      </c>
      <c r="X105" s="180">
        <f>IF(SUM('附表1-面积统计表'!$D$6)=0,"",SUM(T105)-SUM(W105)-SUM(Y105))</f>
        <v>0</v>
      </c>
      <c r="Y105" s="180">
        <f>IF(SUM('附表1-面积统计表'!$D$6)=0,SUM(T105)-SUM(W105),IF('附表1-面积统计表'!$D$29=0,"",IF(AND(V105="共同成本费用",Z105="总建筑面积法"),ROUND(T105/'附表1-面积统计表'!$D$29*'附表1-面积统计表'!$D$7,2),IF(AND(V105="共同成本费用",Z105="可售建筑面积法"),ROUND(T105/'附表1-面积统计表'!$F$29*'附表1-面积统计表'!$F$7,2),"请手工填写"))))</f>
        <v>0</v>
      </c>
      <c r="Z105" s="183" t="s">
        <v>351</v>
      </c>
      <c r="AA105" s="157"/>
      <c r="AB105" s="184" t="s">
        <v>2319</v>
      </c>
      <c r="AC105" s="132">
        <f t="shared" si="6"/>
        <v>0</v>
      </c>
    </row>
    <row r="106" s="132" customFormat="1" ht="24" customHeight="1" spans="1:29">
      <c r="A106" s="150">
        <v>100</v>
      </c>
      <c r="B106" s="151">
        <v>43699</v>
      </c>
      <c r="C106" s="152" t="s">
        <v>2391</v>
      </c>
      <c r="D106" s="157" t="s">
        <v>2533</v>
      </c>
      <c r="E106" s="158" t="s">
        <v>2534</v>
      </c>
      <c r="F106" s="159" t="s">
        <v>2637</v>
      </c>
      <c r="G106" s="156"/>
      <c r="H106" s="157" t="str">
        <f>IF(G106="","",VLOOKUP(G106,'附表8-合同明细采集底稿'!B:I,2,0))</f>
        <v/>
      </c>
      <c r="I106" s="165" t="str">
        <f>IF(G106="","",VLOOKUP(G106,'附表8-合同明细采集底稿'!B:I,3,0))</f>
        <v/>
      </c>
      <c r="J106" s="187" t="s">
        <v>2638</v>
      </c>
      <c r="K106" s="157" t="s">
        <v>2355</v>
      </c>
      <c r="L106" s="166" t="s">
        <v>2639</v>
      </c>
      <c r="M106" s="166" t="s">
        <v>2640</v>
      </c>
      <c r="N106" s="167">
        <v>81920.36</v>
      </c>
      <c r="O106" s="167">
        <v>129233.71</v>
      </c>
      <c r="P106" s="167">
        <v>81920.36</v>
      </c>
      <c r="Q106" s="167">
        <v>-81920.36</v>
      </c>
      <c r="R106" s="167">
        <f t="shared" si="8"/>
        <v>0</v>
      </c>
      <c r="S106" s="178">
        <v>1</v>
      </c>
      <c r="T106" s="167">
        <f t="shared" si="9"/>
        <v>0</v>
      </c>
      <c r="U106" s="157" t="s">
        <v>2641</v>
      </c>
      <c r="V106" s="179" t="s">
        <v>375</v>
      </c>
      <c r="W106" s="180">
        <f>IF('附表1-面积统计表'!$D$29=0,"",IF(AND(V106="共同成本费用",Z106="总建筑面积法"),ROUND(T106/'附表1-面积统计表'!$D$29*'附表1-面积统计表'!$D$5,2),IF(AND(V106="共同成本费用",Z106="可售建筑面积法"),ROUND(T106/'附表1-面积统计表'!$F$29*'附表1-面积统计表'!$F$5,2),"请手工填写")))</f>
        <v>0</v>
      </c>
      <c r="X106" s="180">
        <f>IF(SUM('附表1-面积统计表'!$D$6)=0,"",SUM(T106)-SUM(W106)-SUM(Y106))</f>
        <v>0</v>
      </c>
      <c r="Y106" s="180">
        <f>IF(SUM('附表1-面积统计表'!$D$6)=0,SUM(T106)-SUM(W106),IF('附表1-面积统计表'!$D$29=0,"",IF(AND(V106="共同成本费用",Z106="总建筑面积法"),ROUND(T106/'附表1-面积统计表'!$D$29*'附表1-面积统计表'!$D$7,2),IF(AND(V106="共同成本费用",Z106="可售建筑面积法"),ROUND(T106/'附表1-面积统计表'!$F$29*'附表1-面积统计表'!$F$7,2),"请手工填写"))))</f>
        <v>0</v>
      </c>
      <c r="Z106" s="183" t="s">
        <v>351</v>
      </c>
      <c r="AA106" s="157"/>
      <c r="AB106" s="184" t="s">
        <v>2319</v>
      </c>
      <c r="AC106" s="132">
        <f t="shared" si="6"/>
        <v>0</v>
      </c>
    </row>
    <row r="107" s="132" customFormat="1" ht="24" customHeight="1" spans="1:29">
      <c r="A107" s="150">
        <v>101</v>
      </c>
      <c r="B107" s="151">
        <v>43699</v>
      </c>
      <c r="C107" s="152" t="s">
        <v>2391</v>
      </c>
      <c r="D107" s="157" t="s">
        <v>2533</v>
      </c>
      <c r="E107" s="158" t="s">
        <v>2534</v>
      </c>
      <c r="F107" s="159" t="s">
        <v>2637</v>
      </c>
      <c r="G107" s="156"/>
      <c r="H107" s="157" t="str">
        <f>IF(G107="","",VLOOKUP(G107,'附表8-合同明细采集底稿'!B:I,2,0))</f>
        <v/>
      </c>
      <c r="I107" s="165" t="str">
        <f>IF(G107="","",VLOOKUP(G107,'附表8-合同明细采集底稿'!B:I,3,0))</f>
        <v/>
      </c>
      <c r="J107" s="187" t="s">
        <v>2638</v>
      </c>
      <c r="K107" s="157" t="s">
        <v>2355</v>
      </c>
      <c r="L107" s="166" t="s">
        <v>2639</v>
      </c>
      <c r="M107" s="166" t="s">
        <v>2642</v>
      </c>
      <c r="N107" s="167">
        <v>36663.71</v>
      </c>
      <c r="O107" s="167">
        <v>4766.29</v>
      </c>
      <c r="P107" s="167">
        <v>36663.71</v>
      </c>
      <c r="Q107" s="167">
        <v>-36663.71</v>
      </c>
      <c r="R107" s="167">
        <f t="shared" si="8"/>
        <v>0</v>
      </c>
      <c r="S107" s="178">
        <v>1</v>
      </c>
      <c r="T107" s="167">
        <f t="shared" si="9"/>
        <v>0</v>
      </c>
      <c r="U107" s="157" t="s">
        <v>2641</v>
      </c>
      <c r="V107" s="179" t="s">
        <v>375</v>
      </c>
      <c r="W107" s="180">
        <f>IF('附表1-面积统计表'!$D$29=0,"",IF(AND(V107="共同成本费用",Z107="总建筑面积法"),ROUND(T107/'附表1-面积统计表'!$D$29*'附表1-面积统计表'!$D$5,2),IF(AND(V107="共同成本费用",Z107="可售建筑面积法"),ROUND(T107/'附表1-面积统计表'!$F$29*'附表1-面积统计表'!$F$5,2),"请手工填写")))</f>
        <v>0</v>
      </c>
      <c r="X107" s="180">
        <f>IF(SUM('附表1-面积统计表'!$D$6)=0,"",SUM(T107)-SUM(W107)-SUM(Y107))</f>
        <v>0</v>
      </c>
      <c r="Y107" s="180">
        <f>IF(SUM('附表1-面积统计表'!$D$6)=0,SUM(T107)-SUM(W107),IF('附表1-面积统计表'!$D$29=0,"",IF(AND(V107="共同成本费用",Z107="总建筑面积法"),ROUND(T107/'附表1-面积统计表'!$D$29*'附表1-面积统计表'!$D$7,2),IF(AND(V107="共同成本费用",Z107="可售建筑面积法"),ROUND(T107/'附表1-面积统计表'!$F$29*'附表1-面积统计表'!$F$7,2),"请手工填写"))))</f>
        <v>0</v>
      </c>
      <c r="Z107" s="183" t="s">
        <v>351</v>
      </c>
      <c r="AA107" s="157"/>
      <c r="AB107" s="184" t="s">
        <v>2319</v>
      </c>
      <c r="AC107" s="132">
        <f t="shared" si="6"/>
        <v>0</v>
      </c>
    </row>
    <row r="108" s="132" customFormat="1" ht="24" customHeight="1" spans="1:29">
      <c r="A108" s="150">
        <v>102</v>
      </c>
      <c r="B108" s="151">
        <v>43704</v>
      </c>
      <c r="C108" s="152" t="s">
        <v>2643</v>
      </c>
      <c r="D108" s="157" t="s">
        <v>2339</v>
      </c>
      <c r="E108" s="158" t="s">
        <v>2351</v>
      </c>
      <c r="F108" s="159" t="s">
        <v>2644</v>
      </c>
      <c r="G108" s="156" t="s">
        <v>2645</v>
      </c>
      <c r="H108" s="157" t="str">
        <f>IF(G108="","",VLOOKUP(G108,'附表8-合同明细采集底稿'!B:I,2,0))</f>
        <v>专业建设工程设计合同</v>
      </c>
      <c r="I108" s="165" t="str">
        <f>IF(G108="","",VLOOKUP(G108,'附表8-合同明细采集底稿'!B:I,3,0))</f>
        <v>技术合同</v>
      </c>
      <c r="J108" s="187" t="s">
        <v>2498</v>
      </c>
      <c r="K108" s="157" t="s">
        <v>2355</v>
      </c>
      <c r="L108" s="166" t="s">
        <v>2367</v>
      </c>
      <c r="M108" s="555" t="s">
        <v>2646</v>
      </c>
      <c r="N108" s="167">
        <v>33786.41</v>
      </c>
      <c r="O108" s="167">
        <v>34800</v>
      </c>
      <c r="P108" s="167">
        <v>33786.41</v>
      </c>
      <c r="Q108" s="167"/>
      <c r="R108" s="167">
        <f t="shared" si="8"/>
        <v>33786.41</v>
      </c>
      <c r="S108" s="178">
        <f>IFERROR(VLOOKUP(G108,'附表8-合同明细采集底稿'!B:N,12,0),100%)</f>
        <v>0.338555832480367</v>
      </c>
      <c r="T108" s="167">
        <f t="shared" si="9"/>
        <v>11438.59</v>
      </c>
      <c r="U108" s="157" t="s">
        <v>2318</v>
      </c>
      <c r="V108" s="179" t="s">
        <v>375</v>
      </c>
      <c r="W108" s="180">
        <f>IF('附表1-面积统计表'!$D$29=0,"",IF(AND(V108="共同成本费用",Z108="总建筑面积法"),ROUND(T108/'附表1-面积统计表'!$D$29*'附表1-面积统计表'!$D$5,2),IF(AND(V108="共同成本费用",Z108="可售建筑面积法"),ROUND(T108/'附表1-面积统计表'!$F$29*'附表1-面积统计表'!$F$5,2),"请手工填写")))</f>
        <v>5541.57</v>
      </c>
      <c r="X108" s="180">
        <f>IF(SUM('附表1-面积统计表'!$D$6)=0,"",SUM(T108)-SUM(W108)-SUM(Y108))</f>
        <v>3666.46</v>
      </c>
      <c r="Y108" s="180">
        <f>IF(SUM('附表1-面积统计表'!$D$6)=0,SUM(T108)-SUM(W108),IF('附表1-面积统计表'!$D$29=0,"",IF(AND(V108="共同成本费用",Z108="总建筑面积法"),ROUND(T108/'附表1-面积统计表'!$D$29*'附表1-面积统计表'!$D$7,2),IF(AND(V108="共同成本费用",Z108="可售建筑面积法"),ROUND(T108/'附表1-面积统计表'!$F$29*'附表1-面积统计表'!$F$7,2),"请手工填写"))))</f>
        <v>2230.56</v>
      </c>
      <c r="Z108" s="183" t="s">
        <v>351</v>
      </c>
      <c r="AA108" s="157"/>
      <c r="AB108" s="184" t="s">
        <v>2319</v>
      </c>
      <c r="AC108" s="132">
        <f t="shared" si="6"/>
        <v>0</v>
      </c>
    </row>
    <row r="109" s="132" customFormat="1" ht="24" customHeight="1" spans="1:29">
      <c r="A109" s="150">
        <v>103</v>
      </c>
      <c r="B109" s="151">
        <v>43704</v>
      </c>
      <c r="C109" s="152" t="s">
        <v>2643</v>
      </c>
      <c r="D109" s="157" t="s">
        <v>2339</v>
      </c>
      <c r="E109" s="158" t="s">
        <v>2351</v>
      </c>
      <c r="F109" s="159" t="s">
        <v>2644</v>
      </c>
      <c r="G109" s="156" t="s">
        <v>2645</v>
      </c>
      <c r="H109" s="157" t="str">
        <f>IF(G109="","",VLOOKUP(G109,'附表8-合同明细采集底稿'!B:I,2,0))</f>
        <v>专业建设工程设计合同</v>
      </c>
      <c r="I109" s="165" t="str">
        <f>IF(G109="","",VLOOKUP(G109,'附表8-合同明细采集底稿'!B:I,3,0))</f>
        <v>技术合同</v>
      </c>
      <c r="J109" s="187" t="s">
        <v>2498</v>
      </c>
      <c r="K109" s="157" t="s">
        <v>2355</v>
      </c>
      <c r="L109" s="166" t="s">
        <v>2367</v>
      </c>
      <c r="M109" s="555" t="s">
        <v>2647</v>
      </c>
      <c r="N109" s="167">
        <v>65000</v>
      </c>
      <c r="O109" s="167">
        <v>66950</v>
      </c>
      <c r="P109" s="167">
        <v>65000</v>
      </c>
      <c r="Q109" s="167"/>
      <c r="R109" s="167">
        <f t="shared" si="8"/>
        <v>65000</v>
      </c>
      <c r="S109" s="178">
        <f>IFERROR(VLOOKUP(G109,'附表8-合同明细采集底稿'!B:N,12,0),100%)</f>
        <v>0.338555832480367</v>
      </c>
      <c r="T109" s="167">
        <f t="shared" si="9"/>
        <v>22006.13</v>
      </c>
      <c r="U109" s="157" t="s">
        <v>2318</v>
      </c>
      <c r="V109" s="179" t="s">
        <v>375</v>
      </c>
      <c r="W109" s="180">
        <f>IF('附表1-面积统计表'!$D$29=0,"",IF(AND(V109="共同成本费用",Z109="总建筑面积法"),ROUND(T109/'附表1-面积统计表'!$D$29*'附表1-面积统计表'!$D$5,2),IF(AND(V109="共同成本费用",Z109="可售建筑面积法"),ROUND(T109/'附表1-面积统计表'!$F$29*'附表1-面积统计表'!$F$5,2),"请手工填写")))</f>
        <v>10661.16</v>
      </c>
      <c r="X109" s="180">
        <f>IF(SUM('附表1-面积统计表'!$D$6)=0,"",SUM(T109)-SUM(W109)-SUM(Y109))</f>
        <v>7053.71</v>
      </c>
      <c r="Y109" s="180">
        <f>IF(SUM('附表1-面积统计表'!$D$6)=0,SUM(T109)-SUM(W109),IF('附表1-面积统计表'!$D$29=0,"",IF(AND(V109="共同成本费用",Z109="总建筑面积法"),ROUND(T109/'附表1-面积统计表'!$D$29*'附表1-面积统计表'!$D$7,2),IF(AND(V109="共同成本费用",Z109="可售建筑面积法"),ROUND(T109/'附表1-面积统计表'!$F$29*'附表1-面积统计表'!$F$7,2),"请手工填写"))))</f>
        <v>4291.26</v>
      </c>
      <c r="Z109" s="183" t="s">
        <v>351</v>
      </c>
      <c r="AA109" s="157"/>
      <c r="AB109" s="184" t="s">
        <v>2319</v>
      </c>
      <c r="AC109" s="132">
        <f t="shared" si="6"/>
        <v>0</v>
      </c>
    </row>
    <row r="110" s="132" customFormat="1" ht="24" customHeight="1" spans="1:29">
      <c r="A110" s="150">
        <v>104</v>
      </c>
      <c r="B110" s="151">
        <v>43704</v>
      </c>
      <c r="C110" s="152" t="s">
        <v>2643</v>
      </c>
      <c r="D110" s="157" t="s">
        <v>2339</v>
      </c>
      <c r="E110" s="158" t="s">
        <v>2351</v>
      </c>
      <c r="F110" s="159" t="s">
        <v>2644</v>
      </c>
      <c r="G110" s="156" t="s">
        <v>2645</v>
      </c>
      <c r="H110" s="157" t="str">
        <f>IF(G110="","",VLOOKUP(G110,'附表8-合同明细采集底稿'!B:I,2,0))</f>
        <v>专业建设工程设计合同</v>
      </c>
      <c r="I110" s="165" t="str">
        <f>IF(G110="","",VLOOKUP(G110,'附表8-合同明细采集底稿'!B:I,3,0))</f>
        <v>技术合同</v>
      </c>
      <c r="J110" s="187" t="s">
        <v>2498</v>
      </c>
      <c r="K110" s="157" t="s">
        <v>2355</v>
      </c>
      <c r="L110" s="166" t="s">
        <v>2367</v>
      </c>
      <c r="M110" s="555" t="s">
        <v>2648</v>
      </c>
      <c r="N110" s="167">
        <v>97087.38</v>
      </c>
      <c r="O110" s="167">
        <v>100000</v>
      </c>
      <c r="P110" s="167">
        <v>97087.38</v>
      </c>
      <c r="Q110" s="167"/>
      <c r="R110" s="167">
        <f t="shared" si="8"/>
        <v>97087.38</v>
      </c>
      <c r="S110" s="178">
        <f>IFERROR(VLOOKUP(G110,'附表8-合同明细采集底稿'!B:N,12,0),100%)</f>
        <v>0.338555832480367</v>
      </c>
      <c r="T110" s="167">
        <f t="shared" si="9"/>
        <v>32869.5</v>
      </c>
      <c r="U110" s="157" t="s">
        <v>2318</v>
      </c>
      <c r="V110" s="179" t="s">
        <v>375</v>
      </c>
      <c r="W110" s="180">
        <f>IF('附表1-面积统计表'!$D$29=0,"",IF(AND(V110="共同成本费用",Z110="总建筑面积法"),ROUND(T110/'附表1-面积统计表'!$D$29*'附表1-面积统计表'!$D$5,2),IF(AND(V110="共同成本费用",Z110="可售建筑面积法"),ROUND(T110/'附表1-面积统计表'!$F$29*'附表1-面积统计表'!$F$5,2),"请手工填写")))</f>
        <v>15924.06</v>
      </c>
      <c r="X110" s="180">
        <f>IF(SUM('附表1-面积统计表'!$D$6)=0,"",SUM(T110)-SUM(W110)-SUM(Y110))</f>
        <v>10535.79</v>
      </c>
      <c r="Y110" s="180">
        <f>IF(SUM('附表1-面积统计表'!$D$6)=0,SUM(T110)-SUM(W110),IF('附表1-面积统计表'!$D$29=0,"",IF(AND(V110="共同成本费用",Z110="总建筑面积法"),ROUND(T110/'附表1-面积统计表'!$D$29*'附表1-面积统计表'!$D$7,2),IF(AND(V110="共同成本费用",Z110="可售建筑面积法"),ROUND(T110/'附表1-面积统计表'!$F$29*'附表1-面积统计表'!$F$7,2),"请手工填写"))))</f>
        <v>6409.65</v>
      </c>
      <c r="Z110" s="183" t="s">
        <v>351</v>
      </c>
      <c r="AA110" s="157"/>
      <c r="AB110" s="184" t="s">
        <v>2319</v>
      </c>
      <c r="AC110" s="132">
        <f t="shared" si="6"/>
        <v>0</v>
      </c>
    </row>
    <row r="111" s="132" customFormat="1" ht="24" customHeight="1" spans="1:29">
      <c r="A111" s="150">
        <v>105</v>
      </c>
      <c r="B111" s="151">
        <v>43704</v>
      </c>
      <c r="C111" s="152" t="s">
        <v>2643</v>
      </c>
      <c r="D111" s="157" t="s">
        <v>2339</v>
      </c>
      <c r="E111" s="158" t="s">
        <v>2351</v>
      </c>
      <c r="F111" s="159" t="s">
        <v>2644</v>
      </c>
      <c r="G111" s="156" t="s">
        <v>2645</v>
      </c>
      <c r="H111" s="157" t="str">
        <f>IF(G111="","",VLOOKUP(G111,'附表8-合同明细采集底稿'!B:I,2,0))</f>
        <v>专业建设工程设计合同</v>
      </c>
      <c r="I111" s="165" t="str">
        <f>IF(G111="","",VLOOKUP(G111,'附表8-合同明细采集底稿'!B:I,3,0))</f>
        <v>技术合同</v>
      </c>
      <c r="J111" s="187" t="s">
        <v>2498</v>
      </c>
      <c r="K111" s="157" t="s">
        <v>2355</v>
      </c>
      <c r="L111" s="166" t="s">
        <v>2530</v>
      </c>
      <c r="M111" s="555" t="s">
        <v>2649</v>
      </c>
      <c r="N111" s="167">
        <v>97087.38</v>
      </c>
      <c r="O111" s="167">
        <v>100000</v>
      </c>
      <c r="P111" s="167">
        <v>97087.38</v>
      </c>
      <c r="Q111" s="167"/>
      <c r="R111" s="167">
        <f t="shared" si="8"/>
        <v>97087.38</v>
      </c>
      <c r="S111" s="178">
        <f>IFERROR(VLOOKUP(G111,'附表8-合同明细采集底稿'!B:N,12,0),100%)</f>
        <v>0.338555832480367</v>
      </c>
      <c r="T111" s="167">
        <f t="shared" si="9"/>
        <v>32869.5</v>
      </c>
      <c r="U111" s="157" t="s">
        <v>2318</v>
      </c>
      <c r="V111" s="179" t="s">
        <v>375</v>
      </c>
      <c r="W111" s="180">
        <f>IF('附表1-面积统计表'!$D$29=0,"",IF(AND(V111="共同成本费用",Z111="总建筑面积法"),ROUND(T111/'附表1-面积统计表'!$D$29*'附表1-面积统计表'!$D$5,2),IF(AND(V111="共同成本费用",Z111="可售建筑面积法"),ROUND(T111/'附表1-面积统计表'!$F$29*'附表1-面积统计表'!$F$5,2),"请手工填写")))</f>
        <v>15924.06</v>
      </c>
      <c r="X111" s="180">
        <f>IF(SUM('附表1-面积统计表'!$D$6)=0,"",SUM(T111)-SUM(W111)-SUM(Y111))</f>
        <v>10535.79</v>
      </c>
      <c r="Y111" s="180">
        <f>IF(SUM('附表1-面积统计表'!$D$6)=0,SUM(T111)-SUM(W111),IF('附表1-面积统计表'!$D$29=0,"",IF(AND(V111="共同成本费用",Z111="总建筑面积法"),ROUND(T111/'附表1-面积统计表'!$D$29*'附表1-面积统计表'!$D$7,2),IF(AND(V111="共同成本费用",Z111="可售建筑面积法"),ROUND(T111/'附表1-面积统计表'!$F$29*'附表1-面积统计表'!$F$7,2),"请手工填写"))))</f>
        <v>6409.65</v>
      </c>
      <c r="Z111" s="183" t="s">
        <v>351</v>
      </c>
      <c r="AA111" s="157"/>
      <c r="AB111" s="184" t="s">
        <v>2319</v>
      </c>
      <c r="AC111" s="132">
        <f t="shared" si="6"/>
        <v>0</v>
      </c>
    </row>
    <row r="112" s="132" customFormat="1" ht="24" customHeight="1" spans="1:29">
      <c r="A112" s="150">
        <v>106</v>
      </c>
      <c r="B112" s="151">
        <v>43705</v>
      </c>
      <c r="C112" s="152" t="s">
        <v>2650</v>
      </c>
      <c r="D112" s="157" t="s">
        <v>2346</v>
      </c>
      <c r="E112" s="158" t="s">
        <v>2501</v>
      </c>
      <c r="F112" s="159" t="s">
        <v>2651</v>
      </c>
      <c r="G112" s="156" t="s">
        <v>2652</v>
      </c>
      <c r="H112" s="157" t="str">
        <f>IF(G112="","",VLOOKUP(G112,'附表8-合同明细采集底稿'!B:I,2,0))</f>
        <v>钢槽等</v>
      </c>
      <c r="I112" s="165" t="str">
        <f>IF(G112="","",VLOOKUP(G112,'附表8-合同明细采集底稿'!B:I,3,0))</f>
        <v>其他合同</v>
      </c>
      <c r="J112" s="169" t="s">
        <v>2653</v>
      </c>
      <c r="K112" s="157" t="s">
        <v>2355</v>
      </c>
      <c r="L112" s="166" t="s">
        <v>2530</v>
      </c>
      <c r="M112" s="555" t="s">
        <v>2654</v>
      </c>
      <c r="N112" s="167">
        <v>19409.74</v>
      </c>
      <c r="O112" s="167">
        <v>21933</v>
      </c>
      <c r="P112" s="167">
        <v>19409.74</v>
      </c>
      <c r="Q112" s="167"/>
      <c r="R112" s="167">
        <f t="shared" si="8"/>
        <v>19409.74</v>
      </c>
      <c r="S112" s="178">
        <f>IFERROR(VLOOKUP(G112,'附表8-合同明细采集底稿'!B:N,12,0),100%)</f>
        <v>1</v>
      </c>
      <c r="T112" s="167">
        <f t="shared" si="9"/>
        <v>19409.74</v>
      </c>
      <c r="U112" s="157" t="s">
        <v>2344</v>
      </c>
      <c r="V112" s="179" t="s">
        <v>375</v>
      </c>
      <c r="W112" s="180">
        <f>IF('附表1-面积统计表'!$D$29=0,"",IF(AND(V112="共同成本费用",Z112="总建筑面积法"),ROUND(T112/'附表1-面积统计表'!$D$29*'附表1-面积统计表'!$D$5,2),IF(AND(V112="共同成本费用",Z112="可售建筑面积法"),ROUND(T112/'附表1-面积统计表'!$F$29*'附表1-面积统计表'!$F$5,2),"请手工填写")))</f>
        <v>9403.3</v>
      </c>
      <c r="X112" s="180">
        <f>IF(SUM('附表1-面积统计表'!$D$6)=0,"",SUM(T112)-SUM(W112)-SUM(Y112))</f>
        <v>6221.49</v>
      </c>
      <c r="Y112" s="180">
        <f>IF(SUM('附表1-面积统计表'!$D$6)=0,SUM(T112)-SUM(W112),IF('附表1-面积统计表'!$D$29=0,"",IF(AND(V112="共同成本费用",Z112="总建筑面积法"),ROUND(T112/'附表1-面积统计表'!$D$29*'附表1-面积统计表'!$D$7,2),IF(AND(V112="共同成本费用",Z112="可售建筑面积法"),ROUND(T112/'附表1-面积统计表'!$F$29*'附表1-面积统计表'!$F$7,2),"请手工填写"))))</f>
        <v>3784.95</v>
      </c>
      <c r="Z112" s="183" t="s">
        <v>351</v>
      </c>
      <c r="AA112" s="157"/>
      <c r="AB112" s="184" t="s">
        <v>2319</v>
      </c>
      <c r="AC112" s="132">
        <f t="shared" si="6"/>
        <v>0</v>
      </c>
    </row>
    <row r="113" s="132" customFormat="1" ht="24" customHeight="1" spans="1:29">
      <c r="A113" s="150">
        <v>107</v>
      </c>
      <c r="B113" s="151">
        <v>43705</v>
      </c>
      <c r="C113" s="152" t="s">
        <v>2655</v>
      </c>
      <c r="D113" s="157" t="s">
        <v>2346</v>
      </c>
      <c r="E113" s="158" t="s">
        <v>2656</v>
      </c>
      <c r="F113" s="159" t="s">
        <v>2657</v>
      </c>
      <c r="G113" s="156" t="s">
        <v>2658</v>
      </c>
      <c r="H113" s="157" t="str">
        <f>IF(G113="","",VLOOKUP(G113,'附表8-合同明细采集底稿'!B:I,2,0))</f>
        <v>附属亮化设施合同</v>
      </c>
      <c r="I113" s="165" t="str">
        <f>IF(G113="","",VLOOKUP(G113,'附表8-合同明细采集底稿'!B:I,3,0))</f>
        <v>建设工程合同</v>
      </c>
      <c r="J113" s="169" t="s">
        <v>2659</v>
      </c>
      <c r="K113" s="157" t="s">
        <v>2355</v>
      </c>
      <c r="L113" s="166">
        <v>4400192130</v>
      </c>
      <c r="M113" s="166">
        <v>12142025</v>
      </c>
      <c r="N113" s="167">
        <v>58690.26</v>
      </c>
      <c r="O113" s="167">
        <v>66320</v>
      </c>
      <c r="P113" s="167">
        <v>58690.26</v>
      </c>
      <c r="Q113" s="167"/>
      <c r="R113" s="167">
        <f t="shared" si="8"/>
        <v>58690.26</v>
      </c>
      <c r="S113" s="178">
        <f>IFERROR(VLOOKUP(G113,'附表8-合同明细采集底稿'!B:N,12,0),100%)</f>
        <v>1</v>
      </c>
      <c r="T113" s="167">
        <f t="shared" si="9"/>
        <v>58690.26</v>
      </c>
      <c r="U113" s="157" t="s">
        <v>2416</v>
      </c>
      <c r="V113" s="179" t="s">
        <v>374</v>
      </c>
      <c r="W113" s="182">
        <f>ROUND(T113*成本分摊比例!$G$13/(成本分摊比例!$G$13+成本分摊比例!$H$13+成本分摊比例!$I$13),2)</f>
        <v>31710.45</v>
      </c>
      <c r="X113" s="182">
        <f>ROUND(T113*成本分摊比例!$H$13/(成本分摊比例!$G$13+成本分摊比例!$H$13+成本分摊比例!$I$13),2)</f>
        <v>20980.51</v>
      </c>
      <c r="Y113" s="182">
        <f>T113-W113-X113</f>
        <v>5999.3</v>
      </c>
      <c r="Z113" s="183" t="s">
        <v>2406</v>
      </c>
      <c r="AA113" s="157"/>
      <c r="AB113" s="184" t="s">
        <v>2319</v>
      </c>
      <c r="AC113" s="132">
        <f t="shared" si="6"/>
        <v>0</v>
      </c>
    </row>
    <row r="114" s="132" customFormat="1" ht="24" customHeight="1" spans="1:29">
      <c r="A114" s="150">
        <v>108</v>
      </c>
      <c r="B114" s="151">
        <v>43711</v>
      </c>
      <c r="C114" s="152" t="s">
        <v>2630</v>
      </c>
      <c r="D114" s="157" t="s">
        <v>2346</v>
      </c>
      <c r="E114" s="158" t="s">
        <v>2506</v>
      </c>
      <c r="F114" s="159" t="s">
        <v>2660</v>
      </c>
      <c r="G114" s="156" t="s">
        <v>2661</v>
      </c>
      <c r="H114" s="157" t="str">
        <f>IF(G114="","",VLOOKUP(G114,'附表8-合同明细采集底稿'!B:I,2,0))</f>
        <v>景观用钢材</v>
      </c>
      <c r="I114" s="165" t="str">
        <f>IF(G114="","",VLOOKUP(G114,'附表8-合同明细采集底稿'!B:I,3,0))</f>
        <v>其他合同</v>
      </c>
      <c r="J114" s="169" t="s">
        <v>2662</v>
      </c>
      <c r="K114" s="157" t="s">
        <v>2335</v>
      </c>
      <c r="L114" s="168" t="s">
        <v>2336</v>
      </c>
      <c r="M114" s="166">
        <v>14857018</v>
      </c>
      <c r="N114" s="167">
        <v>1200</v>
      </c>
      <c r="O114" s="167">
        <v>1200</v>
      </c>
      <c r="P114" s="167">
        <v>1200</v>
      </c>
      <c r="Q114" s="167">
        <v>-1200</v>
      </c>
      <c r="R114" s="167">
        <f t="shared" si="8"/>
        <v>0</v>
      </c>
      <c r="S114" s="178">
        <f>IFERROR(VLOOKUP(G114,'附表8-合同明细采集底稿'!B:N,12,0),100%)</f>
        <v>1</v>
      </c>
      <c r="T114" s="167">
        <f t="shared" si="9"/>
        <v>0</v>
      </c>
      <c r="U114" s="157" t="s">
        <v>2344</v>
      </c>
      <c r="V114" s="179" t="s">
        <v>375</v>
      </c>
      <c r="W114" s="180">
        <f>IF('附表1-面积统计表'!$D$29=0,"",IF(AND(V114="共同成本费用",Z114="总建筑面积法"),ROUND(T114/'附表1-面积统计表'!$D$29*'附表1-面积统计表'!$D$5,2),IF(AND(V114="共同成本费用",Z114="可售建筑面积法"),ROUND(T114/'附表1-面积统计表'!$F$29*'附表1-面积统计表'!$F$5,2),"请手工填写")))</f>
        <v>0</v>
      </c>
      <c r="X114" s="180">
        <f>IF(SUM('附表1-面积统计表'!$D$6)=0,"",SUM(T114)-SUM(W114)-SUM(Y114))</f>
        <v>0</v>
      </c>
      <c r="Y114" s="180">
        <f>IF(SUM('附表1-面积统计表'!$D$6)=0,SUM(T114)-SUM(W114),IF('附表1-面积统计表'!$D$29=0,"",IF(AND(V114="共同成本费用",Z114="总建筑面积法"),ROUND(T114/'附表1-面积统计表'!$D$29*'附表1-面积统计表'!$D$7,2),IF(AND(V114="共同成本费用",Z114="可售建筑面积法"),ROUND(T114/'附表1-面积统计表'!$F$29*'附表1-面积统计表'!$F$7,2),"请手工填写"))))</f>
        <v>0</v>
      </c>
      <c r="Z114" s="183" t="s">
        <v>351</v>
      </c>
      <c r="AA114" s="157"/>
      <c r="AB114" s="184" t="s">
        <v>2319</v>
      </c>
      <c r="AC114" s="132">
        <f t="shared" si="6"/>
        <v>0</v>
      </c>
    </row>
    <row r="115" s="132" customFormat="1" ht="24" customHeight="1" spans="1:29">
      <c r="A115" s="150">
        <v>109</v>
      </c>
      <c r="B115" s="151">
        <v>43711</v>
      </c>
      <c r="C115" s="152" t="s">
        <v>2338</v>
      </c>
      <c r="D115" s="157" t="s">
        <v>2533</v>
      </c>
      <c r="E115" s="158" t="s">
        <v>2564</v>
      </c>
      <c r="F115" s="159" t="s">
        <v>2613</v>
      </c>
      <c r="G115" s="186" t="s">
        <v>2614</v>
      </c>
      <c r="H115" s="157" t="str">
        <f>IF(G115="","",VLOOKUP(G115,'附表8-合同明细采集底稿'!B:I,2,0))</f>
        <v>沁春锦苑1#35#、大门楼施工协议（1#.35#）</v>
      </c>
      <c r="I115" s="165" t="str">
        <f>IF(G115="","",VLOOKUP(G115,'附表8-合同明细采集底稿'!B:I,3,0))</f>
        <v>建设工程合同</v>
      </c>
      <c r="J115" s="187" t="s">
        <v>151</v>
      </c>
      <c r="K115" s="157" t="s">
        <v>2355</v>
      </c>
      <c r="L115" s="166">
        <v>6500191130</v>
      </c>
      <c r="M115" s="555" t="s">
        <v>2663</v>
      </c>
      <c r="N115" s="167">
        <v>366972.48</v>
      </c>
      <c r="O115" s="167">
        <v>400000</v>
      </c>
      <c r="P115" s="167">
        <v>366972.48</v>
      </c>
      <c r="Q115" s="167"/>
      <c r="R115" s="167">
        <f t="shared" si="8"/>
        <v>366972.48</v>
      </c>
      <c r="S115" s="178">
        <f>IFERROR(VLOOKUP(G115,'附表8-合同明细采集底稿'!B:N,12,0),100%)</f>
        <v>1</v>
      </c>
      <c r="T115" s="167">
        <f t="shared" si="9"/>
        <v>366972.48</v>
      </c>
      <c r="U115" s="157" t="s">
        <v>2405</v>
      </c>
      <c r="V115" s="179" t="s">
        <v>374</v>
      </c>
      <c r="W115" s="181">
        <v>0</v>
      </c>
      <c r="X115" s="181">
        <v>0</v>
      </c>
      <c r="Y115" s="181">
        <v>366972.48</v>
      </c>
      <c r="Z115" s="183" t="s">
        <v>2406</v>
      </c>
      <c r="AA115" s="157"/>
      <c r="AB115" s="184" t="s">
        <v>2319</v>
      </c>
      <c r="AC115" s="132">
        <f t="shared" si="6"/>
        <v>0</v>
      </c>
    </row>
    <row r="116" s="132" customFormat="1" ht="24" customHeight="1" spans="1:29">
      <c r="A116" s="150">
        <v>110</v>
      </c>
      <c r="B116" s="151">
        <v>43711</v>
      </c>
      <c r="C116" s="152" t="s">
        <v>2450</v>
      </c>
      <c r="D116" s="157" t="s">
        <v>2346</v>
      </c>
      <c r="E116" s="158" t="s">
        <v>2501</v>
      </c>
      <c r="F116" s="159" t="s">
        <v>2664</v>
      </c>
      <c r="G116" s="156" t="s">
        <v>2560</v>
      </c>
      <c r="H116" s="157" t="str">
        <f>IF(G116="","",VLOOKUP(G116,'附表8-合同明细采集底稿'!B:I,2,0))</f>
        <v>一期景观混凝土</v>
      </c>
      <c r="I116" s="165" t="str">
        <f>IF(G116="","",VLOOKUP(G116,'附表8-合同明细采集底稿'!B:I,3,0))</f>
        <v>其他合同</v>
      </c>
      <c r="J116" s="169" t="s">
        <v>2561</v>
      </c>
      <c r="K116" s="157" t="s">
        <v>2355</v>
      </c>
      <c r="L116" s="166">
        <v>6500191130</v>
      </c>
      <c r="M116" s="555" t="s">
        <v>2665</v>
      </c>
      <c r="N116" s="167">
        <v>63575.22</v>
      </c>
      <c r="O116" s="167">
        <v>71840</v>
      </c>
      <c r="P116" s="167">
        <v>63575.22</v>
      </c>
      <c r="Q116" s="167"/>
      <c r="R116" s="167">
        <f t="shared" si="8"/>
        <v>63575.22</v>
      </c>
      <c r="S116" s="178">
        <f>IFERROR(VLOOKUP(G116,'附表8-合同明细采集底稿'!B:N,12,0),100%)</f>
        <v>1</v>
      </c>
      <c r="T116" s="167">
        <f t="shared" si="9"/>
        <v>63575.22</v>
      </c>
      <c r="U116" s="157" t="s">
        <v>2344</v>
      </c>
      <c r="V116" s="179" t="s">
        <v>375</v>
      </c>
      <c r="W116" s="180">
        <f>IF('附表1-面积统计表'!$D$29=0,"",IF(AND(V116="共同成本费用",Z116="总建筑面积法"),ROUND(T116/'附表1-面积统计表'!$D$29*'附表1-面积统计表'!$D$5,2),IF(AND(V116="共同成本费用",Z116="可售建筑面积法"),ROUND(T116/'附表1-面积统计表'!$F$29*'附表1-面积统计表'!$F$5,2),"请手工填写")))</f>
        <v>30799.85</v>
      </c>
      <c r="X116" s="180">
        <f>IF(SUM('附表1-面积统计表'!$D$6)=0,"",SUM(T116)-SUM(W116)-SUM(Y116))</f>
        <v>20378.02</v>
      </c>
      <c r="Y116" s="180">
        <f>IF(SUM('附表1-面积统计表'!$D$6)=0,SUM(T116)-SUM(W116),IF('附表1-面积统计表'!$D$29=0,"",IF(AND(V116="共同成本费用",Z116="总建筑面积法"),ROUND(T116/'附表1-面积统计表'!$D$29*'附表1-面积统计表'!$D$7,2),IF(AND(V116="共同成本费用",Z116="可售建筑面积法"),ROUND(T116/'附表1-面积统计表'!$F$29*'附表1-面积统计表'!$F$7,2),"请手工填写"))))</f>
        <v>12397.35</v>
      </c>
      <c r="Z116" s="183" t="s">
        <v>351</v>
      </c>
      <c r="AA116" s="157"/>
      <c r="AB116" s="184" t="s">
        <v>2319</v>
      </c>
      <c r="AC116" s="132">
        <f t="shared" si="6"/>
        <v>0</v>
      </c>
    </row>
    <row r="117" s="132" customFormat="1" ht="24" customHeight="1" spans="1:29">
      <c r="A117" s="150">
        <v>111</v>
      </c>
      <c r="B117" s="151">
        <v>43718</v>
      </c>
      <c r="C117" s="152" t="s">
        <v>2666</v>
      </c>
      <c r="D117" s="157" t="s">
        <v>2470</v>
      </c>
      <c r="E117" s="158" t="s">
        <v>2471</v>
      </c>
      <c r="F117" s="159" t="s">
        <v>2667</v>
      </c>
      <c r="G117" s="156" t="s">
        <v>2548</v>
      </c>
      <c r="H117" s="157" t="str">
        <f>IF(G117="","",VLOOKUP(G117,'附表8-合同明细采集底稿'!B:I,2,0))</f>
        <v>建设工程监理合同</v>
      </c>
      <c r="I117" s="165" t="str">
        <f>IF(G117="","",VLOOKUP(G117,'附表8-合同明细采集底稿'!B:I,3,0))</f>
        <v>技术合同</v>
      </c>
      <c r="J117" s="154" t="s">
        <v>2549</v>
      </c>
      <c r="K117" s="157" t="s">
        <v>2355</v>
      </c>
      <c r="L117" s="166">
        <v>6500182160</v>
      </c>
      <c r="M117" s="555" t="s">
        <v>2668</v>
      </c>
      <c r="N117" s="167">
        <v>67252.43</v>
      </c>
      <c r="O117" s="167">
        <v>69270</v>
      </c>
      <c r="P117" s="167">
        <v>67252.43</v>
      </c>
      <c r="Q117" s="167"/>
      <c r="R117" s="167">
        <f t="shared" si="8"/>
        <v>67252.43</v>
      </c>
      <c r="S117" s="178">
        <f>IFERROR(VLOOKUP(G117,'附表8-合同明细采集底稿'!B:N,12,0),100%)</f>
        <v>1</v>
      </c>
      <c r="T117" s="167">
        <f t="shared" si="9"/>
        <v>67252.43</v>
      </c>
      <c r="U117" s="157" t="s">
        <v>2344</v>
      </c>
      <c r="V117" s="179" t="s">
        <v>375</v>
      </c>
      <c r="W117" s="180">
        <f>IF('附表1-面积统计表'!$D$29=0,"",IF(AND(V117="共同成本费用",Z117="总建筑面积法"),ROUND(T117/'附表1-面积统计表'!$D$29*'附表1-面积统计表'!$D$5,2),IF(AND(V117="共同成本费用",Z117="可售建筑面积法"),ROUND(T117/'附表1-面积统计表'!$F$29*'附表1-面积统计表'!$F$5,2),"请手工填写")))</f>
        <v>32581.32</v>
      </c>
      <c r="X117" s="180">
        <f>IF(SUM('附表1-面积统计表'!$D$6)=0,"",SUM(T117)-SUM(W117)-SUM(Y117))</f>
        <v>21556.7</v>
      </c>
      <c r="Y117" s="180">
        <f>IF(SUM('附表1-面积统计表'!$D$6)=0,SUM(T117)-SUM(W117),IF('附表1-面积统计表'!$D$29=0,"",IF(AND(V117="共同成本费用",Z117="总建筑面积法"),ROUND(T117/'附表1-面积统计表'!$D$29*'附表1-面积统计表'!$D$7,2),IF(AND(V117="共同成本费用",Z117="可售建筑面积法"),ROUND(T117/'附表1-面积统计表'!$F$29*'附表1-面积统计表'!$F$7,2),"请手工填写"))))</f>
        <v>13114.41</v>
      </c>
      <c r="Z117" s="183" t="s">
        <v>351</v>
      </c>
      <c r="AA117" s="157"/>
      <c r="AB117" s="184" t="s">
        <v>2319</v>
      </c>
      <c r="AC117" s="132">
        <f t="shared" si="6"/>
        <v>0</v>
      </c>
    </row>
    <row r="118" s="132" customFormat="1" ht="24" customHeight="1" spans="1:29">
      <c r="A118" s="150">
        <v>112</v>
      </c>
      <c r="B118" s="151">
        <v>43718</v>
      </c>
      <c r="C118" s="152" t="s">
        <v>2669</v>
      </c>
      <c r="D118" s="157" t="s">
        <v>2470</v>
      </c>
      <c r="E118" s="158" t="s">
        <v>2471</v>
      </c>
      <c r="F118" s="159" t="s">
        <v>2547</v>
      </c>
      <c r="G118" s="156" t="s">
        <v>2548</v>
      </c>
      <c r="H118" s="157" t="str">
        <f>IF(G118="","",VLOOKUP(G118,'附表8-合同明细采集底稿'!B:I,2,0))</f>
        <v>建设工程监理合同</v>
      </c>
      <c r="I118" s="165" t="str">
        <f>IF(G118="","",VLOOKUP(G118,'附表8-合同明细采集底稿'!B:I,3,0))</f>
        <v>技术合同</v>
      </c>
      <c r="J118" s="154" t="s">
        <v>2549</v>
      </c>
      <c r="K118" s="157" t="s">
        <v>2355</v>
      </c>
      <c r="L118" s="166">
        <v>6500182160</v>
      </c>
      <c r="M118" s="555" t="s">
        <v>2670</v>
      </c>
      <c r="N118" s="167">
        <v>44481.55</v>
      </c>
      <c r="O118" s="167">
        <v>45816</v>
      </c>
      <c r="P118" s="167">
        <v>44481.55</v>
      </c>
      <c r="Q118" s="167"/>
      <c r="R118" s="167">
        <f t="shared" si="8"/>
        <v>44481.55</v>
      </c>
      <c r="S118" s="178">
        <f>IFERROR(VLOOKUP(G118,'附表8-合同明细采集底稿'!B:N,12,0),100%)</f>
        <v>1</v>
      </c>
      <c r="T118" s="167">
        <f t="shared" si="9"/>
        <v>44481.55</v>
      </c>
      <c r="U118" s="157" t="s">
        <v>2344</v>
      </c>
      <c r="V118" s="179" t="s">
        <v>375</v>
      </c>
      <c r="W118" s="180">
        <f>IF('附表1-面积统计表'!$D$29=0,"",IF(AND(V118="共同成本费用",Z118="总建筑面积法"),ROUND(T118/'附表1-面积统计表'!$D$29*'附表1-面积统计表'!$D$5,2),IF(AND(V118="共同成本费用",Z118="可售建筑面积法"),ROUND(T118/'附表1-面积统计表'!$F$29*'附表1-面积统计表'!$F$5,2),"请手工填写")))</f>
        <v>21549.67</v>
      </c>
      <c r="X118" s="180">
        <f>IF(SUM('附表1-面积统计表'!$D$6)=0,"",SUM(T118)-SUM(W118)-SUM(Y118))</f>
        <v>14257.85</v>
      </c>
      <c r="Y118" s="180">
        <f>IF(SUM('附表1-面积统计表'!$D$6)=0,SUM(T118)-SUM(W118),IF('附表1-面积统计表'!$D$29=0,"",IF(AND(V118="共同成本费用",Z118="总建筑面积法"),ROUND(T118/'附表1-面积统计表'!$D$29*'附表1-面积统计表'!$D$7,2),IF(AND(V118="共同成本费用",Z118="可售建筑面积法"),ROUND(T118/'附表1-面积统计表'!$F$29*'附表1-面积统计表'!$F$7,2),"请手工填写"))))</f>
        <v>8674.03</v>
      </c>
      <c r="Z118" s="183" t="s">
        <v>351</v>
      </c>
      <c r="AA118" s="157"/>
      <c r="AB118" s="184" t="s">
        <v>2319</v>
      </c>
      <c r="AC118" s="132">
        <f t="shared" si="6"/>
        <v>0</v>
      </c>
    </row>
    <row r="119" s="132" customFormat="1" ht="24" customHeight="1" spans="1:29">
      <c r="A119" s="150">
        <v>113</v>
      </c>
      <c r="B119" s="151">
        <v>43718</v>
      </c>
      <c r="C119" s="152" t="s">
        <v>2532</v>
      </c>
      <c r="D119" s="157" t="s">
        <v>2533</v>
      </c>
      <c r="E119" s="158" t="s">
        <v>2564</v>
      </c>
      <c r="F119" s="159" t="s">
        <v>2671</v>
      </c>
      <c r="G119" s="156" t="s">
        <v>2672</v>
      </c>
      <c r="H119" s="157" t="str">
        <f>IF(G119="","",VLOOKUP(G119,'附表8-合同明细采集底稿'!B:I,2,0))</f>
        <v>沁春锦苑楼19#20#23#24#施工协议</v>
      </c>
      <c r="I119" s="165" t="str">
        <f>IF(G119="","",VLOOKUP(G119,'附表8-合同明细采集底稿'!B:I,3,0))</f>
        <v>建设工程合同</v>
      </c>
      <c r="J119" s="187" t="s">
        <v>144</v>
      </c>
      <c r="K119" s="157" t="s">
        <v>2355</v>
      </c>
      <c r="L119" s="166">
        <v>6500191130</v>
      </c>
      <c r="M119" s="555" t="s">
        <v>2673</v>
      </c>
      <c r="N119" s="167">
        <v>917431.19</v>
      </c>
      <c r="O119" s="167">
        <v>1000000</v>
      </c>
      <c r="P119" s="167">
        <v>917431.19</v>
      </c>
      <c r="Q119" s="167"/>
      <c r="R119" s="167">
        <f t="shared" si="8"/>
        <v>917431.19</v>
      </c>
      <c r="S119" s="178">
        <f>IFERROR(VLOOKUP(G119,'附表8-合同明细采集底稿'!B:N,12,0),100%)</f>
        <v>1</v>
      </c>
      <c r="T119" s="167">
        <f t="shared" si="9"/>
        <v>917431.19</v>
      </c>
      <c r="U119" s="157" t="s">
        <v>2416</v>
      </c>
      <c r="V119" s="179" t="s">
        <v>374</v>
      </c>
      <c r="W119" s="182">
        <f>ROUND(T119*成本分摊比例!$G$13/(成本分摊比例!$G$13+成本分摊比例!$H$13+成本分摊比例!$I$13),2)</f>
        <v>495689.7</v>
      </c>
      <c r="X119" s="182">
        <f>ROUND(T119*成本分摊比例!$H$13/(成本分摊比例!$G$13+成本分摊比例!$H$13+成本分摊比例!$I$13),2)</f>
        <v>327961.96</v>
      </c>
      <c r="Y119" s="182">
        <f t="shared" ref="Y119:Y124" si="10">T119-W119-X119</f>
        <v>93779.5299999999</v>
      </c>
      <c r="Z119" s="183" t="s">
        <v>2406</v>
      </c>
      <c r="AA119" s="157"/>
      <c r="AB119" s="184" t="s">
        <v>2319</v>
      </c>
      <c r="AC119" s="132">
        <f t="shared" si="6"/>
        <v>0</v>
      </c>
    </row>
    <row r="120" s="132" customFormat="1" ht="24" customHeight="1" spans="1:29">
      <c r="A120" s="150">
        <v>114</v>
      </c>
      <c r="B120" s="151">
        <v>43718</v>
      </c>
      <c r="C120" s="152" t="s">
        <v>2532</v>
      </c>
      <c r="D120" s="157" t="s">
        <v>2533</v>
      </c>
      <c r="E120" s="158" t="s">
        <v>2564</v>
      </c>
      <c r="F120" s="159" t="s">
        <v>2671</v>
      </c>
      <c r="G120" s="156" t="s">
        <v>2672</v>
      </c>
      <c r="H120" s="157" t="str">
        <f>IF(G120="","",VLOOKUP(G120,'附表8-合同明细采集底稿'!B:I,2,0))</f>
        <v>沁春锦苑楼19#20#23#24#施工协议</v>
      </c>
      <c r="I120" s="165" t="str">
        <f>IF(G120="","",VLOOKUP(G120,'附表8-合同明细采集底稿'!B:I,3,0))</f>
        <v>建设工程合同</v>
      </c>
      <c r="J120" s="187" t="s">
        <v>144</v>
      </c>
      <c r="K120" s="157" t="s">
        <v>2355</v>
      </c>
      <c r="L120" s="166">
        <v>6500191130</v>
      </c>
      <c r="M120" s="555" t="s">
        <v>2674</v>
      </c>
      <c r="N120" s="167">
        <v>917431.19</v>
      </c>
      <c r="O120" s="167">
        <v>1000000</v>
      </c>
      <c r="P120" s="167">
        <v>917431.19</v>
      </c>
      <c r="Q120" s="167"/>
      <c r="R120" s="167">
        <f t="shared" si="8"/>
        <v>917431.19</v>
      </c>
      <c r="S120" s="178">
        <f>IFERROR(VLOOKUP(G120,'附表8-合同明细采集底稿'!B:N,12,0),100%)</f>
        <v>1</v>
      </c>
      <c r="T120" s="167">
        <f t="shared" si="9"/>
        <v>917431.19</v>
      </c>
      <c r="U120" s="157" t="s">
        <v>2416</v>
      </c>
      <c r="V120" s="179" t="s">
        <v>374</v>
      </c>
      <c r="W120" s="182">
        <f>ROUND(T120*成本分摊比例!$G$13/(成本分摊比例!$G$13+成本分摊比例!$H$13+成本分摊比例!$I$13),2)</f>
        <v>495689.7</v>
      </c>
      <c r="X120" s="182">
        <f>ROUND(T120*成本分摊比例!$H$13/(成本分摊比例!$G$13+成本分摊比例!$H$13+成本分摊比例!$I$13),2)</f>
        <v>327961.96</v>
      </c>
      <c r="Y120" s="182">
        <f t="shared" si="10"/>
        <v>93779.5299999999</v>
      </c>
      <c r="Z120" s="183" t="s">
        <v>2406</v>
      </c>
      <c r="AA120" s="157"/>
      <c r="AB120" s="184" t="s">
        <v>2319</v>
      </c>
      <c r="AC120" s="132">
        <f t="shared" si="6"/>
        <v>0</v>
      </c>
    </row>
    <row r="121" s="132" customFormat="1" ht="24" customHeight="1" spans="1:29">
      <c r="A121" s="150">
        <v>115</v>
      </c>
      <c r="B121" s="151">
        <v>43718</v>
      </c>
      <c r="C121" s="152" t="s">
        <v>2532</v>
      </c>
      <c r="D121" s="157" t="s">
        <v>2533</v>
      </c>
      <c r="E121" s="158" t="s">
        <v>2564</v>
      </c>
      <c r="F121" s="159" t="s">
        <v>2671</v>
      </c>
      <c r="G121" s="156" t="s">
        <v>2672</v>
      </c>
      <c r="H121" s="157" t="str">
        <f>IF(G121="","",VLOOKUP(G121,'附表8-合同明细采集底稿'!B:I,2,0))</f>
        <v>沁春锦苑楼19#20#23#24#施工协议</v>
      </c>
      <c r="I121" s="165" t="str">
        <f>IF(G121="","",VLOOKUP(G121,'附表8-合同明细采集底稿'!B:I,3,0))</f>
        <v>建设工程合同</v>
      </c>
      <c r="J121" s="187" t="s">
        <v>144</v>
      </c>
      <c r="K121" s="157" t="s">
        <v>2355</v>
      </c>
      <c r="L121" s="166">
        <v>6500191130</v>
      </c>
      <c r="M121" s="555" t="s">
        <v>2675</v>
      </c>
      <c r="N121" s="167">
        <v>917431.19</v>
      </c>
      <c r="O121" s="167">
        <v>1000000</v>
      </c>
      <c r="P121" s="167">
        <v>917431.19</v>
      </c>
      <c r="Q121" s="167"/>
      <c r="R121" s="167">
        <f t="shared" si="8"/>
        <v>917431.19</v>
      </c>
      <c r="S121" s="178">
        <f>IFERROR(VLOOKUP(G121,'附表8-合同明细采集底稿'!B:N,12,0),100%)</f>
        <v>1</v>
      </c>
      <c r="T121" s="167">
        <f t="shared" si="9"/>
        <v>917431.19</v>
      </c>
      <c r="U121" s="157" t="s">
        <v>2416</v>
      </c>
      <c r="V121" s="179" t="s">
        <v>374</v>
      </c>
      <c r="W121" s="182">
        <f>ROUND(T121*成本分摊比例!$G$13/(成本分摊比例!$G$13+成本分摊比例!$H$13+成本分摊比例!$I$13),2)</f>
        <v>495689.7</v>
      </c>
      <c r="X121" s="182">
        <f>ROUND(T121*成本分摊比例!$H$13/(成本分摊比例!$G$13+成本分摊比例!$H$13+成本分摊比例!$I$13),2)</f>
        <v>327961.96</v>
      </c>
      <c r="Y121" s="182">
        <f t="shared" si="10"/>
        <v>93779.5299999999</v>
      </c>
      <c r="Z121" s="183" t="s">
        <v>2406</v>
      </c>
      <c r="AA121" s="157"/>
      <c r="AB121" s="184" t="s">
        <v>2319</v>
      </c>
      <c r="AC121" s="132">
        <f t="shared" si="6"/>
        <v>0</v>
      </c>
    </row>
    <row r="122" s="132" customFormat="1" ht="24" customHeight="1" spans="1:29">
      <c r="A122" s="150">
        <v>116</v>
      </c>
      <c r="B122" s="151">
        <v>43718</v>
      </c>
      <c r="C122" s="152" t="s">
        <v>2532</v>
      </c>
      <c r="D122" s="157" t="s">
        <v>2533</v>
      </c>
      <c r="E122" s="158" t="s">
        <v>2564</v>
      </c>
      <c r="F122" s="159" t="s">
        <v>2671</v>
      </c>
      <c r="G122" s="156" t="s">
        <v>2672</v>
      </c>
      <c r="H122" s="157" t="str">
        <f>IF(G122="","",VLOOKUP(G122,'附表8-合同明细采集底稿'!B:I,2,0))</f>
        <v>沁春锦苑楼19#20#23#24#施工协议</v>
      </c>
      <c r="I122" s="165" t="str">
        <f>IF(G122="","",VLOOKUP(G122,'附表8-合同明细采集底稿'!B:I,3,0))</f>
        <v>建设工程合同</v>
      </c>
      <c r="J122" s="187" t="s">
        <v>144</v>
      </c>
      <c r="K122" s="157" t="s">
        <v>2355</v>
      </c>
      <c r="L122" s="166">
        <v>6500191130</v>
      </c>
      <c r="M122" s="555" t="s">
        <v>2676</v>
      </c>
      <c r="N122" s="167">
        <v>917431.19</v>
      </c>
      <c r="O122" s="167">
        <v>1000000</v>
      </c>
      <c r="P122" s="167">
        <v>917431.19</v>
      </c>
      <c r="Q122" s="167"/>
      <c r="R122" s="167">
        <f t="shared" si="8"/>
        <v>917431.19</v>
      </c>
      <c r="S122" s="178">
        <f>IFERROR(VLOOKUP(G122,'附表8-合同明细采集底稿'!B:N,12,0),100%)</f>
        <v>1</v>
      </c>
      <c r="T122" s="167">
        <f t="shared" si="9"/>
        <v>917431.19</v>
      </c>
      <c r="U122" s="157" t="s">
        <v>2416</v>
      </c>
      <c r="V122" s="179" t="s">
        <v>374</v>
      </c>
      <c r="W122" s="182">
        <f>ROUND(T122*成本分摊比例!$G$13/(成本分摊比例!$G$13+成本分摊比例!$H$13+成本分摊比例!$I$13),2)</f>
        <v>495689.7</v>
      </c>
      <c r="X122" s="182">
        <f>ROUND(T122*成本分摊比例!$H$13/(成本分摊比例!$G$13+成本分摊比例!$H$13+成本分摊比例!$I$13),2)</f>
        <v>327961.96</v>
      </c>
      <c r="Y122" s="182">
        <f t="shared" si="10"/>
        <v>93779.5299999999</v>
      </c>
      <c r="Z122" s="183" t="s">
        <v>2406</v>
      </c>
      <c r="AA122" s="157"/>
      <c r="AB122" s="184" t="s">
        <v>2319</v>
      </c>
      <c r="AC122" s="132">
        <f t="shared" si="6"/>
        <v>0</v>
      </c>
    </row>
    <row r="123" s="132" customFormat="1" ht="24" customHeight="1" spans="1:29">
      <c r="A123" s="150">
        <v>117</v>
      </c>
      <c r="B123" s="151">
        <v>43718</v>
      </c>
      <c r="C123" s="152" t="s">
        <v>2532</v>
      </c>
      <c r="D123" s="157" t="s">
        <v>2533</v>
      </c>
      <c r="E123" s="158" t="s">
        <v>2564</v>
      </c>
      <c r="F123" s="159" t="s">
        <v>2671</v>
      </c>
      <c r="G123" s="156" t="s">
        <v>2672</v>
      </c>
      <c r="H123" s="157" t="str">
        <f>IF(G123="","",VLOOKUP(G123,'附表8-合同明细采集底稿'!B:I,2,0))</f>
        <v>沁春锦苑楼19#20#23#24#施工协议</v>
      </c>
      <c r="I123" s="165" t="str">
        <f>IF(G123="","",VLOOKUP(G123,'附表8-合同明细采集底稿'!B:I,3,0))</f>
        <v>建设工程合同</v>
      </c>
      <c r="J123" s="187" t="s">
        <v>144</v>
      </c>
      <c r="K123" s="157" t="s">
        <v>2355</v>
      </c>
      <c r="L123" s="166">
        <v>6500191130</v>
      </c>
      <c r="M123" s="555" t="s">
        <v>2677</v>
      </c>
      <c r="N123" s="167">
        <v>412844.04</v>
      </c>
      <c r="O123" s="167">
        <v>450000</v>
      </c>
      <c r="P123" s="167">
        <v>412844.04</v>
      </c>
      <c r="Q123" s="167"/>
      <c r="R123" s="167">
        <f t="shared" si="8"/>
        <v>412844.04</v>
      </c>
      <c r="S123" s="178">
        <f>IFERROR(VLOOKUP(G123,'附表8-合同明细采集底稿'!B:N,12,0),100%)</f>
        <v>1</v>
      </c>
      <c r="T123" s="167">
        <f t="shared" si="9"/>
        <v>412844.04</v>
      </c>
      <c r="U123" s="157" t="s">
        <v>2416</v>
      </c>
      <c r="V123" s="179" t="s">
        <v>374</v>
      </c>
      <c r="W123" s="182">
        <f>ROUND(T123*成本分摊比例!$G$13/(成本分摊比例!$G$13+成本分摊比例!$H$13+成本分摊比例!$I$13),2)</f>
        <v>223060.37</v>
      </c>
      <c r="X123" s="182">
        <f>ROUND(T123*成本分摊比例!$H$13/(成本分摊比例!$G$13+成本分摊比例!$H$13+成本分摊比例!$I$13),2)</f>
        <v>147582.88</v>
      </c>
      <c r="Y123" s="182">
        <f t="shared" si="10"/>
        <v>42200.79</v>
      </c>
      <c r="Z123" s="183" t="s">
        <v>2406</v>
      </c>
      <c r="AA123" s="157"/>
      <c r="AB123" s="184" t="s">
        <v>2319</v>
      </c>
      <c r="AC123" s="132">
        <f t="shared" si="6"/>
        <v>0</v>
      </c>
    </row>
    <row r="124" s="132" customFormat="1" ht="24" customHeight="1" spans="1:29">
      <c r="A124" s="150">
        <v>118</v>
      </c>
      <c r="B124" s="151">
        <v>43718</v>
      </c>
      <c r="C124" s="152" t="s">
        <v>2532</v>
      </c>
      <c r="D124" s="157" t="s">
        <v>2533</v>
      </c>
      <c r="E124" s="158" t="s">
        <v>2564</v>
      </c>
      <c r="F124" s="159" t="s">
        <v>2671</v>
      </c>
      <c r="G124" s="156" t="s">
        <v>2672</v>
      </c>
      <c r="H124" s="157" t="str">
        <f>IF(G124="","",VLOOKUP(G124,'附表8-合同明细采集底稿'!B:I,2,0))</f>
        <v>沁春锦苑楼19#20#23#24#施工协议</v>
      </c>
      <c r="I124" s="165" t="str">
        <f>IF(G124="","",VLOOKUP(G124,'附表8-合同明细采集底稿'!B:I,3,0))</f>
        <v>建设工程合同</v>
      </c>
      <c r="J124" s="187" t="s">
        <v>144</v>
      </c>
      <c r="K124" s="157" t="s">
        <v>2355</v>
      </c>
      <c r="L124" s="166">
        <v>6500191130</v>
      </c>
      <c r="M124" s="555" t="s">
        <v>2678</v>
      </c>
      <c r="N124" s="167">
        <v>917431.1</v>
      </c>
      <c r="O124" s="167">
        <v>999999.91</v>
      </c>
      <c r="P124" s="167">
        <v>917431.1</v>
      </c>
      <c r="Q124" s="167"/>
      <c r="R124" s="167">
        <f t="shared" si="8"/>
        <v>917431.1</v>
      </c>
      <c r="S124" s="178">
        <f>IFERROR(VLOOKUP(G124,'附表8-合同明细采集底稿'!B:N,12,0),100%)</f>
        <v>1</v>
      </c>
      <c r="T124" s="167">
        <f t="shared" si="9"/>
        <v>917431.1</v>
      </c>
      <c r="U124" s="157" t="s">
        <v>2416</v>
      </c>
      <c r="V124" s="179" t="s">
        <v>374</v>
      </c>
      <c r="W124" s="182">
        <f>ROUND(T124*成本分摊比例!$G$13/(成本分摊比例!$G$13+成本分摊比例!$H$13+成本分摊比例!$I$13),2)</f>
        <v>495689.65</v>
      </c>
      <c r="X124" s="182">
        <f>ROUND(T124*成本分摊比例!$H$13/(成本分摊比例!$G$13+成本分摊比例!$H$13+成本分摊比例!$I$13),2)</f>
        <v>327961.93</v>
      </c>
      <c r="Y124" s="182">
        <f t="shared" si="10"/>
        <v>93779.52</v>
      </c>
      <c r="Z124" s="183" t="s">
        <v>2406</v>
      </c>
      <c r="AA124" s="157"/>
      <c r="AB124" s="184" t="s">
        <v>2319</v>
      </c>
      <c r="AC124" s="132">
        <f t="shared" si="6"/>
        <v>0</v>
      </c>
    </row>
    <row r="125" s="132" customFormat="1" ht="24" customHeight="1" spans="1:29">
      <c r="A125" s="150">
        <v>119</v>
      </c>
      <c r="B125" s="151">
        <v>43718</v>
      </c>
      <c r="C125" s="152" t="s">
        <v>2679</v>
      </c>
      <c r="D125" s="157" t="s">
        <v>2533</v>
      </c>
      <c r="E125" s="158" t="s">
        <v>2534</v>
      </c>
      <c r="F125" s="159" t="s">
        <v>2680</v>
      </c>
      <c r="G125" s="156" t="s">
        <v>2681</v>
      </c>
      <c r="H125" s="157" t="str">
        <f>IF(G125="","",VLOOKUP(G125,'附表8-合同明细采集底稿'!B:I,2,0))</f>
        <v>35#楼软装</v>
      </c>
      <c r="I125" s="165" t="str">
        <f>IF(G125="","",VLOOKUP(G125,'附表8-合同明细采集底稿'!B:I,3,0))</f>
        <v>其他合同</v>
      </c>
      <c r="J125" s="187" t="s">
        <v>2682</v>
      </c>
      <c r="K125" s="157" t="s">
        <v>2355</v>
      </c>
      <c r="L125" s="166">
        <v>3100191130</v>
      </c>
      <c r="M125" s="166">
        <v>35458725</v>
      </c>
      <c r="N125" s="188">
        <v>13274.34</v>
      </c>
      <c r="O125" s="188">
        <v>13274.34</v>
      </c>
      <c r="P125" s="188">
        <v>13274.34</v>
      </c>
      <c r="Q125" s="167">
        <v>-13274.34</v>
      </c>
      <c r="R125" s="167">
        <f t="shared" si="8"/>
        <v>0</v>
      </c>
      <c r="S125" s="178">
        <f>IFERROR(VLOOKUP(G125,'附表8-合同明细采集底稿'!B:N,12,0),100%)</f>
        <v>1</v>
      </c>
      <c r="T125" s="167">
        <f t="shared" si="9"/>
        <v>0</v>
      </c>
      <c r="U125" s="157" t="s">
        <v>2641</v>
      </c>
      <c r="V125" s="179" t="s">
        <v>375</v>
      </c>
      <c r="W125" s="180">
        <f>IF('附表1-面积统计表'!$D$29=0,"",IF(AND(V125="共同成本费用",Z125="总建筑面积法"),ROUND(T125/'附表1-面积统计表'!$D$29*'附表1-面积统计表'!$D$5,2),IF(AND(V125="共同成本费用",Z125="可售建筑面积法"),ROUND(T125/'附表1-面积统计表'!$F$29*'附表1-面积统计表'!$F$5,2),"请手工填写")))</f>
        <v>0</v>
      </c>
      <c r="X125" s="180">
        <f>IF(SUM('附表1-面积统计表'!$D$6)=0,"",SUM(T125)-SUM(W125)-SUM(Y125))</f>
        <v>0</v>
      </c>
      <c r="Y125" s="180">
        <f>IF(SUM('附表1-面积统计表'!$D$6)=0,SUM(T125)-SUM(W125),IF('附表1-面积统计表'!$D$29=0,"",IF(AND(V125="共同成本费用",Z125="总建筑面积法"),ROUND(T125/'附表1-面积统计表'!$D$29*'附表1-面积统计表'!$D$7,2),IF(AND(V125="共同成本费用",Z125="可售建筑面积法"),ROUND(T125/'附表1-面积统计表'!$F$29*'附表1-面积统计表'!$F$7,2),"请手工填写"))))</f>
        <v>0</v>
      </c>
      <c r="Z125" s="183" t="s">
        <v>351</v>
      </c>
      <c r="AA125" s="157"/>
      <c r="AB125" s="184" t="s">
        <v>2319</v>
      </c>
      <c r="AC125" s="132">
        <f t="shared" si="6"/>
        <v>0</v>
      </c>
    </row>
    <row r="126" s="132" customFormat="1" ht="24" customHeight="1" spans="1:29">
      <c r="A126" s="150">
        <v>120</v>
      </c>
      <c r="B126" s="151">
        <v>43718</v>
      </c>
      <c r="C126" s="152" t="s">
        <v>2679</v>
      </c>
      <c r="D126" s="157" t="s">
        <v>2533</v>
      </c>
      <c r="E126" s="158" t="s">
        <v>2534</v>
      </c>
      <c r="F126" s="159" t="s">
        <v>2680</v>
      </c>
      <c r="G126" s="156" t="s">
        <v>2681</v>
      </c>
      <c r="H126" s="157" t="str">
        <f>IF(G126="","",VLOOKUP(G126,'附表8-合同明细采集底稿'!B:I,2,0))</f>
        <v>35#楼软装</v>
      </c>
      <c r="I126" s="165" t="str">
        <f>IF(G126="","",VLOOKUP(G126,'附表8-合同明细采集底稿'!B:I,3,0))</f>
        <v>其他合同</v>
      </c>
      <c r="J126" s="187" t="s">
        <v>2682</v>
      </c>
      <c r="K126" s="157" t="s">
        <v>2355</v>
      </c>
      <c r="L126" s="166">
        <v>3100191130</v>
      </c>
      <c r="M126" s="166">
        <v>35458726</v>
      </c>
      <c r="N126" s="188">
        <v>88495.58</v>
      </c>
      <c r="O126" s="188">
        <v>88495.58</v>
      </c>
      <c r="P126" s="188">
        <v>88495.58</v>
      </c>
      <c r="Q126" s="167">
        <v>-88495.58</v>
      </c>
      <c r="R126" s="167">
        <f t="shared" si="8"/>
        <v>0</v>
      </c>
      <c r="S126" s="178">
        <f>IFERROR(VLOOKUP(G126,'附表8-合同明细采集底稿'!B:N,12,0),100%)</f>
        <v>1</v>
      </c>
      <c r="T126" s="167">
        <f t="shared" si="9"/>
        <v>0</v>
      </c>
      <c r="U126" s="157" t="s">
        <v>2641</v>
      </c>
      <c r="V126" s="179" t="s">
        <v>375</v>
      </c>
      <c r="W126" s="180">
        <f>IF('附表1-面积统计表'!$D$29=0,"",IF(AND(V126="共同成本费用",Z126="总建筑面积法"),ROUND(T126/'附表1-面积统计表'!$D$29*'附表1-面积统计表'!$D$5,2),IF(AND(V126="共同成本费用",Z126="可售建筑面积法"),ROUND(T126/'附表1-面积统计表'!$F$29*'附表1-面积统计表'!$F$5,2),"请手工填写")))</f>
        <v>0</v>
      </c>
      <c r="X126" s="180">
        <f>IF(SUM('附表1-面积统计表'!$D$6)=0,"",SUM(T126)-SUM(W126)-SUM(Y126))</f>
        <v>0</v>
      </c>
      <c r="Y126" s="180">
        <f>IF(SUM('附表1-面积统计表'!$D$6)=0,SUM(T126)-SUM(W126),IF('附表1-面积统计表'!$D$29=0,"",IF(AND(V126="共同成本费用",Z126="总建筑面积法"),ROUND(T126/'附表1-面积统计表'!$D$29*'附表1-面积统计表'!$D$7,2),IF(AND(V126="共同成本费用",Z126="可售建筑面积法"),ROUND(T126/'附表1-面积统计表'!$F$29*'附表1-面积统计表'!$F$7,2),"请手工填写"))))</f>
        <v>0</v>
      </c>
      <c r="Z126" s="183" t="s">
        <v>351</v>
      </c>
      <c r="AA126" s="157"/>
      <c r="AB126" s="184" t="s">
        <v>2319</v>
      </c>
      <c r="AC126" s="132">
        <f t="shared" si="6"/>
        <v>0</v>
      </c>
    </row>
    <row r="127" s="132" customFormat="1" ht="24" customHeight="1" spans="1:29">
      <c r="A127" s="150">
        <v>121</v>
      </c>
      <c r="B127" s="151">
        <v>43718</v>
      </c>
      <c r="C127" s="152" t="s">
        <v>2683</v>
      </c>
      <c r="D127" s="157" t="s">
        <v>2533</v>
      </c>
      <c r="E127" s="158" t="s">
        <v>2564</v>
      </c>
      <c r="F127" s="159" t="s">
        <v>2684</v>
      </c>
      <c r="G127" s="156" t="s">
        <v>2672</v>
      </c>
      <c r="H127" s="157" t="str">
        <f>IF(G127="","",VLOOKUP(G127,'附表8-合同明细采集底稿'!B:I,2,0))</f>
        <v>沁春锦苑楼19#20#23#24#施工协议</v>
      </c>
      <c r="I127" s="165" t="str">
        <f>IF(G127="","",VLOOKUP(G127,'附表8-合同明细采集底稿'!B:I,3,0))</f>
        <v>建设工程合同</v>
      </c>
      <c r="J127" s="187" t="s">
        <v>144</v>
      </c>
      <c r="K127" s="157" t="s">
        <v>2355</v>
      </c>
      <c r="L127" s="166">
        <v>6500191130</v>
      </c>
      <c r="M127" s="555" t="s">
        <v>2685</v>
      </c>
      <c r="N127" s="167">
        <v>779816.51</v>
      </c>
      <c r="O127" s="167">
        <v>850000</v>
      </c>
      <c r="P127" s="167">
        <v>779816.51</v>
      </c>
      <c r="Q127" s="167"/>
      <c r="R127" s="167">
        <f t="shared" si="8"/>
        <v>779816.51</v>
      </c>
      <c r="S127" s="178">
        <f>IFERROR(VLOOKUP(G127,'附表8-合同明细采集底稿'!B:N,12,0),100%)</f>
        <v>1</v>
      </c>
      <c r="T127" s="167">
        <f t="shared" si="9"/>
        <v>779816.51</v>
      </c>
      <c r="U127" s="157" t="s">
        <v>2416</v>
      </c>
      <c r="V127" s="179" t="s">
        <v>374</v>
      </c>
      <c r="W127" s="182">
        <f>ROUND(T127*成本分摊比例!$G$13/(成本分摊比例!$G$13+成本分摊比例!$H$13+成本分摊比例!$I$13),2)</f>
        <v>421336.25</v>
      </c>
      <c r="X127" s="182">
        <f>ROUND(T127*成本分摊比例!$H$13/(成本分摊比例!$G$13+成本分摊比例!$H$13+成本分摊比例!$I$13),2)</f>
        <v>278767.66</v>
      </c>
      <c r="Y127" s="182">
        <f t="shared" ref="Y127:Y132" si="11">T127-W127-X127</f>
        <v>79712.6</v>
      </c>
      <c r="Z127" s="183" t="s">
        <v>2406</v>
      </c>
      <c r="AA127" s="157"/>
      <c r="AB127" s="184" t="s">
        <v>2319</v>
      </c>
      <c r="AC127" s="132">
        <f t="shared" si="6"/>
        <v>0</v>
      </c>
    </row>
    <row r="128" s="132" customFormat="1" ht="24" customHeight="1" spans="1:29">
      <c r="A128" s="150">
        <v>122</v>
      </c>
      <c r="B128" s="151">
        <v>43718</v>
      </c>
      <c r="C128" s="152" t="s">
        <v>2683</v>
      </c>
      <c r="D128" s="157" t="s">
        <v>2533</v>
      </c>
      <c r="E128" s="158" t="s">
        <v>2564</v>
      </c>
      <c r="F128" s="159" t="s">
        <v>2684</v>
      </c>
      <c r="G128" s="156" t="s">
        <v>2672</v>
      </c>
      <c r="H128" s="157" t="str">
        <f>IF(G128="","",VLOOKUP(G128,'附表8-合同明细采集底稿'!B:I,2,0))</f>
        <v>沁春锦苑楼19#20#23#24#施工协议</v>
      </c>
      <c r="I128" s="165" t="str">
        <f>IF(G128="","",VLOOKUP(G128,'附表8-合同明细采集底稿'!B:I,3,0))</f>
        <v>建设工程合同</v>
      </c>
      <c r="J128" s="187" t="s">
        <v>144</v>
      </c>
      <c r="K128" s="157" t="s">
        <v>2355</v>
      </c>
      <c r="L128" s="166">
        <v>6500191130</v>
      </c>
      <c r="M128" s="555" t="s">
        <v>2686</v>
      </c>
      <c r="N128" s="167">
        <v>917431.19</v>
      </c>
      <c r="O128" s="167">
        <v>1000000</v>
      </c>
      <c r="P128" s="167">
        <v>917431.19</v>
      </c>
      <c r="Q128" s="167"/>
      <c r="R128" s="167">
        <f t="shared" si="8"/>
        <v>917431.19</v>
      </c>
      <c r="S128" s="178">
        <f>IFERROR(VLOOKUP(G128,'附表8-合同明细采集底稿'!B:N,12,0),100%)</f>
        <v>1</v>
      </c>
      <c r="T128" s="167">
        <f t="shared" si="9"/>
        <v>917431.19</v>
      </c>
      <c r="U128" s="157" t="s">
        <v>2416</v>
      </c>
      <c r="V128" s="179" t="s">
        <v>374</v>
      </c>
      <c r="W128" s="182">
        <f>ROUND(T128*成本分摊比例!$G$13/(成本分摊比例!$G$13+成本分摊比例!$H$13+成本分摊比例!$I$13),2)</f>
        <v>495689.7</v>
      </c>
      <c r="X128" s="182">
        <f>ROUND(T128*成本分摊比例!$H$13/(成本分摊比例!$G$13+成本分摊比例!$H$13+成本分摊比例!$I$13),2)</f>
        <v>327961.96</v>
      </c>
      <c r="Y128" s="182">
        <f t="shared" si="11"/>
        <v>93779.5299999999</v>
      </c>
      <c r="Z128" s="183" t="s">
        <v>2406</v>
      </c>
      <c r="AA128" s="157"/>
      <c r="AB128" s="184" t="s">
        <v>2319</v>
      </c>
      <c r="AC128" s="132">
        <f t="shared" si="6"/>
        <v>0</v>
      </c>
    </row>
    <row r="129" s="132" customFormat="1" ht="24" customHeight="1" spans="1:29">
      <c r="A129" s="150">
        <v>123</v>
      </c>
      <c r="B129" s="151">
        <v>43718</v>
      </c>
      <c r="C129" s="152" t="s">
        <v>2683</v>
      </c>
      <c r="D129" s="157" t="s">
        <v>2533</v>
      </c>
      <c r="E129" s="158" t="s">
        <v>2564</v>
      </c>
      <c r="F129" s="159" t="s">
        <v>2684</v>
      </c>
      <c r="G129" s="156" t="s">
        <v>2672</v>
      </c>
      <c r="H129" s="157" t="str">
        <f>IF(G129="","",VLOOKUP(G129,'附表8-合同明细采集底稿'!B:I,2,0))</f>
        <v>沁春锦苑楼19#20#23#24#施工协议</v>
      </c>
      <c r="I129" s="165" t="str">
        <f>IF(G129="","",VLOOKUP(G129,'附表8-合同明细采集底稿'!B:I,3,0))</f>
        <v>建设工程合同</v>
      </c>
      <c r="J129" s="187" t="s">
        <v>144</v>
      </c>
      <c r="K129" s="157" t="s">
        <v>2355</v>
      </c>
      <c r="L129" s="166">
        <v>6500191130</v>
      </c>
      <c r="M129" s="555" t="s">
        <v>2687</v>
      </c>
      <c r="N129" s="167">
        <v>917431.19</v>
      </c>
      <c r="O129" s="167">
        <v>1000000</v>
      </c>
      <c r="P129" s="167">
        <v>917431.19</v>
      </c>
      <c r="Q129" s="167"/>
      <c r="R129" s="167">
        <f t="shared" si="8"/>
        <v>917431.19</v>
      </c>
      <c r="S129" s="178">
        <f>IFERROR(VLOOKUP(G129,'附表8-合同明细采集底稿'!B:N,12,0),100%)</f>
        <v>1</v>
      </c>
      <c r="T129" s="167">
        <f t="shared" si="9"/>
        <v>917431.19</v>
      </c>
      <c r="U129" s="157" t="s">
        <v>2416</v>
      </c>
      <c r="V129" s="179" t="s">
        <v>374</v>
      </c>
      <c r="W129" s="182">
        <f>ROUND(T129*成本分摊比例!$G$13/(成本分摊比例!$G$13+成本分摊比例!$H$13+成本分摊比例!$I$13),2)</f>
        <v>495689.7</v>
      </c>
      <c r="X129" s="182">
        <f>ROUND(T129*成本分摊比例!$H$13/(成本分摊比例!$G$13+成本分摊比例!$H$13+成本分摊比例!$I$13),2)</f>
        <v>327961.96</v>
      </c>
      <c r="Y129" s="182">
        <f t="shared" si="11"/>
        <v>93779.5299999999</v>
      </c>
      <c r="Z129" s="183" t="s">
        <v>2406</v>
      </c>
      <c r="AA129" s="157"/>
      <c r="AB129" s="184" t="s">
        <v>2319</v>
      </c>
      <c r="AC129" s="132">
        <f t="shared" si="6"/>
        <v>0</v>
      </c>
    </row>
    <row r="130" s="132" customFormat="1" ht="24" customHeight="1" spans="1:29">
      <c r="A130" s="150">
        <v>124</v>
      </c>
      <c r="B130" s="151">
        <v>43718</v>
      </c>
      <c r="C130" s="152" t="s">
        <v>2683</v>
      </c>
      <c r="D130" s="157" t="s">
        <v>2533</v>
      </c>
      <c r="E130" s="158" t="s">
        <v>2564</v>
      </c>
      <c r="F130" s="159" t="s">
        <v>2684</v>
      </c>
      <c r="G130" s="156" t="s">
        <v>2672</v>
      </c>
      <c r="H130" s="157" t="str">
        <f>IF(G130="","",VLOOKUP(G130,'附表8-合同明细采集底稿'!B:I,2,0))</f>
        <v>沁春锦苑楼19#20#23#24#施工协议</v>
      </c>
      <c r="I130" s="165" t="str">
        <f>IF(G130="","",VLOOKUP(G130,'附表8-合同明细采集底稿'!B:I,3,0))</f>
        <v>建设工程合同</v>
      </c>
      <c r="J130" s="187" t="s">
        <v>144</v>
      </c>
      <c r="K130" s="157" t="s">
        <v>2355</v>
      </c>
      <c r="L130" s="166">
        <v>6500191130</v>
      </c>
      <c r="M130" s="555" t="s">
        <v>2688</v>
      </c>
      <c r="N130" s="167">
        <v>917431.19</v>
      </c>
      <c r="O130" s="167">
        <v>1000000</v>
      </c>
      <c r="P130" s="167">
        <v>917431.19</v>
      </c>
      <c r="Q130" s="167"/>
      <c r="R130" s="167">
        <f t="shared" si="8"/>
        <v>917431.19</v>
      </c>
      <c r="S130" s="178">
        <f>IFERROR(VLOOKUP(G130,'附表8-合同明细采集底稿'!B:N,12,0),100%)</f>
        <v>1</v>
      </c>
      <c r="T130" s="167">
        <f t="shared" si="9"/>
        <v>917431.19</v>
      </c>
      <c r="U130" s="157" t="s">
        <v>2416</v>
      </c>
      <c r="V130" s="179" t="s">
        <v>374</v>
      </c>
      <c r="W130" s="182">
        <f>ROUND(T130*成本分摊比例!$G$13/(成本分摊比例!$G$13+成本分摊比例!$H$13+成本分摊比例!$I$13),2)</f>
        <v>495689.7</v>
      </c>
      <c r="X130" s="182">
        <f>ROUND(T130*成本分摊比例!$H$13/(成本分摊比例!$G$13+成本分摊比例!$H$13+成本分摊比例!$I$13),2)</f>
        <v>327961.96</v>
      </c>
      <c r="Y130" s="182">
        <f t="shared" si="11"/>
        <v>93779.5299999999</v>
      </c>
      <c r="Z130" s="183" t="s">
        <v>2406</v>
      </c>
      <c r="AA130" s="157"/>
      <c r="AB130" s="184" t="s">
        <v>2319</v>
      </c>
      <c r="AC130" s="132">
        <f t="shared" si="6"/>
        <v>0</v>
      </c>
    </row>
    <row r="131" s="132" customFormat="1" ht="24" customHeight="1" spans="1:29">
      <c r="A131" s="150">
        <v>125</v>
      </c>
      <c r="B131" s="151">
        <v>43718</v>
      </c>
      <c r="C131" s="152" t="s">
        <v>2683</v>
      </c>
      <c r="D131" s="157" t="s">
        <v>2533</v>
      </c>
      <c r="E131" s="158" t="s">
        <v>2564</v>
      </c>
      <c r="F131" s="159" t="s">
        <v>2684</v>
      </c>
      <c r="G131" s="156" t="s">
        <v>2672</v>
      </c>
      <c r="H131" s="157" t="str">
        <f>IF(G131="","",VLOOKUP(G131,'附表8-合同明细采集底稿'!B:I,2,0))</f>
        <v>沁春锦苑楼19#20#23#24#施工协议</v>
      </c>
      <c r="I131" s="165" t="str">
        <f>IF(G131="","",VLOOKUP(G131,'附表8-合同明细采集底稿'!B:I,3,0))</f>
        <v>建设工程合同</v>
      </c>
      <c r="J131" s="187" t="s">
        <v>144</v>
      </c>
      <c r="K131" s="157" t="s">
        <v>2355</v>
      </c>
      <c r="L131" s="166">
        <v>6500191130</v>
      </c>
      <c r="M131" s="555" t="s">
        <v>2689</v>
      </c>
      <c r="N131" s="167">
        <v>917431.19</v>
      </c>
      <c r="O131" s="167">
        <v>1000000</v>
      </c>
      <c r="P131" s="167">
        <v>917431.19</v>
      </c>
      <c r="Q131" s="167"/>
      <c r="R131" s="167">
        <f t="shared" si="8"/>
        <v>917431.19</v>
      </c>
      <c r="S131" s="178">
        <f>IFERROR(VLOOKUP(G131,'附表8-合同明细采集底稿'!B:N,12,0),100%)</f>
        <v>1</v>
      </c>
      <c r="T131" s="167">
        <f t="shared" si="9"/>
        <v>917431.19</v>
      </c>
      <c r="U131" s="157" t="s">
        <v>2416</v>
      </c>
      <c r="V131" s="179" t="s">
        <v>374</v>
      </c>
      <c r="W131" s="182">
        <f>ROUND(T131*成本分摊比例!$G$13/(成本分摊比例!$G$13+成本分摊比例!$H$13+成本分摊比例!$I$13),2)</f>
        <v>495689.7</v>
      </c>
      <c r="X131" s="182">
        <f>ROUND(T131*成本分摊比例!$H$13/(成本分摊比例!$G$13+成本分摊比例!$H$13+成本分摊比例!$I$13),2)</f>
        <v>327961.96</v>
      </c>
      <c r="Y131" s="182">
        <f t="shared" si="11"/>
        <v>93779.5299999999</v>
      </c>
      <c r="Z131" s="183" t="s">
        <v>2406</v>
      </c>
      <c r="AA131" s="157"/>
      <c r="AB131" s="184" t="s">
        <v>2319</v>
      </c>
      <c r="AC131" s="132">
        <f t="shared" si="6"/>
        <v>0</v>
      </c>
    </row>
    <row r="132" s="132" customFormat="1" ht="24" customHeight="1" spans="1:29">
      <c r="A132" s="150">
        <v>126</v>
      </c>
      <c r="B132" s="151">
        <v>43718</v>
      </c>
      <c r="C132" s="152" t="s">
        <v>2434</v>
      </c>
      <c r="D132" s="157" t="s">
        <v>2533</v>
      </c>
      <c r="E132" s="158" t="s">
        <v>2690</v>
      </c>
      <c r="F132" s="159" t="s">
        <v>2691</v>
      </c>
      <c r="G132" s="156" t="s">
        <v>2692</v>
      </c>
      <c r="H132" s="157" t="str">
        <f>IF(G132="","",VLOOKUP(G132,'附表8-合同明细采集底稿'!B:I,2,0))</f>
        <v>沁春锦苑19、20、23、24号楼防火防盗门</v>
      </c>
      <c r="I132" s="165" t="str">
        <f>IF(G132="","",VLOOKUP(G132,'附表8-合同明细采集底稿'!B:I,3,0))</f>
        <v>买卖合同</v>
      </c>
      <c r="J132" s="187" t="s">
        <v>2693</v>
      </c>
      <c r="K132" s="157" t="s">
        <v>2355</v>
      </c>
      <c r="L132" s="166">
        <v>6500191130</v>
      </c>
      <c r="M132" s="555" t="s">
        <v>2694</v>
      </c>
      <c r="N132" s="167">
        <v>75221.24</v>
      </c>
      <c r="O132" s="167">
        <v>85000</v>
      </c>
      <c r="P132" s="167">
        <v>75221.24</v>
      </c>
      <c r="Q132" s="167"/>
      <c r="R132" s="167">
        <f t="shared" si="8"/>
        <v>75221.24</v>
      </c>
      <c r="S132" s="178">
        <f>IFERROR(VLOOKUP(G132,'附表8-合同明细采集底稿'!B:N,12,0),100%)</f>
        <v>1</v>
      </c>
      <c r="T132" s="167">
        <f t="shared" si="9"/>
        <v>75221.24</v>
      </c>
      <c r="U132" s="157" t="s">
        <v>2416</v>
      </c>
      <c r="V132" s="179" t="s">
        <v>374</v>
      </c>
      <c r="W132" s="182">
        <f>ROUND(T132*成本分摊比例!$G$13/(成本分摊比例!$G$13+成本分摊比例!$H$13+成本分摊比例!$I$13),2)</f>
        <v>40642.17</v>
      </c>
      <c r="X132" s="182">
        <f>ROUND(T132*成本分摊比例!$H$13/(成本分摊比例!$G$13+成本分摊比例!$H$13+成本分摊比例!$I$13),2)</f>
        <v>26889.98</v>
      </c>
      <c r="Y132" s="182">
        <f t="shared" si="11"/>
        <v>7689.09000000001</v>
      </c>
      <c r="Z132" s="183" t="s">
        <v>2406</v>
      </c>
      <c r="AA132" s="157"/>
      <c r="AB132" s="184" t="s">
        <v>2319</v>
      </c>
      <c r="AC132" s="132">
        <f t="shared" si="6"/>
        <v>0</v>
      </c>
    </row>
    <row r="133" s="132" customFormat="1" ht="24" customHeight="1" spans="1:29">
      <c r="A133" s="150">
        <v>127</v>
      </c>
      <c r="B133" s="151">
        <v>43718</v>
      </c>
      <c r="C133" s="152" t="s">
        <v>2695</v>
      </c>
      <c r="D133" s="157" t="s">
        <v>2346</v>
      </c>
      <c r="E133" s="158" t="s">
        <v>2453</v>
      </c>
      <c r="F133" s="159" t="s">
        <v>2696</v>
      </c>
      <c r="G133" s="156" t="s">
        <v>2697</v>
      </c>
      <c r="H133" s="157" t="str">
        <f>IF(G133="","",VLOOKUP(G133,'附表8-合同明细采集底稿'!B:I,2,0))</f>
        <v>景观用水泵</v>
      </c>
      <c r="I133" s="165" t="str">
        <f>IF(G133="","",VLOOKUP(G133,'附表8-合同明细采集底稿'!B:I,3,0))</f>
        <v>其他合同</v>
      </c>
      <c r="J133" s="169" t="s">
        <v>2698</v>
      </c>
      <c r="K133" s="157" t="s">
        <v>2335</v>
      </c>
      <c r="L133" s="168" t="s">
        <v>2336</v>
      </c>
      <c r="M133" s="166">
        <v>15477712</v>
      </c>
      <c r="N133" s="188">
        <v>3960</v>
      </c>
      <c r="O133" s="167">
        <v>0</v>
      </c>
      <c r="P133" s="167">
        <v>3960</v>
      </c>
      <c r="Q133" s="167">
        <v>-3960</v>
      </c>
      <c r="R133" s="167">
        <f t="shared" si="8"/>
        <v>0</v>
      </c>
      <c r="S133" s="178">
        <f>IFERROR(VLOOKUP(G133,'附表8-合同明细采集底稿'!B:N,12,0),100%)</f>
        <v>1</v>
      </c>
      <c r="T133" s="167">
        <f t="shared" si="9"/>
        <v>0</v>
      </c>
      <c r="U133" s="157" t="s">
        <v>2344</v>
      </c>
      <c r="V133" s="179" t="s">
        <v>375</v>
      </c>
      <c r="W133" s="180">
        <f>IF('附表1-面积统计表'!$D$29=0,"",IF(AND(V133="共同成本费用",Z133="总建筑面积法"),ROUND(T133/'附表1-面积统计表'!$D$29*'附表1-面积统计表'!$D$5,2),IF(AND(V133="共同成本费用",Z133="可售建筑面积法"),ROUND(T133/'附表1-面积统计表'!$F$29*'附表1-面积统计表'!$F$5,2),"请手工填写")))</f>
        <v>0</v>
      </c>
      <c r="X133" s="180">
        <f>IF(SUM('附表1-面积统计表'!$D$6)=0,"",SUM(T133)-SUM(W133)-SUM(Y133))</f>
        <v>0</v>
      </c>
      <c r="Y133" s="180">
        <f>IF(SUM('附表1-面积统计表'!$D$6)=0,SUM(T133)-SUM(W133),IF('附表1-面积统计表'!$D$29=0,"",IF(AND(V133="共同成本费用",Z133="总建筑面积法"),ROUND(T133/'附表1-面积统计表'!$D$29*'附表1-面积统计表'!$D$7,2),IF(AND(V133="共同成本费用",Z133="可售建筑面积法"),ROUND(T133/'附表1-面积统计表'!$F$29*'附表1-面积统计表'!$F$7,2),"请手工填写"))))</f>
        <v>0</v>
      </c>
      <c r="Z133" s="183" t="s">
        <v>351</v>
      </c>
      <c r="AA133" s="157"/>
      <c r="AB133" s="184" t="s">
        <v>2319</v>
      </c>
      <c r="AC133" s="132">
        <f t="shared" si="6"/>
        <v>0</v>
      </c>
    </row>
    <row r="134" s="132" customFormat="1" ht="24" customHeight="1" spans="1:29">
      <c r="A134" s="150">
        <v>128</v>
      </c>
      <c r="B134" s="151">
        <v>43720</v>
      </c>
      <c r="C134" s="152" t="s">
        <v>2699</v>
      </c>
      <c r="D134" s="157" t="s">
        <v>2346</v>
      </c>
      <c r="E134" s="158" t="s">
        <v>2453</v>
      </c>
      <c r="F134" s="159" t="s">
        <v>2700</v>
      </c>
      <c r="G134" s="156" t="s">
        <v>2497</v>
      </c>
      <c r="H134" s="157" t="str">
        <f>IF(G134="","",VLOOKUP(G134,'附表8-合同明细采集底稿'!B:I,2,0))</f>
        <v>沁春锦苑一期园林绿化工程（19-24、32/33.34)</v>
      </c>
      <c r="I134" s="165" t="str">
        <f>IF(G134="","",VLOOKUP(G134,'附表8-合同明细采集底稿'!B:I,3,0))</f>
        <v>其他合同</v>
      </c>
      <c r="J134" s="169" t="s">
        <v>2498</v>
      </c>
      <c r="K134" s="157" t="s">
        <v>2355</v>
      </c>
      <c r="L134" s="166">
        <v>6500191130</v>
      </c>
      <c r="M134" s="555" t="s">
        <v>2701</v>
      </c>
      <c r="N134" s="167">
        <v>97087.38</v>
      </c>
      <c r="O134" s="167">
        <v>100000</v>
      </c>
      <c r="P134" s="167">
        <v>194174.76</v>
      </c>
      <c r="Q134" s="167"/>
      <c r="R134" s="167">
        <f t="shared" si="8"/>
        <v>194174.76</v>
      </c>
      <c r="S134" s="178">
        <f>IFERROR(VLOOKUP(G134,'附表8-合同明细采集底稿'!B:N,12,0),100%)</f>
        <v>1</v>
      </c>
      <c r="T134" s="167">
        <f t="shared" si="9"/>
        <v>194174.76</v>
      </c>
      <c r="U134" s="157" t="s">
        <v>2344</v>
      </c>
      <c r="V134" s="179" t="s">
        <v>375</v>
      </c>
      <c r="W134" s="180">
        <f>IF('附表1-面积统计表'!$D$29=0,"",IF(AND(V134="共同成本费用",Z134="总建筑面积法"),ROUND(T134/'附表1-面积统计表'!$D$29*'附表1-面积统计表'!$D$5,2),IF(AND(V134="共同成本费用",Z134="可售建筑面积法"),ROUND(T134/'附表1-面积统计表'!$F$29*'附表1-面积统计表'!$F$5,2),"请手工填写")))</f>
        <v>94070.5</v>
      </c>
      <c r="X134" s="180">
        <f>IF(SUM('附表1-面积统计表'!$D$6)=0,"",SUM(T134)-SUM(W134)-SUM(Y134))</f>
        <v>62239.64</v>
      </c>
      <c r="Y134" s="180">
        <f>IF(SUM('附表1-面积统计表'!$D$6)=0,SUM(T134)-SUM(W134),IF('附表1-面积统计表'!$D$29=0,"",IF(AND(V134="共同成本费用",Z134="总建筑面积法"),ROUND(T134/'附表1-面积统计表'!$D$29*'附表1-面积统计表'!$D$7,2),IF(AND(V134="共同成本费用",Z134="可售建筑面积法"),ROUND(T134/'附表1-面积统计表'!$F$29*'附表1-面积统计表'!$F$7,2),"请手工填写"))))</f>
        <v>37864.62</v>
      </c>
      <c r="Z134" s="183" t="s">
        <v>351</v>
      </c>
      <c r="AA134" s="157"/>
      <c r="AB134" s="184" t="s">
        <v>2319</v>
      </c>
      <c r="AC134" s="132">
        <f t="shared" si="6"/>
        <v>0</v>
      </c>
    </row>
    <row r="135" s="132" customFormat="1" ht="24" customHeight="1" spans="1:29">
      <c r="A135" s="150">
        <v>129</v>
      </c>
      <c r="B135" s="151">
        <v>43720</v>
      </c>
      <c r="C135" s="152" t="s">
        <v>2699</v>
      </c>
      <c r="D135" s="157" t="s">
        <v>2346</v>
      </c>
      <c r="E135" s="158" t="s">
        <v>2453</v>
      </c>
      <c r="F135" s="159" t="s">
        <v>2700</v>
      </c>
      <c r="G135" s="156" t="s">
        <v>2497</v>
      </c>
      <c r="H135" s="157" t="str">
        <f>IF(G135="","",VLOOKUP(G135,'附表8-合同明细采集底稿'!B:I,2,0))</f>
        <v>沁春锦苑一期园林绿化工程（19-24、32/33.34)</v>
      </c>
      <c r="I135" s="165" t="str">
        <f>IF(G135="","",VLOOKUP(G135,'附表8-合同明细采集底稿'!B:I,3,0))</f>
        <v>其他合同</v>
      </c>
      <c r="J135" s="169" t="s">
        <v>2498</v>
      </c>
      <c r="K135" s="157" t="s">
        <v>2355</v>
      </c>
      <c r="L135" s="166">
        <v>6500191130</v>
      </c>
      <c r="M135" s="555" t="s">
        <v>2702</v>
      </c>
      <c r="N135" s="167">
        <v>97087.38</v>
      </c>
      <c r="O135" s="167">
        <v>100000</v>
      </c>
      <c r="P135" s="167">
        <v>97087.38</v>
      </c>
      <c r="Q135" s="167"/>
      <c r="R135" s="167">
        <f t="shared" si="8"/>
        <v>97087.38</v>
      </c>
      <c r="S135" s="178">
        <f>IFERROR(VLOOKUP(G135,'附表8-合同明细采集底稿'!B:N,12,0),100%)</f>
        <v>1</v>
      </c>
      <c r="T135" s="167">
        <f t="shared" si="9"/>
        <v>97087.38</v>
      </c>
      <c r="U135" s="157" t="s">
        <v>2344</v>
      </c>
      <c r="V135" s="179" t="s">
        <v>375</v>
      </c>
      <c r="W135" s="180">
        <f>IF('附表1-面积统计表'!$D$29=0,"",IF(AND(V135="共同成本费用",Z135="总建筑面积法"),ROUND(T135/'附表1-面积统计表'!$D$29*'附表1-面积统计表'!$D$5,2),IF(AND(V135="共同成本费用",Z135="可售建筑面积法"),ROUND(T135/'附表1-面积统计表'!$F$29*'附表1-面积统计表'!$F$5,2),"请手工填写")))</f>
        <v>47035.25</v>
      </c>
      <c r="X135" s="180">
        <f>IF(SUM('附表1-面积统计表'!$D$6)=0,"",SUM(T135)-SUM(W135)-SUM(Y135))</f>
        <v>31119.82</v>
      </c>
      <c r="Y135" s="180">
        <f>IF(SUM('附表1-面积统计表'!$D$6)=0,SUM(T135)-SUM(W135),IF('附表1-面积统计表'!$D$29=0,"",IF(AND(V135="共同成本费用",Z135="总建筑面积法"),ROUND(T135/'附表1-面积统计表'!$D$29*'附表1-面积统计表'!$D$7,2),IF(AND(V135="共同成本费用",Z135="可售建筑面积法"),ROUND(T135/'附表1-面积统计表'!$F$29*'附表1-面积统计表'!$F$7,2),"请手工填写"))))</f>
        <v>18932.31</v>
      </c>
      <c r="Z135" s="183" t="s">
        <v>351</v>
      </c>
      <c r="AA135" s="157"/>
      <c r="AB135" s="184" t="s">
        <v>2319</v>
      </c>
      <c r="AC135" s="132">
        <f t="shared" si="6"/>
        <v>0</v>
      </c>
    </row>
    <row r="136" s="132" customFormat="1" ht="24" customHeight="1" spans="1:29">
      <c r="A136" s="150">
        <v>130</v>
      </c>
      <c r="B136" s="151">
        <v>43727</v>
      </c>
      <c r="C136" s="152" t="s">
        <v>2703</v>
      </c>
      <c r="D136" s="157" t="s">
        <v>2339</v>
      </c>
      <c r="E136" s="158" t="s">
        <v>2351</v>
      </c>
      <c r="F136" s="159" t="s">
        <v>2704</v>
      </c>
      <c r="G136" s="156" t="s">
        <v>2515</v>
      </c>
      <c r="H136" s="157" t="str">
        <f>IF(G136="","",VLOOKUP(G136,'附表8-合同明细采集底稿'!B:I,2,0))</f>
        <v>25-34#建设工程设计合同（民用建设工程设计合同）25#-30#、32#-34</v>
      </c>
      <c r="I136" s="165" t="str">
        <f>IF(G136="","",VLOOKUP(G136,'附表8-合同明细采集底稿'!B:I,3,0))</f>
        <v>技术合同</v>
      </c>
      <c r="J136" s="187" t="s">
        <v>2388</v>
      </c>
      <c r="K136" s="157" t="s">
        <v>2355</v>
      </c>
      <c r="L136" s="166">
        <v>6500191130</v>
      </c>
      <c r="M136" s="555" t="s">
        <v>2705</v>
      </c>
      <c r="N136" s="167">
        <v>51716.98</v>
      </c>
      <c r="O136" s="167">
        <v>54820</v>
      </c>
      <c r="P136" s="167">
        <v>51716.98</v>
      </c>
      <c r="Q136" s="167"/>
      <c r="R136" s="167">
        <f t="shared" si="8"/>
        <v>51716.98</v>
      </c>
      <c r="S136" s="178">
        <f>IFERROR(VLOOKUP(G136,'附表8-合同明细采集底稿'!B:N,12,0),100%)</f>
        <v>1</v>
      </c>
      <c r="T136" s="167">
        <f t="shared" si="9"/>
        <v>51716.98</v>
      </c>
      <c r="U136" s="157" t="s">
        <v>2416</v>
      </c>
      <c r="V136" s="179" t="s">
        <v>374</v>
      </c>
      <c r="W136" s="182">
        <f>ROUND(T136*成本分摊比例!$G$13/(成本分摊比例!$G$13+成本分摊比例!$H$13+成本分摊比例!$I$13),2)</f>
        <v>27942.78</v>
      </c>
      <c r="X136" s="182">
        <f>ROUND(T136*成本分摊比例!$H$13/(成本分摊比例!$G$13+成本分摊比例!$H$13+成本分摊比例!$I$13),2)</f>
        <v>18487.71</v>
      </c>
      <c r="Y136" s="182">
        <f>T136-W136-X136</f>
        <v>5286.49000000001</v>
      </c>
      <c r="Z136" s="183" t="s">
        <v>2406</v>
      </c>
      <c r="AA136" s="157"/>
      <c r="AB136" s="184" t="s">
        <v>2319</v>
      </c>
      <c r="AC136" s="132">
        <f t="shared" ref="AC136:AC199" si="12">T136-W136-X136-Y136</f>
        <v>0</v>
      </c>
    </row>
    <row r="137" s="132" customFormat="1" ht="24" customHeight="1" spans="1:29">
      <c r="A137" s="150">
        <v>131</v>
      </c>
      <c r="B137" s="151">
        <v>43733</v>
      </c>
      <c r="C137" s="152" t="s">
        <v>2706</v>
      </c>
      <c r="D137" s="157" t="s">
        <v>2346</v>
      </c>
      <c r="E137" s="158" t="s">
        <v>2418</v>
      </c>
      <c r="F137" s="159" t="s">
        <v>2627</v>
      </c>
      <c r="G137" s="156" t="s">
        <v>2707</v>
      </c>
      <c r="H137" s="157" t="str">
        <f>IF(G137="","",VLOOKUP(G137,'附表8-合同明细采集底稿'!B:I,2,0))</f>
        <v>购双面胶等</v>
      </c>
      <c r="I137" s="165" t="str">
        <f>IF(G137="","",VLOOKUP(G137,'附表8-合同明细采集底稿'!B:I,3,0))</f>
        <v>其他合同</v>
      </c>
      <c r="J137" s="169" t="s">
        <v>2708</v>
      </c>
      <c r="K137" s="157" t="s">
        <v>2335</v>
      </c>
      <c r="L137" s="168" t="s">
        <v>2336</v>
      </c>
      <c r="M137" s="166">
        <v>15414719</v>
      </c>
      <c r="N137" s="167">
        <v>336</v>
      </c>
      <c r="O137" s="167">
        <v>336</v>
      </c>
      <c r="P137" s="167">
        <v>336</v>
      </c>
      <c r="Q137" s="167">
        <v>-336</v>
      </c>
      <c r="R137" s="167">
        <f t="shared" si="8"/>
        <v>0</v>
      </c>
      <c r="S137" s="178">
        <f>IFERROR(VLOOKUP(G137,'附表8-合同明细采集底稿'!B:N,12,0),100%)</f>
        <v>1</v>
      </c>
      <c r="T137" s="167">
        <f t="shared" si="9"/>
        <v>0</v>
      </c>
      <c r="U137" s="157" t="s">
        <v>2344</v>
      </c>
      <c r="V137" s="179" t="s">
        <v>375</v>
      </c>
      <c r="W137" s="180">
        <f>IF('附表1-面积统计表'!$D$29=0,"",IF(AND(V137="共同成本费用",Z137="总建筑面积法"),ROUND(T137/'附表1-面积统计表'!$D$29*'附表1-面积统计表'!$D$5,2),IF(AND(V137="共同成本费用",Z137="可售建筑面积法"),ROUND(T137/'附表1-面积统计表'!$F$29*'附表1-面积统计表'!$F$5,2),"请手工填写")))</f>
        <v>0</v>
      </c>
      <c r="X137" s="180">
        <f>IF(SUM('附表1-面积统计表'!$D$6)=0,"",SUM(T137)-SUM(W137)-SUM(Y137))</f>
        <v>0</v>
      </c>
      <c r="Y137" s="180">
        <f>IF(SUM('附表1-面积统计表'!$D$6)=0,SUM(T137)-SUM(W137),IF('附表1-面积统计表'!$D$29=0,"",IF(AND(V137="共同成本费用",Z137="总建筑面积法"),ROUND(T137/'附表1-面积统计表'!$D$29*'附表1-面积统计表'!$D$7,2),IF(AND(V137="共同成本费用",Z137="可售建筑面积法"),ROUND(T137/'附表1-面积统计表'!$F$29*'附表1-面积统计表'!$F$7,2),"请手工填写"))))</f>
        <v>0</v>
      </c>
      <c r="Z137" s="183" t="s">
        <v>351</v>
      </c>
      <c r="AA137" s="157"/>
      <c r="AB137" s="184" t="s">
        <v>2319</v>
      </c>
      <c r="AC137" s="132">
        <f t="shared" si="12"/>
        <v>0</v>
      </c>
    </row>
    <row r="138" s="132" customFormat="1" ht="24" customHeight="1" spans="1:29">
      <c r="A138" s="150">
        <v>132</v>
      </c>
      <c r="B138" s="151">
        <v>43738</v>
      </c>
      <c r="C138" s="152" t="s">
        <v>2709</v>
      </c>
      <c r="D138" s="157" t="s">
        <v>2533</v>
      </c>
      <c r="E138" s="158" t="s">
        <v>2534</v>
      </c>
      <c r="F138" s="159" t="s">
        <v>2710</v>
      </c>
      <c r="G138" s="156" t="s">
        <v>2600</v>
      </c>
      <c r="H138" s="157" t="str">
        <f>IF(G138="","",VLOOKUP(G138,'附表8-合同明细采集底稿'!B:I,2,0))</f>
        <v>装饰装修工程承包合同</v>
      </c>
      <c r="I138" s="165" t="str">
        <f>IF(G138="","",VLOOKUP(G138,'附表8-合同明细采集底稿'!B:I,3,0))</f>
        <v>建设工程合同</v>
      </c>
      <c r="J138" s="187" t="s">
        <v>2601</v>
      </c>
      <c r="K138" s="157" t="s">
        <v>2355</v>
      </c>
      <c r="L138" s="166">
        <v>6500191130</v>
      </c>
      <c r="M138" s="555" t="s">
        <v>2711</v>
      </c>
      <c r="N138" s="167">
        <v>93153.98</v>
      </c>
      <c r="O138" s="167">
        <v>105264</v>
      </c>
      <c r="P138" s="167">
        <v>93153.98</v>
      </c>
      <c r="Q138" s="167">
        <v>-93153.98</v>
      </c>
      <c r="R138" s="167">
        <f t="shared" si="8"/>
        <v>0</v>
      </c>
      <c r="S138" s="178">
        <f>IFERROR(VLOOKUP(G138,'附表8-合同明细采集底稿'!B:N,12,0),100%)</f>
        <v>1</v>
      </c>
      <c r="T138" s="167">
        <f t="shared" si="9"/>
        <v>0</v>
      </c>
      <c r="U138" s="157" t="s">
        <v>2405</v>
      </c>
      <c r="V138" s="179" t="s">
        <v>374</v>
      </c>
      <c r="W138" s="181">
        <v>0</v>
      </c>
      <c r="X138" s="181">
        <v>0</v>
      </c>
      <c r="Y138" s="181">
        <v>0</v>
      </c>
      <c r="Z138" s="183" t="s">
        <v>2406</v>
      </c>
      <c r="AA138" s="157"/>
      <c r="AB138" s="184" t="s">
        <v>2319</v>
      </c>
      <c r="AC138" s="132">
        <f t="shared" si="12"/>
        <v>0</v>
      </c>
    </row>
    <row r="139" s="132" customFormat="1" ht="24" customHeight="1" spans="1:29">
      <c r="A139" s="150">
        <v>133</v>
      </c>
      <c r="B139" s="151">
        <v>43738</v>
      </c>
      <c r="C139" s="152" t="s">
        <v>2709</v>
      </c>
      <c r="D139" s="157" t="s">
        <v>2533</v>
      </c>
      <c r="E139" s="158" t="s">
        <v>2534</v>
      </c>
      <c r="F139" s="159" t="s">
        <v>2710</v>
      </c>
      <c r="G139" s="156" t="s">
        <v>2600</v>
      </c>
      <c r="H139" s="157" t="str">
        <f>IF(G139="","",VLOOKUP(G139,'附表8-合同明细采集底稿'!B:I,2,0))</f>
        <v>装饰装修工程承包合同</v>
      </c>
      <c r="I139" s="165" t="str">
        <f>IF(G139="","",VLOOKUP(G139,'附表8-合同明细采集底稿'!B:I,3,0))</f>
        <v>建设工程合同</v>
      </c>
      <c r="J139" s="187" t="s">
        <v>2601</v>
      </c>
      <c r="K139" s="157" t="s">
        <v>2355</v>
      </c>
      <c r="L139" s="166">
        <v>6500191130</v>
      </c>
      <c r="M139" s="555" t="s">
        <v>2712</v>
      </c>
      <c r="N139" s="167">
        <v>90265.49</v>
      </c>
      <c r="O139" s="167">
        <v>102000</v>
      </c>
      <c r="P139" s="167">
        <v>90265.49</v>
      </c>
      <c r="Q139" s="167">
        <v>-90265.49</v>
      </c>
      <c r="R139" s="167">
        <f t="shared" si="8"/>
        <v>0</v>
      </c>
      <c r="S139" s="178">
        <f>IFERROR(VLOOKUP(G139,'附表8-合同明细采集底稿'!B:N,12,0),100%)</f>
        <v>1</v>
      </c>
      <c r="T139" s="167">
        <f t="shared" si="9"/>
        <v>0</v>
      </c>
      <c r="U139" s="157" t="s">
        <v>2405</v>
      </c>
      <c r="V139" s="179" t="s">
        <v>374</v>
      </c>
      <c r="W139" s="181">
        <v>0</v>
      </c>
      <c r="X139" s="181">
        <v>0</v>
      </c>
      <c r="Y139" s="181">
        <v>0</v>
      </c>
      <c r="Z139" s="183" t="s">
        <v>2406</v>
      </c>
      <c r="AA139" s="157"/>
      <c r="AB139" s="184" t="s">
        <v>2319</v>
      </c>
      <c r="AC139" s="132">
        <f t="shared" si="12"/>
        <v>0</v>
      </c>
    </row>
    <row r="140" s="132" customFormat="1" ht="24" customHeight="1" spans="1:29">
      <c r="A140" s="150">
        <v>134</v>
      </c>
      <c r="B140" s="151">
        <v>43738</v>
      </c>
      <c r="C140" s="152" t="s">
        <v>2709</v>
      </c>
      <c r="D140" s="157" t="s">
        <v>2533</v>
      </c>
      <c r="E140" s="158" t="s">
        <v>2534</v>
      </c>
      <c r="F140" s="159" t="s">
        <v>2710</v>
      </c>
      <c r="G140" s="156" t="s">
        <v>2600</v>
      </c>
      <c r="H140" s="157" t="str">
        <f>IF(G140="","",VLOOKUP(G140,'附表8-合同明细采集底稿'!B:I,2,0))</f>
        <v>装饰装修工程承包合同</v>
      </c>
      <c r="I140" s="165" t="str">
        <f>IF(G140="","",VLOOKUP(G140,'附表8-合同明细采集底稿'!B:I,3,0))</f>
        <v>建设工程合同</v>
      </c>
      <c r="J140" s="187" t="s">
        <v>2601</v>
      </c>
      <c r="K140" s="157" t="s">
        <v>2355</v>
      </c>
      <c r="L140" s="166">
        <v>6500191130</v>
      </c>
      <c r="M140" s="555" t="s">
        <v>2713</v>
      </c>
      <c r="N140" s="167">
        <v>17897.35</v>
      </c>
      <c r="O140" s="167">
        <v>20224</v>
      </c>
      <c r="P140" s="167">
        <v>17897.35</v>
      </c>
      <c r="Q140" s="167">
        <v>-17897.35</v>
      </c>
      <c r="R140" s="167">
        <f t="shared" si="8"/>
        <v>0</v>
      </c>
      <c r="S140" s="178">
        <f>IFERROR(VLOOKUP(G140,'附表8-合同明细采集底稿'!B:N,12,0),100%)</f>
        <v>1</v>
      </c>
      <c r="T140" s="167">
        <f t="shared" si="9"/>
        <v>0</v>
      </c>
      <c r="U140" s="157" t="s">
        <v>2405</v>
      </c>
      <c r="V140" s="179" t="s">
        <v>374</v>
      </c>
      <c r="W140" s="181">
        <v>0</v>
      </c>
      <c r="X140" s="181">
        <v>0</v>
      </c>
      <c r="Y140" s="181">
        <v>0</v>
      </c>
      <c r="Z140" s="183" t="s">
        <v>2406</v>
      </c>
      <c r="AA140" s="157"/>
      <c r="AB140" s="184" t="s">
        <v>2319</v>
      </c>
      <c r="AC140" s="132">
        <f t="shared" si="12"/>
        <v>0</v>
      </c>
    </row>
    <row r="141" s="132" customFormat="1" ht="24" customHeight="1" spans="1:29">
      <c r="A141" s="150">
        <v>135</v>
      </c>
      <c r="B141" s="151">
        <v>43738</v>
      </c>
      <c r="C141" s="152" t="s">
        <v>2709</v>
      </c>
      <c r="D141" s="157" t="s">
        <v>2533</v>
      </c>
      <c r="E141" s="158" t="s">
        <v>2534</v>
      </c>
      <c r="F141" s="159" t="s">
        <v>2710</v>
      </c>
      <c r="G141" s="156" t="s">
        <v>2600</v>
      </c>
      <c r="H141" s="157" t="str">
        <f>IF(G141="","",VLOOKUP(G141,'附表8-合同明细采集底稿'!B:I,2,0))</f>
        <v>装饰装修工程承包合同</v>
      </c>
      <c r="I141" s="165" t="str">
        <f>IF(G141="","",VLOOKUP(G141,'附表8-合同明细采集底稿'!B:I,3,0))</f>
        <v>建设工程合同</v>
      </c>
      <c r="J141" s="187" t="s">
        <v>2601</v>
      </c>
      <c r="K141" s="157" t="s">
        <v>2355</v>
      </c>
      <c r="L141" s="166">
        <v>6500191130</v>
      </c>
      <c r="M141" s="555" t="s">
        <v>2714</v>
      </c>
      <c r="N141" s="167">
        <v>84955.75</v>
      </c>
      <c r="O141" s="167">
        <v>96000</v>
      </c>
      <c r="P141" s="167">
        <v>84955.75</v>
      </c>
      <c r="Q141" s="167">
        <v>-84955.75</v>
      </c>
      <c r="R141" s="167">
        <f t="shared" si="8"/>
        <v>0</v>
      </c>
      <c r="S141" s="178">
        <f>IFERROR(VLOOKUP(G141,'附表8-合同明细采集底稿'!B:N,12,0),100%)</f>
        <v>1</v>
      </c>
      <c r="T141" s="167">
        <f t="shared" si="9"/>
        <v>0</v>
      </c>
      <c r="U141" s="157" t="s">
        <v>2405</v>
      </c>
      <c r="V141" s="179" t="s">
        <v>374</v>
      </c>
      <c r="W141" s="181">
        <v>0</v>
      </c>
      <c r="X141" s="181">
        <v>0</v>
      </c>
      <c r="Y141" s="181">
        <v>0</v>
      </c>
      <c r="Z141" s="183" t="s">
        <v>2406</v>
      </c>
      <c r="AA141" s="157"/>
      <c r="AB141" s="184" t="s">
        <v>2319</v>
      </c>
      <c r="AC141" s="132">
        <f t="shared" si="12"/>
        <v>0</v>
      </c>
    </row>
    <row r="142" s="132" customFormat="1" ht="24" customHeight="1" spans="1:29">
      <c r="A142" s="150">
        <v>136</v>
      </c>
      <c r="B142" s="151">
        <v>43738</v>
      </c>
      <c r="C142" s="152" t="s">
        <v>2709</v>
      </c>
      <c r="D142" s="157" t="s">
        <v>2533</v>
      </c>
      <c r="E142" s="158" t="s">
        <v>2534</v>
      </c>
      <c r="F142" s="159" t="s">
        <v>2710</v>
      </c>
      <c r="G142" s="156" t="s">
        <v>2600</v>
      </c>
      <c r="H142" s="157" t="str">
        <f>IF(G142="","",VLOOKUP(G142,'附表8-合同明细采集底稿'!B:I,2,0))</f>
        <v>装饰装修工程承包合同</v>
      </c>
      <c r="I142" s="165" t="str">
        <f>IF(G142="","",VLOOKUP(G142,'附表8-合同明细采集底稿'!B:I,3,0))</f>
        <v>建设工程合同</v>
      </c>
      <c r="J142" s="187" t="s">
        <v>2601</v>
      </c>
      <c r="K142" s="157" t="s">
        <v>2355</v>
      </c>
      <c r="L142" s="166">
        <v>6500191130</v>
      </c>
      <c r="M142" s="555" t="s">
        <v>2715</v>
      </c>
      <c r="N142" s="167">
        <v>94753.98</v>
      </c>
      <c r="O142" s="167">
        <v>107072</v>
      </c>
      <c r="P142" s="167">
        <v>94753.98</v>
      </c>
      <c r="Q142" s="167">
        <v>-94753.98</v>
      </c>
      <c r="R142" s="167">
        <f t="shared" si="8"/>
        <v>0</v>
      </c>
      <c r="S142" s="178">
        <f>IFERROR(VLOOKUP(G142,'附表8-合同明细采集底稿'!B:N,12,0),100%)</f>
        <v>1</v>
      </c>
      <c r="T142" s="167">
        <f t="shared" si="9"/>
        <v>0</v>
      </c>
      <c r="U142" s="157" t="s">
        <v>2405</v>
      </c>
      <c r="V142" s="179" t="s">
        <v>374</v>
      </c>
      <c r="W142" s="181">
        <v>0</v>
      </c>
      <c r="X142" s="181">
        <v>0</v>
      </c>
      <c r="Y142" s="181">
        <v>0</v>
      </c>
      <c r="Z142" s="183" t="s">
        <v>2406</v>
      </c>
      <c r="AA142" s="157"/>
      <c r="AB142" s="184" t="s">
        <v>2319</v>
      </c>
      <c r="AC142" s="132">
        <f t="shared" si="12"/>
        <v>0</v>
      </c>
    </row>
    <row r="143" s="132" customFormat="1" ht="24" customHeight="1" spans="1:29">
      <c r="A143" s="150">
        <v>137</v>
      </c>
      <c r="B143" s="151">
        <v>43738</v>
      </c>
      <c r="C143" s="152" t="s">
        <v>2709</v>
      </c>
      <c r="D143" s="157" t="s">
        <v>2533</v>
      </c>
      <c r="E143" s="158" t="s">
        <v>2534</v>
      </c>
      <c r="F143" s="159" t="s">
        <v>2710</v>
      </c>
      <c r="G143" s="156" t="s">
        <v>2600</v>
      </c>
      <c r="H143" s="157" t="str">
        <f>IF(G143="","",VLOOKUP(G143,'附表8-合同明细采集底稿'!B:I,2,0))</f>
        <v>装饰装修工程承包合同</v>
      </c>
      <c r="I143" s="165" t="str">
        <f>IF(G143="","",VLOOKUP(G143,'附表8-合同明细采集底稿'!B:I,3,0))</f>
        <v>建设工程合同</v>
      </c>
      <c r="J143" s="187" t="s">
        <v>2601</v>
      </c>
      <c r="K143" s="157" t="s">
        <v>2355</v>
      </c>
      <c r="L143" s="166">
        <v>6500191130</v>
      </c>
      <c r="M143" s="555" t="s">
        <v>2716</v>
      </c>
      <c r="N143" s="167">
        <v>90265.49</v>
      </c>
      <c r="O143" s="167">
        <v>102000</v>
      </c>
      <c r="P143" s="167">
        <v>90265.49</v>
      </c>
      <c r="Q143" s="167">
        <v>-90265.49</v>
      </c>
      <c r="R143" s="167">
        <f t="shared" si="8"/>
        <v>0</v>
      </c>
      <c r="S143" s="178">
        <f>IFERROR(VLOOKUP(G143,'附表8-合同明细采集底稿'!B:N,12,0),100%)</f>
        <v>1</v>
      </c>
      <c r="T143" s="167">
        <f t="shared" si="9"/>
        <v>0</v>
      </c>
      <c r="U143" s="157" t="s">
        <v>2405</v>
      </c>
      <c r="V143" s="179" t="s">
        <v>374</v>
      </c>
      <c r="W143" s="181">
        <v>0</v>
      </c>
      <c r="X143" s="181">
        <v>0</v>
      </c>
      <c r="Y143" s="181">
        <v>0</v>
      </c>
      <c r="Z143" s="183" t="s">
        <v>2406</v>
      </c>
      <c r="AA143" s="157"/>
      <c r="AB143" s="184" t="s">
        <v>2319</v>
      </c>
      <c r="AC143" s="132">
        <f t="shared" si="12"/>
        <v>0</v>
      </c>
    </row>
    <row r="144" s="132" customFormat="1" ht="24" customHeight="1" spans="1:29">
      <c r="A144" s="150">
        <v>138</v>
      </c>
      <c r="B144" s="151">
        <v>43738</v>
      </c>
      <c r="C144" s="152" t="s">
        <v>2709</v>
      </c>
      <c r="D144" s="157" t="s">
        <v>2533</v>
      </c>
      <c r="E144" s="158" t="s">
        <v>2534</v>
      </c>
      <c r="F144" s="159" t="s">
        <v>2710</v>
      </c>
      <c r="G144" s="156" t="s">
        <v>2600</v>
      </c>
      <c r="H144" s="157" t="str">
        <f>IF(G144="","",VLOOKUP(G144,'附表8-合同明细采集底稿'!B:I,2,0))</f>
        <v>装饰装修工程承包合同</v>
      </c>
      <c r="I144" s="165" t="str">
        <f>IF(G144="","",VLOOKUP(G144,'附表8-合同明细采集底稿'!B:I,3,0))</f>
        <v>建设工程合同</v>
      </c>
      <c r="J144" s="187" t="s">
        <v>2601</v>
      </c>
      <c r="K144" s="157" t="s">
        <v>2355</v>
      </c>
      <c r="L144" s="166">
        <v>6500191130</v>
      </c>
      <c r="M144" s="555" t="s">
        <v>2717</v>
      </c>
      <c r="N144" s="167">
        <v>62752.21</v>
      </c>
      <c r="O144" s="167">
        <v>70910</v>
      </c>
      <c r="P144" s="167">
        <v>62752.21</v>
      </c>
      <c r="Q144" s="167">
        <v>-62752.21</v>
      </c>
      <c r="R144" s="167">
        <f t="shared" si="8"/>
        <v>0</v>
      </c>
      <c r="S144" s="178">
        <f>IFERROR(VLOOKUP(G144,'附表8-合同明细采集底稿'!B:N,12,0),100%)</f>
        <v>1</v>
      </c>
      <c r="T144" s="167">
        <f t="shared" si="9"/>
        <v>0</v>
      </c>
      <c r="U144" s="157" t="s">
        <v>2405</v>
      </c>
      <c r="V144" s="179" t="s">
        <v>374</v>
      </c>
      <c r="W144" s="181">
        <v>0</v>
      </c>
      <c r="X144" s="181">
        <v>0</v>
      </c>
      <c r="Y144" s="181">
        <v>0</v>
      </c>
      <c r="Z144" s="183" t="s">
        <v>2406</v>
      </c>
      <c r="AA144" s="157"/>
      <c r="AB144" s="184" t="s">
        <v>2319</v>
      </c>
      <c r="AC144" s="132">
        <f t="shared" si="12"/>
        <v>0</v>
      </c>
    </row>
    <row r="145" s="132" customFormat="1" ht="24" customHeight="1" spans="1:29">
      <c r="A145" s="150">
        <v>139</v>
      </c>
      <c r="B145" s="151">
        <v>43738</v>
      </c>
      <c r="C145" s="152" t="s">
        <v>2709</v>
      </c>
      <c r="D145" s="157" t="s">
        <v>2533</v>
      </c>
      <c r="E145" s="158" t="s">
        <v>2534</v>
      </c>
      <c r="F145" s="159" t="s">
        <v>2710</v>
      </c>
      <c r="G145" s="156" t="s">
        <v>2600</v>
      </c>
      <c r="H145" s="157" t="str">
        <f>IF(G145="","",VLOOKUP(G145,'附表8-合同明细采集底稿'!B:I,2,0))</f>
        <v>装饰装修工程承包合同</v>
      </c>
      <c r="I145" s="165" t="str">
        <f>IF(G145="","",VLOOKUP(G145,'附表8-合同明细采集底稿'!B:I,3,0))</f>
        <v>建设工程合同</v>
      </c>
      <c r="J145" s="187" t="s">
        <v>2601</v>
      </c>
      <c r="K145" s="157" t="s">
        <v>2355</v>
      </c>
      <c r="L145" s="166">
        <v>6500191130</v>
      </c>
      <c r="M145" s="555" t="s">
        <v>2718</v>
      </c>
      <c r="N145" s="167">
        <v>86725.66</v>
      </c>
      <c r="O145" s="167">
        <v>98000</v>
      </c>
      <c r="P145" s="167">
        <v>86725.66</v>
      </c>
      <c r="Q145" s="167">
        <v>-86725.66</v>
      </c>
      <c r="R145" s="167">
        <f t="shared" si="8"/>
        <v>0</v>
      </c>
      <c r="S145" s="178">
        <f>IFERROR(VLOOKUP(G145,'附表8-合同明细采集底稿'!B:N,12,0),100%)</f>
        <v>1</v>
      </c>
      <c r="T145" s="167">
        <f t="shared" si="9"/>
        <v>0</v>
      </c>
      <c r="U145" s="157" t="s">
        <v>2405</v>
      </c>
      <c r="V145" s="179" t="s">
        <v>374</v>
      </c>
      <c r="W145" s="181">
        <v>0</v>
      </c>
      <c r="X145" s="181">
        <v>0</v>
      </c>
      <c r="Y145" s="181">
        <v>0</v>
      </c>
      <c r="Z145" s="183" t="s">
        <v>2406</v>
      </c>
      <c r="AA145" s="157"/>
      <c r="AB145" s="184" t="s">
        <v>2319</v>
      </c>
      <c r="AC145" s="132">
        <f t="shared" si="12"/>
        <v>0</v>
      </c>
    </row>
    <row r="146" s="132" customFormat="1" ht="24" customHeight="1" spans="1:29">
      <c r="A146" s="150">
        <v>140</v>
      </c>
      <c r="B146" s="151">
        <v>43738</v>
      </c>
      <c r="C146" s="152" t="s">
        <v>2709</v>
      </c>
      <c r="D146" s="157" t="s">
        <v>2533</v>
      </c>
      <c r="E146" s="158" t="s">
        <v>2534</v>
      </c>
      <c r="F146" s="159" t="s">
        <v>2710</v>
      </c>
      <c r="G146" s="156" t="s">
        <v>2600</v>
      </c>
      <c r="H146" s="157" t="str">
        <f>IF(G146="","",VLOOKUP(G146,'附表8-合同明细采集底稿'!B:I,2,0))</f>
        <v>装饰装修工程承包合同</v>
      </c>
      <c r="I146" s="165" t="str">
        <f>IF(G146="","",VLOOKUP(G146,'附表8-合同明细采集底稿'!B:I,3,0))</f>
        <v>建设工程合同</v>
      </c>
      <c r="J146" s="187" t="s">
        <v>2601</v>
      </c>
      <c r="K146" s="157" t="s">
        <v>2355</v>
      </c>
      <c r="L146" s="166">
        <v>6500191130</v>
      </c>
      <c r="M146" s="555" t="s">
        <v>2719</v>
      </c>
      <c r="N146" s="167">
        <v>87194.68</v>
      </c>
      <c r="O146" s="167">
        <v>98530</v>
      </c>
      <c r="P146" s="167">
        <v>87194.68</v>
      </c>
      <c r="Q146" s="167">
        <v>-87194.68</v>
      </c>
      <c r="R146" s="167">
        <f t="shared" si="8"/>
        <v>0</v>
      </c>
      <c r="S146" s="178">
        <f>IFERROR(VLOOKUP(G146,'附表8-合同明细采集底稿'!B:N,12,0),100%)</f>
        <v>1</v>
      </c>
      <c r="T146" s="167">
        <f t="shared" si="9"/>
        <v>0</v>
      </c>
      <c r="U146" s="157" t="s">
        <v>2405</v>
      </c>
      <c r="V146" s="179" t="s">
        <v>374</v>
      </c>
      <c r="W146" s="181">
        <v>0</v>
      </c>
      <c r="X146" s="181">
        <v>0</v>
      </c>
      <c r="Y146" s="181">
        <v>0</v>
      </c>
      <c r="Z146" s="183" t="s">
        <v>2406</v>
      </c>
      <c r="AA146" s="157"/>
      <c r="AB146" s="184" t="s">
        <v>2319</v>
      </c>
      <c r="AC146" s="132">
        <f t="shared" si="12"/>
        <v>0</v>
      </c>
    </row>
    <row r="147" s="132" customFormat="1" ht="24" customHeight="1" spans="1:29">
      <c r="A147" s="150">
        <v>141</v>
      </c>
      <c r="B147" s="151">
        <v>43748</v>
      </c>
      <c r="C147" s="152" t="s">
        <v>2720</v>
      </c>
      <c r="D147" s="157" t="s">
        <v>2533</v>
      </c>
      <c r="E147" s="158" t="s">
        <v>2534</v>
      </c>
      <c r="F147" s="159" t="s">
        <v>2721</v>
      </c>
      <c r="G147" s="156" t="s">
        <v>2722</v>
      </c>
      <c r="H147" s="157" t="str">
        <f>IF(G147="","",VLOOKUP(G147,'附表8-合同明细采集底稿'!B:I,2,0))</f>
        <v>沁春锦苑35#楼监控系统安装</v>
      </c>
      <c r="I147" s="165" t="str">
        <f>IF(G147="","",VLOOKUP(G147,'附表8-合同明细采集底稿'!B:I,3,0))</f>
        <v>其他合同</v>
      </c>
      <c r="J147" s="187" t="s">
        <v>2420</v>
      </c>
      <c r="K147" s="157" t="s">
        <v>2355</v>
      </c>
      <c r="L147" s="166">
        <v>6500191130</v>
      </c>
      <c r="M147" s="555" t="s">
        <v>2723</v>
      </c>
      <c r="N147" s="167">
        <v>29126.21</v>
      </c>
      <c r="O147" s="167">
        <v>30000</v>
      </c>
      <c r="P147" s="167">
        <v>29126.21</v>
      </c>
      <c r="Q147" s="167">
        <v>-29126.21</v>
      </c>
      <c r="R147" s="167">
        <f t="shared" si="8"/>
        <v>0</v>
      </c>
      <c r="S147" s="178">
        <f>IFERROR(VLOOKUP(G147,'附表8-合同明细采集底稿'!B:N,12,0),100%)</f>
        <v>1</v>
      </c>
      <c r="T147" s="167">
        <f t="shared" si="9"/>
        <v>0</v>
      </c>
      <c r="U147" s="157" t="s">
        <v>2465</v>
      </c>
      <c r="V147" s="179" t="s">
        <v>374</v>
      </c>
      <c r="W147" s="181">
        <v>0</v>
      </c>
      <c r="X147" s="181">
        <v>0</v>
      </c>
      <c r="Y147" s="181">
        <v>0</v>
      </c>
      <c r="Z147" s="183" t="s">
        <v>2406</v>
      </c>
      <c r="AA147" s="157"/>
      <c r="AB147" s="184" t="s">
        <v>2319</v>
      </c>
      <c r="AC147" s="132">
        <f t="shared" si="12"/>
        <v>0</v>
      </c>
    </row>
    <row r="148" s="132" customFormat="1" ht="24" customHeight="1" spans="1:29">
      <c r="A148" s="150">
        <v>142</v>
      </c>
      <c r="B148" s="151">
        <v>43748</v>
      </c>
      <c r="C148" s="152" t="s">
        <v>2563</v>
      </c>
      <c r="D148" s="157" t="s">
        <v>2346</v>
      </c>
      <c r="E148" s="158" t="s">
        <v>2453</v>
      </c>
      <c r="F148" s="159" t="s">
        <v>2724</v>
      </c>
      <c r="G148" s="156" t="s">
        <v>2725</v>
      </c>
      <c r="H148" s="157" t="str">
        <f>IF(G148="","",VLOOKUP(G148,'附表8-合同明细采集底稿'!B:I,2,0))</f>
        <v>沁春锦苑小区景观轴亮化工程合同</v>
      </c>
      <c r="I148" s="165" t="str">
        <f>IF(G148="","",VLOOKUP(G148,'附表8-合同明细采集底稿'!B:I,3,0))</f>
        <v>其他合同</v>
      </c>
      <c r="J148" s="169" t="s">
        <v>2420</v>
      </c>
      <c r="K148" s="157" t="s">
        <v>2355</v>
      </c>
      <c r="L148" s="166">
        <v>6500192130</v>
      </c>
      <c r="M148" s="555" t="s">
        <v>2726</v>
      </c>
      <c r="N148" s="167">
        <v>34951.46</v>
      </c>
      <c r="O148" s="167">
        <v>36000</v>
      </c>
      <c r="P148" s="167">
        <v>34591.46</v>
      </c>
      <c r="Q148" s="167"/>
      <c r="R148" s="167">
        <f t="shared" si="8"/>
        <v>34591.46</v>
      </c>
      <c r="S148" s="178">
        <f>IFERROR(VLOOKUP(G148,'附表8-合同明细采集底稿'!B:N,12,0),100%)</f>
        <v>0.338555832480367</v>
      </c>
      <c r="T148" s="167">
        <f t="shared" si="9"/>
        <v>11711.14</v>
      </c>
      <c r="U148" s="157" t="s">
        <v>2318</v>
      </c>
      <c r="V148" s="179" t="s">
        <v>375</v>
      </c>
      <c r="W148" s="180">
        <f>IF('附表1-面积统计表'!$D$29=0,"",IF(AND(V148="共同成本费用",Z148="总建筑面积法"),ROUND(T148/'附表1-面积统计表'!$D$29*'附表1-面积统计表'!$D$5,2),IF(AND(V148="共同成本费用",Z148="可售建筑面积法"),ROUND(T148/'附表1-面积统计表'!$F$29*'附表1-面积统计表'!$F$5,2),"请手工填写")))</f>
        <v>5673.61</v>
      </c>
      <c r="X148" s="180">
        <f>IF(SUM('附表1-面积统计表'!$D$6)=0,"",SUM(T148)-SUM(W148)-SUM(Y148))</f>
        <v>3753.82</v>
      </c>
      <c r="Y148" s="180">
        <f>IF(SUM('附表1-面积统计表'!$D$6)=0,SUM(T148)-SUM(W148),IF('附表1-面积统计表'!$D$29=0,"",IF(AND(V148="共同成本费用",Z148="总建筑面积法"),ROUND(T148/'附表1-面积统计表'!$D$29*'附表1-面积统计表'!$D$7,2),IF(AND(V148="共同成本费用",Z148="可售建筑面积法"),ROUND(T148/'附表1-面积统计表'!$F$29*'附表1-面积统计表'!$F$7,2),"请手工填写"))))</f>
        <v>2283.71</v>
      </c>
      <c r="Z148" s="183" t="s">
        <v>351</v>
      </c>
      <c r="AA148" s="157"/>
      <c r="AB148" s="184" t="s">
        <v>2319</v>
      </c>
      <c r="AC148" s="132">
        <f t="shared" si="12"/>
        <v>0</v>
      </c>
    </row>
    <row r="149" s="132" customFormat="1" ht="24" customHeight="1" spans="1:29">
      <c r="A149" s="150">
        <v>143</v>
      </c>
      <c r="B149" s="151">
        <v>43748</v>
      </c>
      <c r="C149" s="152" t="s">
        <v>2421</v>
      </c>
      <c r="D149" s="157" t="s">
        <v>2533</v>
      </c>
      <c r="E149" s="158" t="s">
        <v>2534</v>
      </c>
      <c r="F149" s="159" t="s">
        <v>2727</v>
      </c>
      <c r="G149" s="156" t="s">
        <v>2658</v>
      </c>
      <c r="H149" s="157" t="str">
        <f>IF(G149="","",VLOOKUP(G149,'附表8-合同明细采集底稿'!B:I,2,0))</f>
        <v>附属亮化设施合同</v>
      </c>
      <c r="I149" s="165" t="str">
        <f>IF(G149="","",VLOOKUP(G149,'附表8-合同明细采集底稿'!B:I,3,0))</f>
        <v>建设工程合同</v>
      </c>
      <c r="J149" s="187" t="s">
        <v>2659</v>
      </c>
      <c r="K149" s="157" t="s">
        <v>2355</v>
      </c>
      <c r="L149" s="166">
        <v>4400192130</v>
      </c>
      <c r="M149" s="166">
        <v>26989838</v>
      </c>
      <c r="N149" s="167">
        <v>97345.13</v>
      </c>
      <c r="O149" s="167">
        <v>12654.87</v>
      </c>
      <c r="P149" s="167">
        <v>97345.13</v>
      </c>
      <c r="Q149" s="167">
        <v>-97345.13</v>
      </c>
      <c r="R149" s="167">
        <f t="shared" si="8"/>
        <v>0</v>
      </c>
      <c r="S149" s="178">
        <f>IFERROR(VLOOKUP(G149,'附表8-合同明细采集底稿'!B:N,12,0),100%)</f>
        <v>1</v>
      </c>
      <c r="T149" s="167">
        <f t="shared" si="9"/>
        <v>0</v>
      </c>
      <c r="U149" s="157" t="s">
        <v>2465</v>
      </c>
      <c r="V149" s="179" t="s">
        <v>374</v>
      </c>
      <c r="W149" s="181">
        <v>0</v>
      </c>
      <c r="X149" s="181">
        <v>0</v>
      </c>
      <c r="Y149" s="181">
        <v>0</v>
      </c>
      <c r="Z149" s="183" t="s">
        <v>2406</v>
      </c>
      <c r="AA149" s="157"/>
      <c r="AB149" s="184" t="s">
        <v>2319</v>
      </c>
      <c r="AC149" s="132">
        <f t="shared" si="12"/>
        <v>0</v>
      </c>
    </row>
    <row r="150" s="132" customFormat="1" ht="24" customHeight="1" spans="1:29">
      <c r="A150" s="150">
        <v>144</v>
      </c>
      <c r="B150" s="151">
        <v>43748</v>
      </c>
      <c r="C150" s="152" t="s">
        <v>2728</v>
      </c>
      <c r="D150" s="157" t="s">
        <v>2346</v>
      </c>
      <c r="E150" s="158" t="s">
        <v>2506</v>
      </c>
      <c r="F150" s="159" t="s">
        <v>2729</v>
      </c>
      <c r="G150" s="156" t="s">
        <v>2730</v>
      </c>
      <c r="H150" s="157" t="str">
        <f>IF(G150="","",VLOOKUP(G150,'附表8-合同明细采集底稿'!B:I,2,0))</f>
        <v>购PVC管等、井盖</v>
      </c>
      <c r="I150" s="165" t="str">
        <f>IF(G150="","",VLOOKUP(G150,'附表8-合同明细采集底稿'!B:I,3,0))</f>
        <v>其他合同</v>
      </c>
      <c r="J150" s="169" t="s">
        <v>2731</v>
      </c>
      <c r="K150" s="157" t="s">
        <v>2335</v>
      </c>
      <c r="L150" s="168" t="s">
        <v>2336</v>
      </c>
      <c r="M150" s="166">
        <v>16353462</v>
      </c>
      <c r="N150" s="167">
        <v>1850</v>
      </c>
      <c r="O150" s="167">
        <v>1850</v>
      </c>
      <c r="P150" s="167">
        <v>1850</v>
      </c>
      <c r="Q150" s="167">
        <v>-1850</v>
      </c>
      <c r="R150" s="167">
        <f t="shared" si="8"/>
        <v>0</v>
      </c>
      <c r="S150" s="178">
        <f>IFERROR(VLOOKUP(G150,'附表8-合同明细采集底稿'!B:N,12,0),100%)</f>
        <v>1</v>
      </c>
      <c r="T150" s="167">
        <f t="shared" ref="T150:T158" si="13">ROUND(SUM(R150)*SUM(S150),2)</f>
        <v>0</v>
      </c>
      <c r="U150" s="157" t="s">
        <v>2344</v>
      </c>
      <c r="V150" s="179" t="s">
        <v>375</v>
      </c>
      <c r="W150" s="180">
        <f>IF('附表1-面积统计表'!$D$29=0,"",IF(AND(V150="共同成本费用",Z150="总建筑面积法"),ROUND(T150/'附表1-面积统计表'!$D$29*'附表1-面积统计表'!$D$5,2),IF(AND(V150="共同成本费用",Z150="可售建筑面积法"),ROUND(T150/'附表1-面积统计表'!$F$29*'附表1-面积统计表'!$F$5,2),"请手工填写")))</f>
        <v>0</v>
      </c>
      <c r="X150" s="180">
        <f>IF(SUM('附表1-面积统计表'!$D$6)=0,"",SUM(T150)-SUM(W150)-SUM(Y150))</f>
        <v>0</v>
      </c>
      <c r="Y150" s="180">
        <f>IF(SUM('附表1-面积统计表'!$D$6)=0,SUM(T150)-SUM(W150),IF('附表1-面积统计表'!$D$29=0,"",IF(AND(V150="共同成本费用",Z150="总建筑面积法"),ROUND(T150/'附表1-面积统计表'!$D$29*'附表1-面积统计表'!$D$7,2),IF(AND(V150="共同成本费用",Z150="可售建筑面积法"),ROUND(T150/'附表1-面积统计表'!$F$29*'附表1-面积统计表'!$F$7,2),"请手工填写"))))</f>
        <v>0</v>
      </c>
      <c r="Z150" s="183" t="s">
        <v>351</v>
      </c>
      <c r="AA150" s="157"/>
      <c r="AB150" s="184" t="s">
        <v>2319</v>
      </c>
      <c r="AC150" s="132">
        <f t="shared" si="12"/>
        <v>0</v>
      </c>
    </row>
    <row r="151" s="132" customFormat="1" ht="24" customHeight="1" spans="1:29">
      <c r="A151" s="150">
        <v>145</v>
      </c>
      <c r="B151" s="151">
        <v>43748</v>
      </c>
      <c r="C151" s="152" t="s">
        <v>2728</v>
      </c>
      <c r="D151" s="157" t="s">
        <v>2346</v>
      </c>
      <c r="E151" s="158" t="s">
        <v>2506</v>
      </c>
      <c r="F151" s="159" t="s">
        <v>2729</v>
      </c>
      <c r="G151" s="156" t="s">
        <v>2730</v>
      </c>
      <c r="H151" s="157" t="str">
        <f>IF(G151="","",VLOOKUP(G151,'附表8-合同明细采集底稿'!B:I,2,0))</f>
        <v>购PVC管等、井盖</v>
      </c>
      <c r="I151" s="165" t="str">
        <f>IF(G151="","",VLOOKUP(G151,'附表8-合同明细采集底稿'!B:I,3,0))</f>
        <v>其他合同</v>
      </c>
      <c r="J151" s="169" t="s">
        <v>2731</v>
      </c>
      <c r="K151" s="157" t="s">
        <v>2335</v>
      </c>
      <c r="L151" s="168" t="s">
        <v>2336</v>
      </c>
      <c r="M151" s="166">
        <v>16353459</v>
      </c>
      <c r="N151" s="167">
        <v>10150</v>
      </c>
      <c r="O151" s="167">
        <v>10150</v>
      </c>
      <c r="P151" s="167">
        <v>10150</v>
      </c>
      <c r="Q151" s="167">
        <v>-10150</v>
      </c>
      <c r="R151" s="167">
        <f t="shared" si="8"/>
        <v>0</v>
      </c>
      <c r="S151" s="178">
        <f>IFERROR(VLOOKUP(G151,'附表8-合同明细采集底稿'!B:N,12,0),100%)</f>
        <v>1</v>
      </c>
      <c r="T151" s="167">
        <f t="shared" si="13"/>
        <v>0</v>
      </c>
      <c r="U151" s="157" t="s">
        <v>2344</v>
      </c>
      <c r="V151" s="179" t="s">
        <v>375</v>
      </c>
      <c r="W151" s="180">
        <f>IF('附表1-面积统计表'!$D$29=0,"",IF(AND(V151="共同成本费用",Z151="总建筑面积法"),ROUND(T151/'附表1-面积统计表'!$D$29*'附表1-面积统计表'!$D$5,2),IF(AND(V151="共同成本费用",Z151="可售建筑面积法"),ROUND(T151/'附表1-面积统计表'!$F$29*'附表1-面积统计表'!$F$5,2),"请手工填写")))</f>
        <v>0</v>
      </c>
      <c r="X151" s="180">
        <f>IF(SUM('附表1-面积统计表'!$D$6)=0,"",SUM(T151)-SUM(W151)-SUM(Y151))</f>
        <v>0</v>
      </c>
      <c r="Y151" s="180">
        <f>IF(SUM('附表1-面积统计表'!$D$6)=0,SUM(T151)-SUM(W151),IF('附表1-面积统计表'!$D$29=0,"",IF(AND(V151="共同成本费用",Z151="总建筑面积法"),ROUND(T151/'附表1-面积统计表'!$D$29*'附表1-面积统计表'!$D$7,2),IF(AND(V151="共同成本费用",Z151="可售建筑面积法"),ROUND(T151/'附表1-面积统计表'!$F$29*'附表1-面积统计表'!$F$7,2),"请手工填写"))))</f>
        <v>0</v>
      </c>
      <c r="Z151" s="183" t="s">
        <v>351</v>
      </c>
      <c r="AA151" s="157"/>
      <c r="AB151" s="184" t="s">
        <v>2319</v>
      </c>
      <c r="AC151" s="132">
        <f t="shared" si="12"/>
        <v>0</v>
      </c>
    </row>
    <row r="152" s="132" customFormat="1" ht="24" customHeight="1" spans="1:29">
      <c r="A152" s="150">
        <v>146</v>
      </c>
      <c r="B152" s="151">
        <v>43748</v>
      </c>
      <c r="C152" s="152" t="s">
        <v>2728</v>
      </c>
      <c r="D152" s="157" t="s">
        <v>2346</v>
      </c>
      <c r="E152" s="158" t="s">
        <v>2506</v>
      </c>
      <c r="F152" s="159" t="s">
        <v>2729</v>
      </c>
      <c r="G152" s="156" t="s">
        <v>2730</v>
      </c>
      <c r="H152" s="157" t="str">
        <f>IF(G152="","",VLOOKUP(G152,'附表8-合同明细采集底稿'!B:I,2,0))</f>
        <v>购PVC管等、井盖</v>
      </c>
      <c r="I152" s="165" t="str">
        <f>IF(G152="","",VLOOKUP(G152,'附表8-合同明细采集底稿'!B:I,3,0))</f>
        <v>其他合同</v>
      </c>
      <c r="J152" s="169" t="s">
        <v>2731</v>
      </c>
      <c r="K152" s="157" t="s">
        <v>2335</v>
      </c>
      <c r="L152" s="168" t="s">
        <v>2336</v>
      </c>
      <c r="M152" s="166">
        <v>16353460</v>
      </c>
      <c r="N152" s="167">
        <v>10000</v>
      </c>
      <c r="O152" s="167">
        <v>10000</v>
      </c>
      <c r="P152" s="167">
        <v>10000</v>
      </c>
      <c r="Q152" s="167">
        <v>-10000</v>
      </c>
      <c r="R152" s="167">
        <f t="shared" si="8"/>
        <v>0</v>
      </c>
      <c r="S152" s="178">
        <f>IFERROR(VLOOKUP(G152,'附表8-合同明细采集底稿'!B:N,12,0),100%)</f>
        <v>1</v>
      </c>
      <c r="T152" s="167">
        <f t="shared" si="13"/>
        <v>0</v>
      </c>
      <c r="U152" s="157" t="s">
        <v>2344</v>
      </c>
      <c r="V152" s="179" t="s">
        <v>375</v>
      </c>
      <c r="W152" s="180">
        <f>IF('附表1-面积统计表'!$D$29=0,"",IF(AND(V152="共同成本费用",Z152="总建筑面积法"),ROUND(T152/'附表1-面积统计表'!$D$29*'附表1-面积统计表'!$D$5,2),IF(AND(V152="共同成本费用",Z152="可售建筑面积法"),ROUND(T152/'附表1-面积统计表'!$F$29*'附表1-面积统计表'!$F$5,2),"请手工填写")))</f>
        <v>0</v>
      </c>
      <c r="X152" s="180">
        <f>IF(SUM('附表1-面积统计表'!$D$6)=0,"",SUM(T152)-SUM(W152)-SUM(Y152))</f>
        <v>0</v>
      </c>
      <c r="Y152" s="180">
        <f>IF(SUM('附表1-面积统计表'!$D$6)=0,SUM(T152)-SUM(W152),IF('附表1-面积统计表'!$D$29=0,"",IF(AND(V152="共同成本费用",Z152="总建筑面积法"),ROUND(T152/'附表1-面积统计表'!$D$29*'附表1-面积统计表'!$D$7,2),IF(AND(V152="共同成本费用",Z152="可售建筑面积法"),ROUND(T152/'附表1-面积统计表'!$F$29*'附表1-面积统计表'!$F$7,2),"请手工填写"))))</f>
        <v>0</v>
      </c>
      <c r="Z152" s="183" t="s">
        <v>351</v>
      </c>
      <c r="AA152" s="157"/>
      <c r="AB152" s="184" t="s">
        <v>2319</v>
      </c>
      <c r="AC152" s="132">
        <f t="shared" si="12"/>
        <v>0</v>
      </c>
    </row>
    <row r="153" s="132" customFormat="1" ht="24" customHeight="1" spans="1:29">
      <c r="A153" s="150">
        <v>147</v>
      </c>
      <c r="B153" s="151">
        <v>43757</v>
      </c>
      <c r="C153" s="152" t="s">
        <v>2695</v>
      </c>
      <c r="D153" s="157" t="s">
        <v>2346</v>
      </c>
      <c r="E153" s="158" t="s">
        <v>2453</v>
      </c>
      <c r="F153" s="159" t="s">
        <v>2732</v>
      </c>
      <c r="G153" s="156" t="s">
        <v>2733</v>
      </c>
      <c r="H153" s="157" t="str">
        <f>IF(G153="","",VLOOKUP(G153,'附表8-合同明细采集底稿'!B:I,2,0))</f>
        <v>雕塑工程合同</v>
      </c>
      <c r="I153" s="165" t="str">
        <f>IF(G153="","",VLOOKUP(G153,'附表8-合同明细采集底稿'!B:I,3,0))</f>
        <v>其他合同</v>
      </c>
      <c r="J153" s="169" t="s">
        <v>2734</v>
      </c>
      <c r="K153" s="157" t="s">
        <v>2355</v>
      </c>
      <c r="L153" s="166">
        <v>1300191130</v>
      </c>
      <c r="M153" s="166">
        <v>18370130</v>
      </c>
      <c r="N153" s="167">
        <v>80421.24</v>
      </c>
      <c r="O153" s="167">
        <v>90876</v>
      </c>
      <c r="P153" s="167">
        <v>80421.24</v>
      </c>
      <c r="Q153" s="167"/>
      <c r="R153" s="167">
        <f t="shared" si="8"/>
        <v>80421.24</v>
      </c>
      <c r="S153" s="178">
        <f>IFERROR(VLOOKUP(G153,'附表8-合同明细采集底稿'!B:N,12,0),100%)</f>
        <v>0.338555832480367</v>
      </c>
      <c r="T153" s="167">
        <f t="shared" si="13"/>
        <v>27227.08</v>
      </c>
      <c r="U153" s="157" t="s">
        <v>2318</v>
      </c>
      <c r="V153" s="179" t="s">
        <v>375</v>
      </c>
      <c r="W153" s="180">
        <f>IF('附表1-面积统计表'!$D$29=0,"",IF(AND(V153="共同成本费用",Z153="总建筑面积法"),ROUND(T153/'附表1-面积统计表'!$D$29*'附表1-面积统计表'!$D$5,2),IF(AND(V153="共同成本费用",Z153="可售建筑面积法"),ROUND(T153/'附表1-面积统计表'!$F$29*'附表1-面积统计表'!$F$5,2),"请手工填写")))</f>
        <v>13190.51</v>
      </c>
      <c r="X153" s="180">
        <f>IF(SUM('附表1-面积统计表'!$D$6)=0,"",SUM(T153)-SUM(W153)-SUM(Y153))</f>
        <v>8727.21</v>
      </c>
      <c r="Y153" s="180">
        <f>IF(SUM('附表1-面积统计表'!$D$6)=0,SUM(T153)-SUM(W153),IF('附表1-面积统计表'!$D$29=0,"",IF(AND(V153="共同成本费用",Z153="总建筑面积法"),ROUND(T153/'附表1-面积统计表'!$D$29*'附表1-面积统计表'!$D$7,2),IF(AND(V153="共同成本费用",Z153="可售建筑面积法"),ROUND(T153/'附表1-面积统计表'!$F$29*'附表1-面积统计表'!$F$7,2),"请手工填写"))))</f>
        <v>5309.36</v>
      </c>
      <c r="Z153" s="183" t="s">
        <v>351</v>
      </c>
      <c r="AA153" s="157"/>
      <c r="AB153" s="184" t="s">
        <v>2319</v>
      </c>
      <c r="AC153" s="132">
        <f t="shared" si="12"/>
        <v>0</v>
      </c>
    </row>
    <row r="154" s="132" customFormat="1" ht="24" customHeight="1" spans="1:29">
      <c r="A154" s="150">
        <v>148</v>
      </c>
      <c r="B154" s="151">
        <v>43757</v>
      </c>
      <c r="C154" s="152" t="s">
        <v>2695</v>
      </c>
      <c r="D154" s="157" t="s">
        <v>2346</v>
      </c>
      <c r="E154" s="158" t="s">
        <v>2453</v>
      </c>
      <c r="F154" s="159" t="s">
        <v>2732</v>
      </c>
      <c r="G154" s="156" t="s">
        <v>2733</v>
      </c>
      <c r="H154" s="157" t="str">
        <f>IF(G154="","",VLOOKUP(G154,'附表8-合同明细采集底稿'!B:I,2,0))</f>
        <v>雕塑工程合同</v>
      </c>
      <c r="I154" s="165" t="str">
        <f>IF(G154="","",VLOOKUP(G154,'附表8-合同明细采集底稿'!B:I,3,0))</f>
        <v>其他合同</v>
      </c>
      <c r="J154" s="169" t="s">
        <v>2734</v>
      </c>
      <c r="K154" s="157" t="s">
        <v>2355</v>
      </c>
      <c r="L154" s="166">
        <v>1300191130</v>
      </c>
      <c r="M154" s="166">
        <v>18370131</v>
      </c>
      <c r="N154" s="167">
        <v>80421.24</v>
      </c>
      <c r="O154" s="167">
        <v>90876</v>
      </c>
      <c r="P154" s="167">
        <v>80421.24</v>
      </c>
      <c r="Q154" s="167"/>
      <c r="R154" s="167">
        <f t="shared" ref="R154:R217" si="14">P154+Q154</f>
        <v>80421.24</v>
      </c>
      <c r="S154" s="178">
        <f>IFERROR(VLOOKUP(G154,'附表8-合同明细采集底稿'!B:N,12,0),100%)</f>
        <v>0.338555832480367</v>
      </c>
      <c r="T154" s="167">
        <f t="shared" si="13"/>
        <v>27227.08</v>
      </c>
      <c r="U154" s="157" t="s">
        <v>2318</v>
      </c>
      <c r="V154" s="179" t="s">
        <v>375</v>
      </c>
      <c r="W154" s="180">
        <f>IF('附表1-面积统计表'!$D$29=0,"",IF(AND(V154="共同成本费用",Z154="总建筑面积法"),ROUND(T154/'附表1-面积统计表'!$D$29*'附表1-面积统计表'!$D$5,2),IF(AND(V154="共同成本费用",Z154="可售建筑面积法"),ROUND(T154/'附表1-面积统计表'!$F$29*'附表1-面积统计表'!$F$5,2),"请手工填写")))</f>
        <v>13190.51</v>
      </c>
      <c r="X154" s="180">
        <f>IF(SUM('附表1-面积统计表'!$D$6)=0,"",SUM(T154)-SUM(W154)-SUM(Y154))</f>
        <v>8727.21</v>
      </c>
      <c r="Y154" s="180">
        <f>IF(SUM('附表1-面积统计表'!$D$6)=0,SUM(T154)-SUM(W154),IF('附表1-面积统计表'!$D$29=0,"",IF(AND(V154="共同成本费用",Z154="总建筑面积法"),ROUND(T154/'附表1-面积统计表'!$D$29*'附表1-面积统计表'!$D$7,2),IF(AND(V154="共同成本费用",Z154="可售建筑面积法"),ROUND(T154/'附表1-面积统计表'!$F$29*'附表1-面积统计表'!$F$7,2),"请手工填写"))))</f>
        <v>5309.36</v>
      </c>
      <c r="Z154" s="183" t="s">
        <v>351</v>
      </c>
      <c r="AA154" s="157"/>
      <c r="AB154" s="184" t="s">
        <v>2319</v>
      </c>
      <c r="AC154" s="132">
        <f t="shared" si="12"/>
        <v>0</v>
      </c>
    </row>
    <row r="155" s="132" customFormat="1" ht="24" customHeight="1" spans="1:29">
      <c r="A155" s="150">
        <v>149</v>
      </c>
      <c r="B155" s="151">
        <v>43757</v>
      </c>
      <c r="C155" s="152" t="s">
        <v>2695</v>
      </c>
      <c r="D155" s="157" t="s">
        <v>2346</v>
      </c>
      <c r="E155" s="158" t="s">
        <v>2453</v>
      </c>
      <c r="F155" s="159" t="s">
        <v>2732</v>
      </c>
      <c r="G155" s="156" t="s">
        <v>2733</v>
      </c>
      <c r="H155" s="157" t="str">
        <f>IF(G155="","",VLOOKUP(G155,'附表8-合同明细采集底稿'!B:I,2,0))</f>
        <v>雕塑工程合同</v>
      </c>
      <c r="I155" s="165" t="str">
        <f>IF(G155="","",VLOOKUP(G155,'附表8-合同明细采集底稿'!B:I,3,0))</f>
        <v>其他合同</v>
      </c>
      <c r="J155" s="169" t="s">
        <v>2734</v>
      </c>
      <c r="K155" s="157" t="s">
        <v>2355</v>
      </c>
      <c r="L155" s="166">
        <v>1300191130</v>
      </c>
      <c r="M155" s="166">
        <v>18370132</v>
      </c>
      <c r="N155" s="167">
        <v>80421.24</v>
      </c>
      <c r="O155" s="167">
        <v>90876</v>
      </c>
      <c r="P155" s="167">
        <v>80421.24</v>
      </c>
      <c r="Q155" s="167"/>
      <c r="R155" s="167">
        <f t="shared" si="14"/>
        <v>80421.24</v>
      </c>
      <c r="S155" s="178">
        <f>IFERROR(VLOOKUP(G155,'附表8-合同明细采集底稿'!B:N,12,0),100%)</f>
        <v>0.338555832480367</v>
      </c>
      <c r="T155" s="167">
        <f t="shared" si="13"/>
        <v>27227.08</v>
      </c>
      <c r="U155" s="157" t="s">
        <v>2318</v>
      </c>
      <c r="V155" s="179" t="s">
        <v>375</v>
      </c>
      <c r="W155" s="180">
        <f>IF('附表1-面积统计表'!$D$29=0,"",IF(AND(V155="共同成本费用",Z155="总建筑面积法"),ROUND(T155/'附表1-面积统计表'!$D$29*'附表1-面积统计表'!$D$5,2),IF(AND(V155="共同成本费用",Z155="可售建筑面积法"),ROUND(T155/'附表1-面积统计表'!$F$29*'附表1-面积统计表'!$F$5,2),"请手工填写")))</f>
        <v>13190.51</v>
      </c>
      <c r="X155" s="180">
        <f>IF(SUM('附表1-面积统计表'!$D$6)=0,"",SUM(T155)-SUM(W155)-SUM(Y155))</f>
        <v>8727.21</v>
      </c>
      <c r="Y155" s="180">
        <f>IF(SUM('附表1-面积统计表'!$D$6)=0,SUM(T155)-SUM(W155),IF('附表1-面积统计表'!$D$29=0,"",IF(AND(V155="共同成本费用",Z155="总建筑面积法"),ROUND(T155/'附表1-面积统计表'!$D$29*'附表1-面积统计表'!$D$7,2),IF(AND(V155="共同成本费用",Z155="可售建筑面积法"),ROUND(T155/'附表1-面积统计表'!$F$29*'附表1-面积统计表'!$F$7,2),"请手工填写"))))</f>
        <v>5309.36</v>
      </c>
      <c r="Z155" s="183" t="s">
        <v>351</v>
      </c>
      <c r="AA155" s="157"/>
      <c r="AB155" s="184" t="s">
        <v>2319</v>
      </c>
      <c r="AC155" s="132">
        <f t="shared" si="12"/>
        <v>0</v>
      </c>
    </row>
    <row r="156" s="132" customFormat="1" ht="24" customHeight="1" spans="1:29">
      <c r="A156" s="150">
        <v>150</v>
      </c>
      <c r="B156" s="151">
        <v>43757</v>
      </c>
      <c r="C156" s="152" t="s">
        <v>2695</v>
      </c>
      <c r="D156" s="157" t="s">
        <v>2346</v>
      </c>
      <c r="E156" s="158" t="s">
        <v>2453</v>
      </c>
      <c r="F156" s="159" t="s">
        <v>2732</v>
      </c>
      <c r="G156" s="156" t="s">
        <v>2733</v>
      </c>
      <c r="H156" s="157" t="str">
        <f>IF(G156="","",VLOOKUP(G156,'附表8-合同明细采集底稿'!B:I,2,0))</f>
        <v>雕塑工程合同</v>
      </c>
      <c r="I156" s="165" t="str">
        <f>IF(G156="","",VLOOKUP(G156,'附表8-合同明细采集底稿'!B:I,3,0))</f>
        <v>其他合同</v>
      </c>
      <c r="J156" s="169" t="s">
        <v>2734</v>
      </c>
      <c r="K156" s="157" t="s">
        <v>2355</v>
      </c>
      <c r="L156" s="166">
        <v>1300191130</v>
      </c>
      <c r="M156" s="166">
        <v>18370133</v>
      </c>
      <c r="N156" s="167">
        <v>80421.24</v>
      </c>
      <c r="O156" s="167">
        <v>90876</v>
      </c>
      <c r="P156" s="167">
        <v>80421.24</v>
      </c>
      <c r="Q156" s="167"/>
      <c r="R156" s="167">
        <f t="shared" si="14"/>
        <v>80421.24</v>
      </c>
      <c r="S156" s="178">
        <f>IFERROR(VLOOKUP(G156,'附表8-合同明细采集底稿'!B:N,12,0),100%)</f>
        <v>0.338555832480367</v>
      </c>
      <c r="T156" s="167">
        <f t="shared" si="13"/>
        <v>27227.08</v>
      </c>
      <c r="U156" s="157" t="s">
        <v>2318</v>
      </c>
      <c r="V156" s="179" t="s">
        <v>375</v>
      </c>
      <c r="W156" s="180">
        <f>IF('附表1-面积统计表'!$D$29=0,"",IF(AND(V156="共同成本费用",Z156="总建筑面积法"),ROUND(T156/'附表1-面积统计表'!$D$29*'附表1-面积统计表'!$D$5,2),IF(AND(V156="共同成本费用",Z156="可售建筑面积法"),ROUND(T156/'附表1-面积统计表'!$F$29*'附表1-面积统计表'!$F$5,2),"请手工填写")))</f>
        <v>13190.51</v>
      </c>
      <c r="X156" s="180">
        <f>IF(SUM('附表1-面积统计表'!$D$6)=0,"",SUM(T156)-SUM(W156)-SUM(Y156))</f>
        <v>8727.21</v>
      </c>
      <c r="Y156" s="180">
        <f>IF(SUM('附表1-面积统计表'!$D$6)=0,SUM(T156)-SUM(W156),IF('附表1-面积统计表'!$D$29=0,"",IF(AND(V156="共同成本费用",Z156="总建筑面积法"),ROUND(T156/'附表1-面积统计表'!$D$29*'附表1-面积统计表'!$D$7,2),IF(AND(V156="共同成本费用",Z156="可售建筑面积法"),ROUND(T156/'附表1-面积统计表'!$F$29*'附表1-面积统计表'!$F$7,2),"请手工填写"))))</f>
        <v>5309.36</v>
      </c>
      <c r="Z156" s="183" t="s">
        <v>351</v>
      </c>
      <c r="AA156" s="157"/>
      <c r="AB156" s="184" t="s">
        <v>2319</v>
      </c>
      <c r="AC156" s="132">
        <f t="shared" si="12"/>
        <v>0</v>
      </c>
    </row>
    <row r="157" s="132" customFormat="1" ht="24" customHeight="1" spans="1:29">
      <c r="A157" s="150">
        <v>151</v>
      </c>
      <c r="B157" s="151">
        <v>43757</v>
      </c>
      <c r="C157" s="152" t="s">
        <v>2695</v>
      </c>
      <c r="D157" s="157" t="s">
        <v>2346</v>
      </c>
      <c r="E157" s="158" t="s">
        <v>2453</v>
      </c>
      <c r="F157" s="159" t="s">
        <v>2732</v>
      </c>
      <c r="G157" s="156" t="s">
        <v>2733</v>
      </c>
      <c r="H157" s="157" t="str">
        <f>IF(G157="","",VLOOKUP(G157,'附表8-合同明细采集底稿'!B:I,2,0))</f>
        <v>雕塑工程合同</v>
      </c>
      <c r="I157" s="165" t="str">
        <f>IF(G157="","",VLOOKUP(G157,'附表8-合同明细采集底稿'!B:I,3,0))</f>
        <v>其他合同</v>
      </c>
      <c r="J157" s="169" t="s">
        <v>2734</v>
      </c>
      <c r="K157" s="157" t="s">
        <v>2355</v>
      </c>
      <c r="L157" s="166">
        <v>1300191130</v>
      </c>
      <c r="M157" s="166">
        <v>18370134</v>
      </c>
      <c r="N157" s="167">
        <v>80423.89</v>
      </c>
      <c r="O157" s="167">
        <v>90879</v>
      </c>
      <c r="P157" s="167">
        <v>80423.89</v>
      </c>
      <c r="Q157" s="167"/>
      <c r="R157" s="167">
        <f t="shared" si="14"/>
        <v>80423.89</v>
      </c>
      <c r="S157" s="178">
        <f>IFERROR(VLOOKUP(G157,'附表8-合同明细采集底稿'!B:N,12,0),100%)</f>
        <v>0.338555832480367</v>
      </c>
      <c r="T157" s="167">
        <f t="shared" si="13"/>
        <v>27227.98</v>
      </c>
      <c r="U157" s="157" t="s">
        <v>2318</v>
      </c>
      <c r="V157" s="179" t="s">
        <v>375</v>
      </c>
      <c r="W157" s="180">
        <f>IF('附表1-面积统计表'!$D$29=0,"",IF(AND(V157="共同成本费用",Z157="总建筑面积法"),ROUND(T157/'附表1-面积统计表'!$D$29*'附表1-面积统计表'!$D$5,2),IF(AND(V157="共同成本费用",Z157="可售建筑面积法"),ROUND(T157/'附表1-面积统计表'!$F$29*'附表1-面积统计表'!$F$5,2),"请手工填写")))</f>
        <v>13190.95</v>
      </c>
      <c r="X157" s="180">
        <f>IF(SUM('附表1-面积统计表'!$D$6)=0,"",SUM(T157)-SUM(W157)-SUM(Y157))</f>
        <v>8727.5</v>
      </c>
      <c r="Y157" s="180">
        <f>IF(SUM('附表1-面积统计表'!$D$6)=0,SUM(T157)-SUM(W157),IF('附表1-面积统计表'!$D$29=0,"",IF(AND(V157="共同成本费用",Z157="总建筑面积法"),ROUND(T157/'附表1-面积统计表'!$D$29*'附表1-面积统计表'!$D$7,2),IF(AND(V157="共同成本费用",Z157="可售建筑面积法"),ROUND(T157/'附表1-面积统计表'!$F$29*'附表1-面积统计表'!$F$7,2),"请手工填写"))))</f>
        <v>5309.53</v>
      </c>
      <c r="Z157" s="183" t="s">
        <v>351</v>
      </c>
      <c r="AA157" s="157"/>
      <c r="AB157" s="184" t="s">
        <v>2319</v>
      </c>
      <c r="AC157" s="132">
        <f t="shared" si="12"/>
        <v>0</v>
      </c>
    </row>
    <row r="158" s="132" customFormat="1" ht="24" customHeight="1" spans="1:29">
      <c r="A158" s="150">
        <v>152</v>
      </c>
      <c r="B158" s="151">
        <v>43757</v>
      </c>
      <c r="C158" s="152" t="s">
        <v>2735</v>
      </c>
      <c r="D158" s="157" t="s">
        <v>2339</v>
      </c>
      <c r="E158" s="158" t="s">
        <v>2363</v>
      </c>
      <c r="F158" s="159" t="s">
        <v>2736</v>
      </c>
      <c r="G158" s="156" t="s">
        <v>2737</v>
      </c>
      <c r="H158" s="157" t="str">
        <f>IF(G158="","",VLOOKUP(G158,'附表8-合同明细采集底稿'!B:I,2,0))</f>
        <v>建设工程勘察合同（32#33#34#、25#-30#）</v>
      </c>
      <c r="I158" s="165" t="str">
        <f>IF(G158="","",VLOOKUP(G158,'附表8-合同明细采集底稿'!B:I,3,0))</f>
        <v>技术合同</v>
      </c>
      <c r="J158" s="187" t="s">
        <v>2432</v>
      </c>
      <c r="K158" s="157" t="s">
        <v>2355</v>
      </c>
      <c r="L158" s="166">
        <v>6500191130</v>
      </c>
      <c r="M158" s="555" t="s">
        <v>2738</v>
      </c>
      <c r="N158" s="167">
        <v>28301.89</v>
      </c>
      <c r="O158" s="167">
        <v>30000</v>
      </c>
      <c r="P158" s="167">
        <v>28301.89</v>
      </c>
      <c r="Q158" s="167"/>
      <c r="R158" s="167">
        <f t="shared" si="14"/>
        <v>28301.89</v>
      </c>
      <c r="S158" s="178">
        <f>IFERROR(VLOOKUP(G158,'附表8-合同明细采集底稿'!B:N,12,0),100%)</f>
        <v>1</v>
      </c>
      <c r="T158" s="167">
        <f t="shared" si="13"/>
        <v>28301.89</v>
      </c>
      <c r="U158" s="157" t="s">
        <v>2416</v>
      </c>
      <c r="V158" s="179" t="s">
        <v>374</v>
      </c>
      <c r="W158" s="182">
        <f>ROUND(T158*成本分摊比例!$G$13/(成本分摊比例!$G$13+成本分摊比例!$H$13+成本分摊比例!$I$13),2)</f>
        <v>15291.56</v>
      </c>
      <c r="X158" s="182">
        <f>ROUND(T158*成本分摊比例!$H$13/(成本分摊比例!$G$13+成本分摊比例!$H$13+成本分摊比例!$I$13),2)</f>
        <v>10117.32</v>
      </c>
      <c r="Y158" s="182">
        <f>T158-W158-X158</f>
        <v>2893.01</v>
      </c>
      <c r="Z158" s="183" t="s">
        <v>2406</v>
      </c>
      <c r="AA158" s="157"/>
      <c r="AB158" s="184" t="s">
        <v>2319</v>
      </c>
      <c r="AC158" s="132">
        <f t="shared" si="12"/>
        <v>0</v>
      </c>
    </row>
    <row r="159" s="132" customFormat="1" ht="24" customHeight="1" spans="1:29">
      <c r="A159" s="150">
        <v>153</v>
      </c>
      <c r="B159" s="151">
        <v>43757</v>
      </c>
      <c r="C159" s="152" t="s">
        <v>2505</v>
      </c>
      <c r="D159" s="157" t="s">
        <v>2339</v>
      </c>
      <c r="E159" s="158" t="s">
        <v>2370</v>
      </c>
      <c r="F159" s="159" t="s">
        <v>2739</v>
      </c>
      <c r="G159" s="156" t="s">
        <v>2740</v>
      </c>
      <c r="H159" s="157" t="str">
        <f>IF(G159="","",VLOOKUP(G159,'附表8-合同明细采集底稿'!B:I,2,0))</f>
        <v>测绘合同书（25#-30#）</v>
      </c>
      <c r="I159" s="165" t="str">
        <f>IF(G159="","",VLOOKUP(G159,'附表8-合同明细采集底稿'!B:I,3,0))</f>
        <v>技术合同</v>
      </c>
      <c r="J159" s="187" t="s">
        <v>2624</v>
      </c>
      <c r="K159" s="157" t="s">
        <v>2355</v>
      </c>
      <c r="L159" s="166">
        <v>6500191130</v>
      </c>
      <c r="M159" s="555" t="s">
        <v>2741</v>
      </c>
      <c r="N159" s="167">
        <v>16709.71</v>
      </c>
      <c r="O159" s="167">
        <v>17211</v>
      </c>
      <c r="P159" s="167">
        <v>16709.71</v>
      </c>
      <c r="Q159" s="167"/>
      <c r="R159" s="167">
        <f t="shared" si="14"/>
        <v>16709.71</v>
      </c>
      <c r="S159" s="178">
        <f>IFERROR(VLOOKUP(G159,'附表8-合同明细采集底稿'!B:N,12,0),100%)</f>
        <v>1</v>
      </c>
      <c r="T159" s="167">
        <f t="shared" ref="T159:T194" si="15">ROUND(SUM(R159)*SUM(S159),2)</f>
        <v>16709.71</v>
      </c>
      <c r="U159" s="157" t="s">
        <v>2344</v>
      </c>
      <c r="V159" s="179" t="s">
        <v>375</v>
      </c>
      <c r="W159" s="180">
        <f>IF('附表1-面积统计表'!$D$29=0,"",IF(AND(V159="共同成本费用",Z159="总建筑面积法"),ROUND(T159/'附表1-面积统计表'!$D$29*'附表1-面积统计表'!$D$5,2),IF(AND(V159="共同成本费用",Z159="可售建筑面积法"),ROUND(T159/'附表1-面积统计表'!$F$29*'附表1-面积统计表'!$F$5,2),"请手工填写")))</f>
        <v>8095.24</v>
      </c>
      <c r="X159" s="180">
        <f>IF(SUM('附表1-面积统计表'!$D$6)=0,"",SUM(T159)-SUM(W159)-SUM(Y159))</f>
        <v>5356.03</v>
      </c>
      <c r="Y159" s="180">
        <f>IF(SUM('附表1-面积统计表'!$D$6)=0,SUM(T159)-SUM(W159),IF('附表1-面积统计表'!$D$29=0,"",IF(AND(V159="共同成本费用",Z159="总建筑面积法"),ROUND(T159/'附表1-面积统计表'!$D$29*'附表1-面积统计表'!$D$7,2),IF(AND(V159="共同成本费用",Z159="可售建筑面积法"),ROUND(T159/'附表1-面积统计表'!$F$29*'附表1-面积统计表'!$F$7,2),"请手工填写"))))</f>
        <v>3258.44</v>
      </c>
      <c r="Z159" s="183" t="s">
        <v>351</v>
      </c>
      <c r="AA159" s="157"/>
      <c r="AB159" s="184" t="s">
        <v>2319</v>
      </c>
      <c r="AC159" s="132">
        <f t="shared" si="12"/>
        <v>0</v>
      </c>
    </row>
    <row r="160" s="132" customFormat="1" ht="24" customHeight="1" spans="1:29">
      <c r="A160" s="150">
        <v>154</v>
      </c>
      <c r="B160" s="151">
        <v>43760</v>
      </c>
      <c r="C160" s="152" t="s">
        <v>2466</v>
      </c>
      <c r="D160" s="157" t="s">
        <v>2346</v>
      </c>
      <c r="E160" s="158" t="s">
        <v>2506</v>
      </c>
      <c r="F160" s="159" t="s">
        <v>2742</v>
      </c>
      <c r="G160" s="156"/>
      <c r="H160" s="157" t="str">
        <f>IF(G160="","",VLOOKUP(G160,'附表8-合同明细采集底稿'!B:I,2,0))</f>
        <v/>
      </c>
      <c r="I160" s="165" t="str">
        <f>IF(G160="","",VLOOKUP(G160,'附表8-合同明细采集底稿'!B:I,3,0))</f>
        <v/>
      </c>
      <c r="J160" s="165" t="s">
        <v>2743</v>
      </c>
      <c r="K160" s="157" t="s">
        <v>2355</v>
      </c>
      <c r="L160" s="166" t="s">
        <v>2367</v>
      </c>
      <c r="M160" s="555" t="s">
        <v>2744</v>
      </c>
      <c r="N160" s="167">
        <v>8038.83</v>
      </c>
      <c r="O160" s="167">
        <v>8280</v>
      </c>
      <c r="P160" s="167">
        <v>8038.83</v>
      </c>
      <c r="Q160" s="167"/>
      <c r="R160" s="167">
        <f t="shared" si="14"/>
        <v>8038.83</v>
      </c>
      <c r="S160" s="178">
        <v>0.338555832480367</v>
      </c>
      <c r="T160" s="167">
        <f t="shared" si="15"/>
        <v>2721.59</v>
      </c>
      <c r="U160" s="157" t="s">
        <v>2318</v>
      </c>
      <c r="V160" s="179" t="s">
        <v>375</v>
      </c>
      <c r="W160" s="180">
        <f>IF('附表1-面积统计表'!$D$29=0,"",IF(AND(V160="共同成本费用",Z160="总建筑面积法"),ROUND(T160/'附表1-面积统计表'!$D$29*'附表1-面积统计表'!$D$5,2),IF(AND(V160="共同成本费用",Z160="可售建筑面积法"),ROUND(T160/'附表1-面积统计表'!$F$29*'附表1-面积统计表'!$F$5,2),"请手工填写")))</f>
        <v>1318.51</v>
      </c>
      <c r="X160" s="180">
        <f>IF(SUM('附表1-面积统计表'!$D$6)=0,"",SUM(T160)-SUM(W160)-SUM(Y160))</f>
        <v>872.36</v>
      </c>
      <c r="Y160" s="180">
        <f>IF(SUM('附表1-面积统计表'!$D$6)=0,SUM(T160)-SUM(W160),IF('附表1-面积统计表'!$D$29=0,"",IF(AND(V160="共同成本费用",Z160="总建筑面积法"),ROUND(T160/'附表1-面积统计表'!$D$29*'附表1-面积统计表'!$D$7,2),IF(AND(V160="共同成本费用",Z160="可售建筑面积法"),ROUND(T160/'附表1-面积统计表'!$F$29*'附表1-面积统计表'!$F$7,2),"请手工填写"))))</f>
        <v>530.72</v>
      </c>
      <c r="Z160" s="183" t="s">
        <v>351</v>
      </c>
      <c r="AA160" s="157"/>
      <c r="AB160" s="184" t="s">
        <v>2319</v>
      </c>
      <c r="AC160" s="132">
        <f t="shared" si="12"/>
        <v>0</v>
      </c>
    </row>
    <row r="161" s="132" customFormat="1" ht="24" customHeight="1" spans="1:29">
      <c r="A161" s="150">
        <v>155</v>
      </c>
      <c r="B161" s="151">
        <v>43762</v>
      </c>
      <c r="C161" s="152" t="s">
        <v>2643</v>
      </c>
      <c r="D161" s="157" t="s">
        <v>2346</v>
      </c>
      <c r="E161" s="158" t="s">
        <v>2506</v>
      </c>
      <c r="F161" s="159" t="s">
        <v>2745</v>
      </c>
      <c r="G161" s="156" t="s">
        <v>2661</v>
      </c>
      <c r="H161" s="157" t="str">
        <f>IF(G161="","",VLOOKUP(G161,'附表8-合同明细采集底稿'!B:I,2,0))</f>
        <v>景观用钢材</v>
      </c>
      <c r="I161" s="165" t="str">
        <f>IF(G161="","",VLOOKUP(G161,'附表8-合同明细采集底稿'!B:I,3,0))</f>
        <v>其他合同</v>
      </c>
      <c r="J161" s="169" t="s">
        <v>2662</v>
      </c>
      <c r="K161" s="157" t="s">
        <v>2335</v>
      </c>
      <c r="L161" s="168" t="s">
        <v>2336</v>
      </c>
      <c r="M161" s="166">
        <v>14857027</v>
      </c>
      <c r="N161" s="167">
        <v>1775</v>
      </c>
      <c r="O161" s="167">
        <v>1775</v>
      </c>
      <c r="P161" s="167">
        <v>1775</v>
      </c>
      <c r="Q161" s="167">
        <v>-1775</v>
      </c>
      <c r="R161" s="167">
        <f t="shared" si="14"/>
        <v>0</v>
      </c>
      <c r="S161" s="178">
        <f>IFERROR(VLOOKUP(G161,'附表8-合同明细采集底稿'!B:N,12,0),100%)</f>
        <v>1</v>
      </c>
      <c r="T161" s="167">
        <f t="shared" si="15"/>
        <v>0</v>
      </c>
      <c r="U161" s="157" t="s">
        <v>2344</v>
      </c>
      <c r="V161" s="179" t="s">
        <v>375</v>
      </c>
      <c r="W161" s="180">
        <f>IF('附表1-面积统计表'!$D$29=0,"",IF(AND(V161="共同成本费用",Z161="总建筑面积法"),ROUND(T161/'附表1-面积统计表'!$D$29*'附表1-面积统计表'!$D$5,2),IF(AND(V161="共同成本费用",Z161="可售建筑面积法"),ROUND(T161/'附表1-面积统计表'!$F$29*'附表1-面积统计表'!$F$5,2),"请手工填写")))</f>
        <v>0</v>
      </c>
      <c r="X161" s="180">
        <f>IF(SUM('附表1-面积统计表'!$D$6)=0,"",SUM(T161)-SUM(W161)-SUM(Y161))</f>
        <v>0</v>
      </c>
      <c r="Y161" s="180">
        <f>IF(SUM('附表1-面积统计表'!$D$6)=0,SUM(T161)-SUM(W161),IF('附表1-面积统计表'!$D$29=0,"",IF(AND(V161="共同成本费用",Z161="总建筑面积法"),ROUND(T161/'附表1-面积统计表'!$D$29*'附表1-面积统计表'!$D$7,2),IF(AND(V161="共同成本费用",Z161="可售建筑面积法"),ROUND(T161/'附表1-面积统计表'!$F$29*'附表1-面积统计表'!$F$7,2),"请手工填写"))))</f>
        <v>0</v>
      </c>
      <c r="Z161" s="183" t="s">
        <v>351</v>
      </c>
      <c r="AA161" s="157"/>
      <c r="AB161" s="184" t="s">
        <v>2319</v>
      </c>
      <c r="AC161" s="132">
        <f t="shared" si="12"/>
        <v>0</v>
      </c>
    </row>
    <row r="162" s="132" customFormat="1" ht="24" customHeight="1" spans="1:29">
      <c r="A162" s="150">
        <v>156</v>
      </c>
      <c r="B162" s="151">
        <v>43762</v>
      </c>
      <c r="C162" s="152" t="s">
        <v>2643</v>
      </c>
      <c r="D162" s="157" t="s">
        <v>2346</v>
      </c>
      <c r="E162" s="158" t="s">
        <v>2501</v>
      </c>
      <c r="F162" s="159" t="s">
        <v>2745</v>
      </c>
      <c r="G162" s="156"/>
      <c r="H162" s="157" t="str">
        <f>IF(G162="","",VLOOKUP(G162,'附表8-合同明细采集底稿'!B:I,2,0))</f>
        <v/>
      </c>
      <c r="I162" s="165" t="str">
        <f>IF(G162="","",VLOOKUP(G162,'附表8-合同明细采集底稿'!B:I,3,0))</f>
        <v/>
      </c>
      <c r="J162" s="169" t="s">
        <v>2746</v>
      </c>
      <c r="K162" s="157" t="s">
        <v>2335</v>
      </c>
      <c r="L162" s="168" t="s">
        <v>2336</v>
      </c>
      <c r="M162" s="166">
        <v>37140894</v>
      </c>
      <c r="N162" s="167">
        <v>600</v>
      </c>
      <c r="O162" s="167">
        <v>600</v>
      </c>
      <c r="P162" s="167">
        <v>600</v>
      </c>
      <c r="Q162" s="167">
        <v>-600</v>
      </c>
      <c r="R162" s="167">
        <f t="shared" si="14"/>
        <v>0</v>
      </c>
      <c r="S162" s="178">
        <v>0.338555832480367</v>
      </c>
      <c r="T162" s="167">
        <f t="shared" si="15"/>
        <v>0</v>
      </c>
      <c r="U162" s="157" t="s">
        <v>2318</v>
      </c>
      <c r="V162" s="179" t="s">
        <v>375</v>
      </c>
      <c r="W162" s="180">
        <f>IF('附表1-面积统计表'!$D$29=0,"",IF(AND(V162="共同成本费用",Z162="总建筑面积法"),ROUND(T162/'附表1-面积统计表'!$D$29*'附表1-面积统计表'!$D$5,2),IF(AND(V162="共同成本费用",Z162="可售建筑面积法"),ROUND(T162/'附表1-面积统计表'!$F$29*'附表1-面积统计表'!$F$5,2),"请手工填写")))</f>
        <v>0</v>
      </c>
      <c r="X162" s="180">
        <f>IF(SUM('附表1-面积统计表'!$D$6)=0,"",SUM(T162)-SUM(W162)-SUM(Y162))</f>
        <v>0</v>
      </c>
      <c r="Y162" s="180">
        <f>IF(SUM('附表1-面积统计表'!$D$6)=0,SUM(T162)-SUM(W162),IF('附表1-面积统计表'!$D$29=0,"",IF(AND(V162="共同成本费用",Z162="总建筑面积法"),ROUND(T162/'附表1-面积统计表'!$D$29*'附表1-面积统计表'!$D$7,2),IF(AND(V162="共同成本费用",Z162="可售建筑面积法"),ROUND(T162/'附表1-面积统计表'!$F$29*'附表1-面积统计表'!$F$7,2),"请手工填写"))))</f>
        <v>0</v>
      </c>
      <c r="Z162" s="183" t="s">
        <v>351</v>
      </c>
      <c r="AA162" s="157"/>
      <c r="AB162" s="184" t="s">
        <v>2319</v>
      </c>
      <c r="AC162" s="132">
        <f t="shared" si="12"/>
        <v>0</v>
      </c>
    </row>
    <row r="163" s="132" customFormat="1" ht="24" customHeight="1" spans="1:29">
      <c r="A163" s="150">
        <v>157</v>
      </c>
      <c r="B163" s="151">
        <v>43762</v>
      </c>
      <c r="C163" s="152" t="s">
        <v>2747</v>
      </c>
      <c r="D163" s="157" t="s">
        <v>2346</v>
      </c>
      <c r="E163" s="158" t="s">
        <v>2506</v>
      </c>
      <c r="F163" s="159" t="s">
        <v>2507</v>
      </c>
      <c r="G163" s="156" t="s">
        <v>2730</v>
      </c>
      <c r="H163" s="157" t="str">
        <f>IF(G163="","",VLOOKUP(G163,'附表8-合同明细采集底稿'!B:I,2,0))</f>
        <v>购PVC管等、井盖</v>
      </c>
      <c r="I163" s="165" t="str">
        <f>IF(G163="","",VLOOKUP(G163,'附表8-合同明细采集底稿'!B:I,3,0))</f>
        <v>其他合同</v>
      </c>
      <c r="J163" s="169" t="s">
        <v>2731</v>
      </c>
      <c r="K163" s="157" t="s">
        <v>2335</v>
      </c>
      <c r="L163" s="168" t="s">
        <v>2336</v>
      </c>
      <c r="M163" s="166">
        <v>16373391</v>
      </c>
      <c r="N163" s="167">
        <v>7680</v>
      </c>
      <c r="O163" s="167">
        <v>7680</v>
      </c>
      <c r="P163" s="167">
        <v>7680</v>
      </c>
      <c r="Q163" s="167">
        <v>-7680</v>
      </c>
      <c r="R163" s="167">
        <f t="shared" si="14"/>
        <v>0</v>
      </c>
      <c r="S163" s="178">
        <f>IFERROR(VLOOKUP(G163,'附表8-合同明细采集底稿'!B:N,12,0),100%)</f>
        <v>1</v>
      </c>
      <c r="T163" s="167">
        <f t="shared" si="15"/>
        <v>0</v>
      </c>
      <c r="U163" s="157" t="s">
        <v>2344</v>
      </c>
      <c r="V163" s="179" t="s">
        <v>375</v>
      </c>
      <c r="W163" s="180">
        <f>IF('附表1-面积统计表'!$D$29=0,"",IF(AND(V163="共同成本费用",Z163="总建筑面积法"),ROUND(T163/'附表1-面积统计表'!$D$29*'附表1-面积统计表'!$D$5,2),IF(AND(V163="共同成本费用",Z163="可售建筑面积法"),ROUND(T163/'附表1-面积统计表'!$F$29*'附表1-面积统计表'!$F$5,2),"请手工填写")))</f>
        <v>0</v>
      </c>
      <c r="X163" s="180">
        <f>IF(SUM('附表1-面积统计表'!$D$6)=0,"",SUM(T163)-SUM(W163)-SUM(Y163))</f>
        <v>0</v>
      </c>
      <c r="Y163" s="180">
        <f>IF(SUM('附表1-面积统计表'!$D$6)=0,SUM(T163)-SUM(W163),IF('附表1-面积统计表'!$D$29=0,"",IF(AND(V163="共同成本费用",Z163="总建筑面积法"),ROUND(T163/'附表1-面积统计表'!$D$29*'附表1-面积统计表'!$D$7,2),IF(AND(V163="共同成本费用",Z163="可售建筑面积法"),ROUND(T163/'附表1-面积统计表'!$F$29*'附表1-面积统计表'!$F$7,2),"请手工填写"))))</f>
        <v>0</v>
      </c>
      <c r="Z163" s="183" t="s">
        <v>351</v>
      </c>
      <c r="AA163" s="157"/>
      <c r="AB163" s="184" t="s">
        <v>2319</v>
      </c>
      <c r="AC163" s="132">
        <f t="shared" si="12"/>
        <v>0</v>
      </c>
    </row>
    <row r="164" s="132" customFormat="1" ht="24" customHeight="1" spans="1:29">
      <c r="A164" s="150">
        <v>158</v>
      </c>
      <c r="B164" s="151">
        <v>43766</v>
      </c>
      <c r="C164" s="152" t="s">
        <v>2748</v>
      </c>
      <c r="D164" s="157" t="s">
        <v>2346</v>
      </c>
      <c r="E164" s="158" t="s">
        <v>2453</v>
      </c>
      <c r="F164" s="159" t="s">
        <v>2749</v>
      </c>
      <c r="G164" s="156"/>
      <c r="H164" s="157" t="str">
        <f>IF(G164="","",VLOOKUP(G164,'附表8-合同明细采集底稿'!B:I,2,0))</f>
        <v/>
      </c>
      <c r="I164" s="165" t="str">
        <f>IF(G164="","",VLOOKUP(G164,'附表8-合同明细采集底稿'!B:I,3,0))</f>
        <v/>
      </c>
      <c r="J164" s="169" t="s">
        <v>2750</v>
      </c>
      <c r="K164" s="157" t="s">
        <v>2335</v>
      </c>
      <c r="L164" s="168" t="s">
        <v>2336</v>
      </c>
      <c r="M164" s="166">
        <v>29976493</v>
      </c>
      <c r="N164" s="167">
        <v>8250</v>
      </c>
      <c r="O164" s="167">
        <v>8250</v>
      </c>
      <c r="P164" s="167">
        <v>8250</v>
      </c>
      <c r="Q164" s="167">
        <v>-8250</v>
      </c>
      <c r="R164" s="167">
        <f t="shared" si="14"/>
        <v>0</v>
      </c>
      <c r="S164" s="178">
        <v>0.338555832480367</v>
      </c>
      <c r="T164" s="167">
        <f t="shared" si="15"/>
        <v>0</v>
      </c>
      <c r="U164" s="157" t="s">
        <v>2318</v>
      </c>
      <c r="V164" s="179" t="s">
        <v>375</v>
      </c>
      <c r="W164" s="180">
        <f>IF('附表1-面积统计表'!$D$29=0,"",IF(AND(V164="共同成本费用",Z164="总建筑面积法"),ROUND(T164/'附表1-面积统计表'!$D$29*'附表1-面积统计表'!$D$5,2),IF(AND(V164="共同成本费用",Z164="可售建筑面积法"),ROUND(T164/'附表1-面积统计表'!$F$29*'附表1-面积统计表'!$F$5,2),"请手工填写")))</f>
        <v>0</v>
      </c>
      <c r="X164" s="180">
        <f>IF(SUM('附表1-面积统计表'!$D$6)=0,"",SUM(T164)-SUM(W164)-SUM(Y164))</f>
        <v>0</v>
      </c>
      <c r="Y164" s="180">
        <f>IF(SUM('附表1-面积统计表'!$D$6)=0,SUM(T164)-SUM(W164),IF('附表1-面积统计表'!$D$29=0,"",IF(AND(V164="共同成本费用",Z164="总建筑面积法"),ROUND(T164/'附表1-面积统计表'!$D$29*'附表1-面积统计表'!$D$7,2),IF(AND(V164="共同成本费用",Z164="可售建筑面积法"),ROUND(T164/'附表1-面积统计表'!$F$29*'附表1-面积统计表'!$F$7,2),"请手工填写"))))</f>
        <v>0</v>
      </c>
      <c r="Z164" s="183" t="s">
        <v>351</v>
      </c>
      <c r="AA164" s="157"/>
      <c r="AB164" s="184" t="s">
        <v>2319</v>
      </c>
      <c r="AC164" s="132">
        <f t="shared" si="12"/>
        <v>0</v>
      </c>
    </row>
    <row r="165" s="132" customFormat="1" ht="24" customHeight="1" spans="1:29">
      <c r="A165" s="150">
        <v>159</v>
      </c>
      <c r="B165" s="151">
        <v>43766</v>
      </c>
      <c r="C165" s="152" t="s">
        <v>2748</v>
      </c>
      <c r="D165" s="157" t="s">
        <v>2346</v>
      </c>
      <c r="E165" s="158" t="s">
        <v>2453</v>
      </c>
      <c r="F165" s="159" t="s">
        <v>2749</v>
      </c>
      <c r="G165" s="156"/>
      <c r="H165" s="157" t="str">
        <f>IF(G165="","",VLOOKUP(G165,'附表8-合同明细采集底稿'!B:I,2,0))</f>
        <v/>
      </c>
      <c r="I165" s="165" t="str">
        <f>IF(G165="","",VLOOKUP(G165,'附表8-合同明细采集底稿'!B:I,3,0))</f>
        <v/>
      </c>
      <c r="J165" s="169" t="s">
        <v>2750</v>
      </c>
      <c r="K165" s="157" t="s">
        <v>2335</v>
      </c>
      <c r="L165" s="168" t="s">
        <v>2336</v>
      </c>
      <c r="M165" s="166">
        <v>29976494</v>
      </c>
      <c r="N165" s="167">
        <v>3400</v>
      </c>
      <c r="O165" s="167">
        <v>3400</v>
      </c>
      <c r="P165" s="167">
        <v>3400</v>
      </c>
      <c r="Q165" s="167">
        <v>-3400</v>
      </c>
      <c r="R165" s="167">
        <f t="shared" si="14"/>
        <v>0</v>
      </c>
      <c r="S165" s="178">
        <v>0.338555832480367</v>
      </c>
      <c r="T165" s="167">
        <f t="shared" si="15"/>
        <v>0</v>
      </c>
      <c r="U165" s="157" t="s">
        <v>2318</v>
      </c>
      <c r="V165" s="179" t="s">
        <v>375</v>
      </c>
      <c r="W165" s="180">
        <f>IF('附表1-面积统计表'!$D$29=0,"",IF(AND(V165="共同成本费用",Z165="总建筑面积法"),ROUND(T165/'附表1-面积统计表'!$D$29*'附表1-面积统计表'!$D$5,2),IF(AND(V165="共同成本费用",Z165="可售建筑面积法"),ROUND(T165/'附表1-面积统计表'!$F$29*'附表1-面积统计表'!$F$5,2),"请手工填写")))</f>
        <v>0</v>
      </c>
      <c r="X165" s="180">
        <f>IF(SUM('附表1-面积统计表'!$D$6)=0,"",SUM(T165)-SUM(W165)-SUM(Y165))</f>
        <v>0</v>
      </c>
      <c r="Y165" s="180">
        <f>IF(SUM('附表1-面积统计表'!$D$6)=0,SUM(T165)-SUM(W165),IF('附表1-面积统计表'!$D$29=0,"",IF(AND(V165="共同成本费用",Z165="总建筑面积法"),ROUND(T165/'附表1-面积统计表'!$D$29*'附表1-面积统计表'!$D$7,2),IF(AND(V165="共同成本费用",Z165="可售建筑面积法"),ROUND(T165/'附表1-面积统计表'!$F$29*'附表1-面积统计表'!$F$7,2),"请手工填写"))))</f>
        <v>0</v>
      </c>
      <c r="Z165" s="183" t="s">
        <v>351</v>
      </c>
      <c r="AA165" s="157"/>
      <c r="AB165" s="184" t="s">
        <v>2319</v>
      </c>
      <c r="AC165" s="132">
        <f t="shared" si="12"/>
        <v>0</v>
      </c>
    </row>
    <row r="166" s="132" customFormat="1" ht="24" customHeight="1" spans="1:29">
      <c r="A166" s="150">
        <v>160</v>
      </c>
      <c r="B166" s="151">
        <v>43771</v>
      </c>
      <c r="C166" s="152" t="s">
        <v>2450</v>
      </c>
      <c r="D166" s="157" t="s">
        <v>2346</v>
      </c>
      <c r="E166" s="158" t="s">
        <v>2501</v>
      </c>
      <c r="F166" s="159" t="s">
        <v>2751</v>
      </c>
      <c r="G166" s="156" t="s">
        <v>2752</v>
      </c>
      <c r="H166" s="157" t="str">
        <f>IF(G166="","",VLOOKUP(G166,'附表8-合同明细采集底稿'!B:I,2,0))</f>
        <v>装修购木楼梯（样板间）</v>
      </c>
      <c r="I166" s="165" t="str">
        <f>IF(G166="","",VLOOKUP(G166,'附表8-合同明细采集底稿'!B:I,3,0))</f>
        <v>建设工程合同</v>
      </c>
      <c r="J166" s="165" t="s">
        <v>2753</v>
      </c>
      <c r="K166" s="157" t="s">
        <v>2335</v>
      </c>
      <c r="L166" s="168" t="s">
        <v>2336</v>
      </c>
      <c r="M166" s="554" t="s">
        <v>2754</v>
      </c>
      <c r="N166" s="167">
        <v>9625</v>
      </c>
      <c r="O166" s="167">
        <v>9625</v>
      </c>
      <c r="P166" s="167">
        <v>9625</v>
      </c>
      <c r="Q166" s="167">
        <v>-9625</v>
      </c>
      <c r="R166" s="167">
        <f t="shared" si="14"/>
        <v>0</v>
      </c>
      <c r="S166" s="178">
        <f>IFERROR(VLOOKUP(G166,'附表8-合同明细采集底稿'!B:N,12,0),100%)</f>
        <v>1</v>
      </c>
      <c r="T166" s="167">
        <f t="shared" si="15"/>
        <v>0</v>
      </c>
      <c r="U166" s="157" t="s">
        <v>2416</v>
      </c>
      <c r="V166" s="179" t="s">
        <v>374</v>
      </c>
      <c r="W166" s="182">
        <f>ROUND(T166*成本分摊比例!$G$13/(成本分摊比例!$G$13+成本分摊比例!$H$13+成本分摊比例!$I$13),2)</f>
        <v>0</v>
      </c>
      <c r="X166" s="182">
        <f>ROUND(T166*成本分摊比例!$H$13/(成本分摊比例!$G$13+成本分摊比例!$H$13+成本分摊比例!$I$13),2)</f>
        <v>0</v>
      </c>
      <c r="Y166" s="182">
        <f>T166-W166-X166</f>
        <v>0</v>
      </c>
      <c r="Z166" s="183" t="s">
        <v>2406</v>
      </c>
      <c r="AA166" s="157"/>
      <c r="AB166" s="184" t="s">
        <v>2319</v>
      </c>
      <c r="AC166" s="132">
        <f t="shared" si="12"/>
        <v>0</v>
      </c>
    </row>
    <row r="167" s="132" customFormat="1" ht="24" customHeight="1" spans="1:29">
      <c r="A167" s="150">
        <v>161</v>
      </c>
      <c r="B167" s="151">
        <v>43771</v>
      </c>
      <c r="C167" s="152" t="s">
        <v>2755</v>
      </c>
      <c r="D167" s="157" t="s">
        <v>2346</v>
      </c>
      <c r="E167" s="158" t="s">
        <v>2501</v>
      </c>
      <c r="F167" s="159" t="s">
        <v>2756</v>
      </c>
      <c r="G167" s="156" t="s">
        <v>2752</v>
      </c>
      <c r="H167" s="157" t="str">
        <f>IF(G167="","",VLOOKUP(G167,'附表8-合同明细采集底稿'!B:I,2,0))</f>
        <v>装修购木楼梯（样板间）</v>
      </c>
      <c r="I167" s="165" t="str">
        <f>IF(G167="","",VLOOKUP(G167,'附表8-合同明细采集底稿'!B:I,3,0))</f>
        <v>建设工程合同</v>
      </c>
      <c r="J167" s="165" t="s">
        <v>2753</v>
      </c>
      <c r="K167" s="157" t="s">
        <v>2335</v>
      </c>
      <c r="L167" s="168" t="s">
        <v>2336</v>
      </c>
      <c r="M167" s="554" t="s">
        <v>2757</v>
      </c>
      <c r="N167" s="167">
        <v>9625</v>
      </c>
      <c r="O167" s="167">
        <v>9625</v>
      </c>
      <c r="P167" s="167">
        <v>9625</v>
      </c>
      <c r="Q167" s="167">
        <v>-9625</v>
      </c>
      <c r="R167" s="167">
        <f t="shared" si="14"/>
        <v>0</v>
      </c>
      <c r="S167" s="178">
        <f>IFERROR(VLOOKUP(G167,'附表8-合同明细采集底稿'!B:N,12,0),100%)</f>
        <v>1</v>
      </c>
      <c r="T167" s="167">
        <f t="shared" si="15"/>
        <v>0</v>
      </c>
      <c r="U167" s="157" t="s">
        <v>2416</v>
      </c>
      <c r="V167" s="179" t="s">
        <v>374</v>
      </c>
      <c r="W167" s="182">
        <f>ROUND(T167*成本分摊比例!$G$13/(成本分摊比例!$G$13+成本分摊比例!$H$13+成本分摊比例!$I$13),2)</f>
        <v>0</v>
      </c>
      <c r="X167" s="182">
        <f>ROUND(T167*成本分摊比例!$H$13/(成本分摊比例!$G$13+成本分摊比例!$H$13+成本分摊比例!$I$13),2)</f>
        <v>0</v>
      </c>
      <c r="Y167" s="182">
        <f>T167-W167-X167</f>
        <v>0</v>
      </c>
      <c r="Z167" s="183" t="s">
        <v>2406</v>
      </c>
      <c r="AA167" s="157"/>
      <c r="AB167" s="184" t="s">
        <v>2319</v>
      </c>
      <c r="AC167" s="132">
        <f t="shared" si="12"/>
        <v>0</v>
      </c>
    </row>
    <row r="168" s="132" customFormat="1" ht="24" customHeight="1" spans="1:29">
      <c r="A168" s="150">
        <v>162</v>
      </c>
      <c r="B168" s="151">
        <v>43771</v>
      </c>
      <c r="C168" s="152" t="s">
        <v>2386</v>
      </c>
      <c r="D168" s="157" t="s">
        <v>2533</v>
      </c>
      <c r="E168" s="158" t="s">
        <v>2534</v>
      </c>
      <c r="F168" s="159" t="s">
        <v>2756</v>
      </c>
      <c r="G168" s="156"/>
      <c r="H168" s="157" t="str">
        <f>IF(G168="","",VLOOKUP(G168,'附表8-合同明细采集底稿'!B:I,2,0))</f>
        <v/>
      </c>
      <c r="I168" s="165" t="str">
        <f>IF(G168="","",VLOOKUP(G168,'附表8-合同明细采集底稿'!B:I,3,0))</f>
        <v/>
      </c>
      <c r="J168" s="154" t="s">
        <v>2758</v>
      </c>
      <c r="K168" s="157" t="s">
        <v>2335</v>
      </c>
      <c r="L168" s="168" t="s">
        <v>2336</v>
      </c>
      <c r="M168" s="155">
        <v>31512812</v>
      </c>
      <c r="N168" s="167">
        <v>2100</v>
      </c>
      <c r="O168" s="167">
        <v>2100</v>
      </c>
      <c r="P168" s="167">
        <v>2100</v>
      </c>
      <c r="Q168" s="167">
        <v>-2100</v>
      </c>
      <c r="R168" s="167">
        <f t="shared" si="14"/>
        <v>0</v>
      </c>
      <c r="S168" s="178">
        <v>1</v>
      </c>
      <c r="T168" s="167">
        <f t="shared" si="15"/>
        <v>0</v>
      </c>
      <c r="U168" s="157" t="s">
        <v>2344</v>
      </c>
      <c r="V168" s="179" t="s">
        <v>375</v>
      </c>
      <c r="W168" s="180">
        <f>IF('附表1-面积统计表'!$D$29=0,"",IF(AND(V168="共同成本费用",Z168="总建筑面积法"),ROUND(T168/'附表1-面积统计表'!$D$29*'附表1-面积统计表'!$D$5,2),IF(AND(V168="共同成本费用",Z168="可售建筑面积法"),ROUND(T168/'附表1-面积统计表'!$F$29*'附表1-面积统计表'!$F$5,2),"请手工填写")))</f>
        <v>0</v>
      </c>
      <c r="X168" s="180">
        <f>IF(SUM('附表1-面积统计表'!$D$6)=0,"",SUM(T168)-SUM(W168)-SUM(Y168))</f>
        <v>0</v>
      </c>
      <c r="Y168" s="180">
        <f>IF(SUM('附表1-面积统计表'!$D$6)=0,SUM(T168)-SUM(W168),IF('附表1-面积统计表'!$D$29=0,"",IF(AND(V168="共同成本费用",Z168="总建筑面积法"),ROUND(T168/'附表1-面积统计表'!$D$29*'附表1-面积统计表'!$D$7,2),IF(AND(V168="共同成本费用",Z168="可售建筑面积法"),ROUND(T168/'附表1-面积统计表'!$F$29*'附表1-面积统计表'!$F$7,2),"请手工填写"))))</f>
        <v>0</v>
      </c>
      <c r="Z168" s="183" t="s">
        <v>351</v>
      </c>
      <c r="AA168" s="157"/>
      <c r="AB168" s="184" t="s">
        <v>2319</v>
      </c>
      <c r="AC168" s="132">
        <f t="shared" si="12"/>
        <v>0</v>
      </c>
    </row>
    <row r="169" s="132" customFormat="1" ht="24" customHeight="1" spans="1:29">
      <c r="A169" s="150">
        <v>163</v>
      </c>
      <c r="B169" s="151">
        <v>43771</v>
      </c>
      <c r="C169" s="152" t="s">
        <v>2382</v>
      </c>
      <c r="D169" s="157" t="s">
        <v>2346</v>
      </c>
      <c r="E169" s="158" t="s">
        <v>2501</v>
      </c>
      <c r="F169" s="159" t="s">
        <v>2759</v>
      </c>
      <c r="G169" s="156"/>
      <c r="H169" s="157" t="str">
        <f>IF(G169="","",VLOOKUP(G169,'附表8-合同明细采集底稿'!B:I,2,0))</f>
        <v/>
      </c>
      <c r="I169" s="165" t="str">
        <f>IF(G169="","",VLOOKUP(G169,'附表8-合同明细采集底稿'!B:I,3,0))</f>
        <v/>
      </c>
      <c r="J169" s="165" t="s">
        <v>2760</v>
      </c>
      <c r="K169" s="157" t="s">
        <v>2335</v>
      </c>
      <c r="L169" s="168" t="s">
        <v>2336</v>
      </c>
      <c r="M169" s="155">
        <v>62462656</v>
      </c>
      <c r="N169" s="167">
        <v>4560</v>
      </c>
      <c r="O169" s="167">
        <v>4560</v>
      </c>
      <c r="P169" s="167">
        <v>4560</v>
      </c>
      <c r="Q169" s="167"/>
      <c r="R169" s="167">
        <f t="shared" si="14"/>
        <v>4560</v>
      </c>
      <c r="S169" s="178">
        <v>1</v>
      </c>
      <c r="T169" s="167">
        <f t="shared" si="15"/>
        <v>4560</v>
      </c>
      <c r="U169" s="157" t="s">
        <v>2344</v>
      </c>
      <c r="V169" s="179" t="s">
        <v>375</v>
      </c>
      <c r="W169" s="180">
        <f>IF('附表1-面积统计表'!$D$29=0,"",IF(AND(V169="共同成本费用",Z169="总建筑面积法"),ROUND(T169/'附表1-面积统计表'!$D$29*'附表1-面积统计表'!$D$5,2),IF(AND(V169="共同成本费用",Z169="可售建筑面积法"),ROUND(T169/'附表1-面积统计表'!$F$29*'附表1-面积统计表'!$F$5,2),"请手工填写")))</f>
        <v>2209.15</v>
      </c>
      <c r="X169" s="180">
        <f>IF(SUM('附表1-面积统计表'!$D$6)=0,"",SUM(T169)-SUM(W169)-SUM(Y169))</f>
        <v>1461.64</v>
      </c>
      <c r="Y169" s="180">
        <f>IF(SUM('附表1-面积统计表'!$D$6)=0,SUM(T169)-SUM(W169),IF('附表1-面积统计表'!$D$29=0,"",IF(AND(V169="共同成本费用",Z169="总建筑面积法"),ROUND(T169/'附表1-面积统计表'!$D$29*'附表1-面积统计表'!$D$7,2),IF(AND(V169="共同成本费用",Z169="可售建筑面积法"),ROUND(T169/'附表1-面积统计表'!$F$29*'附表1-面积统计表'!$F$7,2),"请手工填写"))))</f>
        <v>889.21</v>
      </c>
      <c r="Z169" s="183" t="s">
        <v>351</v>
      </c>
      <c r="AA169" s="157"/>
      <c r="AB169" s="184" t="s">
        <v>2319</v>
      </c>
      <c r="AC169" s="132">
        <f t="shared" si="12"/>
        <v>0</v>
      </c>
    </row>
    <row r="170" s="132" customFormat="1" ht="24" customHeight="1" spans="1:29">
      <c r="A170" s="150">
        <v>164</v>
      </c>
      <c r="B170" s="151">
        <v>43771</v>
      </c>
      <c r="C170" s="152" t="s">
        <v>2429</v>
      </c>
      <c r="D170" s="157" t="s">
        <v>2346</v>
      </c>
      <c r="E170" s="158" t="s">
        <v>2418</v>
      </c>
      <c r="F170" s="159" t="s">
        <v>2761</v>
      </c>
      <c r="G170" s="156"/>
      <c r="H170" s="157" t="str">
        <f>IF(G170="","",VLOOKUP(G170,'附表8-合同明细采集底稿'!B:I,2,0))</f>
        <v/>
      </c>
      <c r="I170" s="165" t="str">
        <f>IF(G170="","",VLOOKUP(G170,'附表8-合同明细采集底稿'!B:I,3,0))</f>
        <v/>
      </c>
      <c r="J170" s="165" t="s">
        <v>2762</v>
      </c>
      <c r="K170" s="157" t="s">
        <v>2335</v>
      </c>
      <c r="L170" s="168" t="s">
        <v>2336</v>
      </c>
      <c r="M170" s="155">
        <v>14856632</v>
      </c>
      <c r="N170" s="167">
        <v>8120</v>
      </c>
      <c r="O170" s="167">
        <v>8120</v>
      </c>
      <c r="P170" s="167">
        <v>8120</v>
      </c>
      <c r="Q170" s="167">
        <v>-8120</v>
      </c>
      <c r="R170" s="167">
        <f t="shared" si="14"/>
        <v>0</v>
      </c>
      <c r="S170" s="178">
        <v>1</v>
      </c>
      <c r="T170" s="167">
        <f t="shared" si="15"/>
        <v>0</v>
      </c>
      <c r="U170" s="157" t="s">
        <v>2344</v>
      </c>
      <c r="V170" s="179" t="s">
        <v>375</v>
      </c>
      <c r="W170" s="180">
        <f>IF('附表1-面积统计表'!$D$29=0,"",IF(AND(V170="共同成本费用",Z170="总建筑面积法"),ROUND(T170/'附表1-面积统计表'!$D$29*'附表1-面积统计表'!$D$5,2),IF(AND(V170="共同成本费用",Z170="可售建筑面积法"),ROUND(T170/'附表1-面积统计表'!$F$29*'附表1-面积统计表'!$F$5,2),"请手工填写")))</f>
        <v>0</v>
      </c>
      <c r="X170" s="180">
        <f>IF(SUM('附表1-面积统计表'!$D$6)=0,"",SUM(T170)-SUM(W170)-SUM(Y170))</f>
        <v>0</v>
      </c>
      <c r="Y170" s="180">
        <f>IF(SUM('附表1-面积统计表'!$D$6)=0,SUM(T170)-SUM(W170),IF('附表1-面积统计表'!$D$29=0,"",IF(AND(V170="共同成本费用",Z170="总建筑面积法"),ROUND(T170/'附表1-面积统计表'!$D$29*'附表1-面积统计表'!$D$7,2),IF(AND(V170="共同成本费用",Z170="可售建筑面积法"),ROUND(T170/'附表1-面积统计表'!$F$29*'附表1-面积统计表'!$F$7,2),"请手工填写"))))</f>
        <v>0</v>
      </c>
      <c r="Z170" s="183" t="s">
        <v>351</v>
      </c>
      <c r="AA170" s="157"/>
      <c r="AB170" s="184" t="s">
        <v>2319</v>
      </c>
      <c r="AC170" s="132">
        <f t="shared" si="12"/>
        <v>0</v>
      </c>
    </row>
    <row r="171" s="132" customFormat="1" ht="24" customHeight="1" spans="1:29">
      <c r="A171" s="150">
        <v>165</v>
      </c>
      <c r="B171" s="151">
        <v>43776</v>
      </c>
      <c r="C171" s="152" t="s">
        <v>2763</v>
      </c>
      <c r="D171" s="157" t="s">
        <v>2533</v>
      </c>
      <c r="E171" s="158" t="s">
        <v>2564</v>
      </c>
      <c r="F171" s="159" t="s">
        <v>2764</v>
      </c>
      <c r="G171" s="156" t="s">
        <v>2672</v>
      </c>
      <c r="H171" s="157" t="str">
        <f>IF(G171="","",VLOOKUP(G171,'附表8-合同明细采集底稿'!B:I,2,0))</f>
        <v>沁春锦苑楼19#20#23#24#施工协议</v>
      </c>
      <c r="I171" s="165" t="str">
        <f>IF(G171="","",VLOOKUP(G171,'附表8-合同明细采集底稿'!B:I,3,0))</f>
        <v>建设工程合同</v>
      </c>
      <c r="J171" s="154" t="s">
        <v>144</v>
      </c>
      <c r="K171" s="157" t="s">
        <v>2355</v>
      </c>
      <c r="L171" s="166">
        <v>6500191130</v>
      </c>
      <c r="M171" s="554" t="s">
        <v>2765</v>
      </c>
      <c r="N171" s="167">
        <v>16513761.42</v>
      </c>
      <c r="O171" s="167">
        <v>18000000</v>
      </c>
      <c r="P171" s="167">
        <v>16513761.42</v>
      </c>
      <c r="Q171" s="167"/>
      <c r="R171" s="167">
        <f t="shared" si="14"/>
        <v>16513761.42</v>
      </c>
      <c r="S171" s="178">
        <f>IFERROR(VLOOKUP(G171,'附表8-合同明细采集底稿'!B:N,12,0),100%)</f>
        <v>1</v>
      </c>
      <c r="T171" s="167">
        <f t="shared" si="15"/>
        <v>16513761.42</v>
      </c>
      <c r="U171" s="157" t="s">
        <v>2416</v>
      </c>
      <c r="V171" s="179" t="s">
        <v>374</v>
      </c>
      <c r="W171" s="182">
        <f>ROUND(T171*成本分摊比例!$G$13/(成本分摊比例!$G$13+成本分摊比例!$H$13+成本分摊比例!$I$13),2)</f>
        <v>8922414.63</v>
      </c>
      <c r="X171" s="182">
        <f>ROUND(T171*成本分摊比例!$H$13/(成本分摊比例!$G$13+成本分摊比例!$H$13+成本分摊比例!$I$13),2)</f>
        <v>5903315.27</v>
      </c>
      <c r="Y171" s="182">
        <f t="shared" ref="Y171:Y176" si="16">T171-W171-X171</f>
        <v>1688031.52</v>
      </c>
      <c r="Z171" s="183" t="s">
        <v>2406</v>
      </c>
      <c r="AA171" s="157"/>
      <c r="AB171" s="184" t="s">
        <v>2319</v>
      </c>
      <c r="AC171" s="132">
        <f t="shared" si="12"/>
        <v>0</v>
      </c>
    </row>
    <row r="172" s="132" customFormat="1" ht="24" customHeight="1" spans="1:29">
      <c r="A172" s="150">
        <v>166</v>
      </c>
      <c r="B172" s="151">
        <v>43776</v>
      </c>
      <c r="C172" s="152" t="s">
        <v>2546</v>
      </c>
      <c r="D172" s="157" t="s">
        <v>2346</v>
      </c>
      <c r="E172" s="158" t="s">
        <v>2453</v>
      </c>
      <c r="F172" s="159" t="s">
        <v>2766</v>
      </c>
      <c r="G172" s="156" t="s">
        <v>2555</v>
      </c>
      <c r="H172" s="157" t="str">
        <f>IF(G172="","",VLOOKUP(G172,'附表8-合同明细采集底稿'!B:I,2,0))</f>
        <v>沁春锦苑小区景观廊架工程</v>
      </c>
      <c r="I172" s="165" t="str">
        <f>IF(G172="","",VLOOKUP(G172,'附表8-合同明细采集底稿'!B:I,3,0))</f>
        <v>其他合同</v>
      </c>
      <c r="J172" s="165" t="s">
        <v>2556</v>
      </c>
      <c r="K172" s="157" t="s">
        <v>2355</v>
      </c>
      <c r="L172" s="166">
        <v>6500191130</v>
      </c>
      <c r="M172" s="554" t="s">
        <v>2767</v>
      </c>
      <c r="N172" s="167">
        <v>88495.58</v>
      </c>
      <c r="O172" s="167">
        <v>100000</v>
      </c>
      <c r="P172" s="167">
        <v>88495.58</v>
      </c>
      <c r="Q172" s="167"/>
      <c r="R172" s="167">
        <f t="shared" si="14"/>
        <v>88495.58</v>
      </c>
      <c r="S172" s="178">
        <f>IFERROR(VLOOKUP(G172,'附表8-合同明细采集底稿'!B:N,12,0),100%)</f>
        <v>0.338555832480367</v>
      </c>
      <c r="T172" s="167">
        <f t="shared" si="15"/>
        <v>29960.69</v>
      </c>
      <c r="U172" s="157" t="s">
        <v>2318</v>
      </c>
      <c r="V172" s="179" t="s">
        <v>375</v>
      </c>
      <c r="W172" s="180">
        <f>IF('附表1-面积统计表'!$D$29=0,"",IF(AND(V172="共同成本费用",Z172="总建筑面积法"),ROUND(T172/'附表1-面积统计表'!$D$29*'附表1-面积统计表'!$D$5,2),IF(AND(V172="共同成本费用",Z172="可售建筑面积法"),ROUND(T172/'附表1-面积统计表'!$F$29*'附表1-面积统计表'!$F$5,2),"请手工填写")))</f>
        <v>14514.85</v>
      </c>
      <c r="X172" s="180">
        <f>IF(SUM('附表1-面积统计表'!$D$6)=0,"",SUM(T172)-SUM(W172)-SUM(Y172))</f>
        <v>9603.42</v>
      </c>
      <c r="Y172" s="180">
        <f>IF(SUM('附表1-面积统计表'!$D$6)=0,SUM(T172)-SUM(W172),IF('附表1-面积统计表'!$D$29=0,"",IF(AND(V172="共同成本费用",Z172="总建筑面积法"),ROUND(T172/'附表1-面积统计表'!$D$29*'附表1-面积统计表'!$D$7,2),IF(AND(V172="共同成本费用",Z172="可售建筑面积法"),ROUND(T172/'附表1-面积统计表'!$F$29*'附表1-面积统计表'!$F$7,2),"请手工填写"))))</f>
        <v>5842.42</v>
      </c>
      <c r="Z172" s="183" t="s">
        <v>351</v>
      </c>
      <c r="AA172" s="157"/>
      <c r="AB172" s="184" t="s">
        <v>2319</v>
      </c>
      <c r="AC172" s="132">
        <f t="shared" si="12"/>
        <v>0</v>
      </c>
    </row>
    <row r="173" s="132" customFormat="1" ht="24" customHeight="1" spans="1:29">
      <c r="A173" s="150">
        <v>167</v>
      </c>
      <c r="B173" s="151">
        <v>43776</v>
      </c>
      <c r="C173" s="152" t="s">
        <v>2768</v>
      </c>
      <c r="D173" s="157" t="s">
        <v>2339</v>
      </c>
      <c r="E173" s="158" t="s">
        <v>2523</v>
      </c>
      <c r="F173" s="159" t="s">
        <v>2769</v>
      </c>
      <c r="G173" s="156"/>
      <c r="H173" s="157" t="str">
        <f>IF(G173="","",VLOOKUP(G173,'附表8-合同明细采集底稿'!B:I,2,0))</f>
        <v/>
      </c>
      <c r="I173" s="165" t="str">
        <f>IF(G173="","",VLOOKUP(G173,'附表8-合同明细采集底稿'!B:I,3,0))</f>
        <v/>
      </c>
      <c r="J173" s="154" t="s">
        <v>2770</v>
      </c>
      <c r="K173" s="157" t="s">
        <v>2335</v>
      </c>
      <c r="L173" s="168" t="s">
        <v>2336</v>
      </c>
      <c r="M173" s="155" t="s">
        <v>2771</v>
      </c>
      <c r="N173" s="167">
        <v>41400</v>
      </c>
      <c r="O173" s="167">
        <v>41400</v>
      </c>
      <c r="P173" s="167">
        <v>41400</v>
      </c>
      <c r="Q173" s="167"/>
      <c r="R173" s="167">
        <f t="shared" si="14"/>
        <v>41400</v>
      </c>
      <c r="S173" s="178">
        <v>1</v>
      </c>
      <c r="T173" s="167">
        <f t="shared" si="15"/>
        <v>41400</v>
      </c>
      <c r="U173" s="157" t="s">
        <v>2344</v>
      </c>
      <c r="V173" s="179" t="s">
        <v>375</v>
      </c>
      <c r="W173" s="180">
        <f>IF('附表1-面积统计表'!$D$29=0,"",IF(AND(V173="共同成本费用",Z173="总建筑面积法"),ROUND(T173/'附表1-面积统计表'!$D$29*'附表1-面积统计表'!$D$5,2),IF(AND(V173="共同成本费用",Z173="可售建筑面积法"),ROUND(T173/'附表1-面积统计表'!$F$29*'附表1-面积统计表'!$F$5,2),"请手工填写")))</f>
        <v>20056.77</v>
      </c>
      <c r="X173" s="180">
        <f>IF(SUM('附表1-面积统计表'!$D$6)=0,"",SUM(T173)-SUM(W173)-SUM(Y173))</f>
        <v>13270.11</v>
      </c>
      <c r="Y173" s="180">
        <f>IF(SUM('附表1-面积统计表'!$D$6)=0,SUM(T173)-SUM(W173),IF('附表1-面积统计表'!$D$29=0,"",IF(AND(V173="共同成本费用",Z173="总建筑面积法"),ROUND(T173/'附表1-面积统计表'!$D$29*'附表1-面积统计表'!$D$7,2),IF(AND(V173="共同成本费用",Z173="可售建筑面积法"),ROUND(T173/'附表1-面积统计表'!$F$29*'附表1-面积统计表'!$F$7,2),"请手工填写"))))</f>
        <v>8073.12</v>
      </c>
      <c r="Z173" s="183" t="s">
        <v>351</v>
      </c>
      <c r="AA173" s="157"/>
      <c r="AB173" s="184" t="s">
        <v>2319</v>
      </c>
      <c r="AC173" s="132">
        <f t="shared" si="12"/>
        <v>0</v>
      </c>
    </row>
    <row r="174" s="132" customFormat="1" ht="24" customHeight="1" spans="1:29">
      <c r="A174" s="150">
        <v>168</v>
      </c>
      <c r="B174" s="151">
        <v>43776</v>
      </c>
      <c r="C174" s="152" t="s">
        <v>2391</v>
      </c>
      <c r="D174" s="157" t="s">
        <v>2346</v>
      </c>
      <c r="E174" s="158" t="s">
        <v>2453</v>
      </c>
      <c r="F174" s="159" t="s">
        <v>2772</v>
      </c>
      <c r="G174" s="156"/>
      <c r="H174" s="157" t="str">
        <f>IF(G174="","",VLOOKUP(G174,'附表8-合同明细采集底稿'!B:I,2,0))</f>
        <v/>
      </c>
      <c r="I174" s="165" t="str">
        <f>IF(G174="","",VLOOKUP(G174,'附表8-合同明细采集底稿'!B:I,3,0))</f>
        <v/>
      </c>
      <c r="J174" s="165" t="s">
        <v>2773</v>
      </c>
      <c r="K174" s="157" t="s">
        <v>2335</v>
      </c>
      <c r="L174" s="168" t="s">
        <v>2336</v>
      </c>
      <c r="M174" s="155">
        <v>40155820</v>
      </c>
      <c r="N174" s="167">
        <v>79388.4</v>
      </c>
      <c r="O174" s="167">
        <v>79388.4</v>
      </c>
      <c r="P174" s="167">
        <v>79388.4</v>
      </c>
      <c r="Q174" s="167">
        <v>-12.4</v>
      </c>
      <c r="R174" s="167">
        <f t="shared" si="14"/>
        <v>79376</v>
      </c>
      <c r="S174" s="178">
        <v>1</v>
      </c>
      <c r="T174" s="167">
        <f t="shared" si="15"/>
        <v>79376</v>
      </c>
      <c r="U174" s="157" t="s">
        <v>2344</v>
      </c>
      <c r="V174" s="179" t="s">
        <v>375</v>
      </c>
      <c r="W174" s="180">
        <f>IF('附表1-面积统计表'!$D$29=0,"",IF(AND(V174="共同成本费用",Z174="总建筑面积法"),ROUND(T174/'附表1-面积统计表'!$D$29*'附表1-面积统计表'!$D$5,2),IF(AND(V174="共同成本费用",Z174="可售建筑面积法"),ROUND(T174/'附表1-面积统计表'!$F$29*'附表1-面积统计表'!$F$5,2),"请手工填写")))</f>
        <v>38454.74</v>
      </c>
      <c r="X174" s="180">
        <f>IF(SUM('附表1-面积统计表'!$D$6)=0,"",SUM(T174)-SUM(W174)-SUM(Y174))</f>
        <v>25442.72</v>
      </c>
      <c r="Y174" s="180">
        <f>IF(SUM('附表1-面积统计表'!$D$6)=0,SUM(T174)-SUM(W174),IF('附表1-面积统计表'!$D$29=0,"",IF(AND(V174="共同成本费用",Z174="总建筑面积法"),ROUND(T174/'附表1-面积统计表'!$D$29*'附表1-面积统计表'!$D$7,2),IF(AND(V174="共同成本费用",Z174="可售建筑面积法"),ROUND(T174/'附表1-面积统计表'!$F$29*'附表1-面积统计表'!$F$7,2),"请手工填写"))))</f>
        <v>15478.54</v>
      </c>
      <c r="Z174" s="183" t="s">
        <v>351</v>
      </c>
      <c r="AA174" s="157"/>
      <c r="AB174" s="184" t="s">
        <v>2319</v>
      </c>
      <c r="AC174" s="132">
        <f t="shared" si="12"/>
        <v>0</v>
      </c>
    </row>
    <row r="175" s="132" customFormat="1" ht="24" customHeight="1" spans="1:29">
      <c r="A175" s="150">
        <v>169</v>
      </c>
      <c r="B175" s="151">
        <v>43776</v>
      </c>
      <c r="C175" s="152" t="s">
        <v>2774</v>
      </c>
      <c r="D175" s="157" t="s">
        <v>2346</v>
      </c>
      <c r="E175" s="158" t="s">
        <v>2347</v>
      </c>
      <c r="F175" s="159" t="s">
        <v>2775</v>
      </c>
      <c r="G175" s="156" t="s">
        <v>2776</v>
      </c>
      <c r="H175" s="157" t="str">
        <f>IF(G175="","",VLOOKUP(G175,'附表8-合同明细采集底稿'!B:I,2,0))</f>
        <v>美的智能锁购销合同</v>
      </c>
      <c r="I175" s="165" t="str">
        <f>IF(G175="","",VLOOKUP(G175,'附表8-合同明细采集底稿'!B:I,3,0))</f>
        <v>其他合同</v>
      </c>
      <c r="J175" s="165" t="s">
        <v>2609</v>
      </c>
      <c r="K175" s="157" t="s">
        <v>2355</v>
      </c>
      <c r="L175" s="166">
        <v>6500191130</v>
      </c>
      <c r="M175" s="554" t="s">
        <v>2777</v>
      </c>
      <c r="N175" s="167">
        <v>32001.77</v>
      </c>
      <c r="O175" s="167">
        <v>36162</v>
      </c>
      <c r="P175" s="167">
        <v>32001.77</v>
      </c>
      <c r="Q175" s="167"/>
      <c r="R175" s="167">
        <f t="shared" si="14"/>
        <v>32001.77</v>
      </c>
      <c r="S175" s="178">
        <f>IFERROR(VLOOKUP(G175,'附表8-合同明细采集底稿'!B:N,12,0),100%)</f>
        <v>1</v>
      </c>
      <c r="T175" s="167">
        <f t="shared" si="15"/>
        <v>32001.77</v>
      </c>
      <c r="U175" s="157" t="s">
        <v>2416</v>
      </c>
      <c r="V175" s="179" t="s">
        <v>374</v>
      </c>
      <c r="W175" s="182">
        <f>ROUND(T175*成本分摊比例!$G$13/(成本分摊比例!$G$13+成本分摊比例!$H$13+成本分摊比例!$I$13),2)</f>
        <v>17290.61</v>
      </c>
      <c r="X175" s="182">
        <f>ROUND(T175*成本分摊比例!$H$13/(成本分摊比例!$G$13+成本分摊比例!$H$13+成本分摊比例!$I$13),2)</f>
        <v>11439.95</v>
      </c>
      <c r="Y175" s="182">
        <f t="shared" si="16"/>
        <v>3271.21</v>
      </c>
      <c r="Z175" s="183" t="s">
        <v>2406</v>
      </c>
      <c r="AA175" s="157"/>
      <c r="AB175" s="184" t="s">
        <v>2319</v>
      </c>
      <c r="AC175" s="132">
        <f t="shared" si="12"/>
        <v>0</v>
      </c>
    </row>
    <row r="176" s="132" customFormat="1" ht="24" customHeight="1" spans="1:29">
      <c r="A176" s="150">
        <v>170</v>
      </c>
      <c r="B176" s="151">
        <v>43777</v>
      </c>
      <c r="C176" s="152" t="s">
        <v>2441</v>
      </c>
      <c r="D176" s="157" t="s">
        <v>2533</v>
      </c>
      <c r="E176" s="158" t="s">
        <v>2690</v>
      </c>
      <c r="F176" s="159" t="s">
        <v>2778</v>
      </c>
      <c r="G176" s="156" t="s">
        <v>2692</v>
      </c>
      <c r="H176" s="157" t="str">
        <f>IF(G176="","",VLOOKUP(G176,'附表8-合同明细采集底稿'!B:I,2,0))</f>
        <v>沁春锦苑19、20、23、24号楼防火防盗门</v>
      </c>
      <c r="I176" s="165" t="str">
        <f>IF(G176="","",VLOOKUP(G176,'附表8-合同明细采集底稿'!B:I,3,0))</f>
        <v>买卖合同</v>
      </c>
      <c r="J176" s="154" t="s">
        <v>2693</v>
      </c>
      <c r="K176" s="157" t="s">
        <v>2355</v>
      </c>
      <c r="L176" s="166">
        <v>6500191130</v>
      </c>
      <c r="M176" s="554" t="s">
        <v>2779</v>
      </c>
      <c r="N176" s="167">
        <v>75221.24</v>
      </c>
      <c r="O176" s="167">
        <v>85000</v>
      </c>
      <c r="P176" s="167">
        <v>75221.24</v>
      </c>
      <c r="Q176" s="167"/>
      <c r="R176" s="167">
        <f t="shared" si="14"/>
        <v>75221.24</v>
      </c>
      <c r="S176" s="178">
        <f>IFERROR(VLOOKUP(G176,'附表8-合同明细采集底稿'!B:N,12,0),100%)</f>
        <v>1</v>
      </c>
      <c r="T176" s="167">
        <f t="shared" si="15"/>
        <v>75221.24</v>
      </c>
      <c r="U176" s="157" t="s">
        <v>2416</v>
      </c>
      <c r="V176" s="179" t="s">
        <v>374</v>
      </c>
      <c r="W176" s="182">
        <f>ROUND(T176*成本分摊比例!$G$13/(成本分摊比例!$G$13+成本分摊比例!$H$13+成本分摊比例!$I$13),2)</f>
        <v>40642.17</v>
      </c>
      <c r="X176" s="182">
        <f>ROUND(T176*成本分摊比例!$H$13/(成本分摊比例!$G$13+成本分摊比例!$H$13+成本分摊比例!$I$13),2)</f>
        <v>26889.98</v>
      </c>
      <c r="Y176" s="182">
        <f t="shared" si="16"/>
        <v>7689.09000000001</v>
      </c>
      <c r="Z176" s="183" t="s">
        <v>2406</v>
      </c>
      <c r="AA176" s="157"/>
      <c r="AB176" s="184" t="s">
        <v>2319</v>
      </c>
      <c r="AC176" s="132">
        <f t="shared" si="12"/>
        <v>0</v>
      </c>
    </row>
    <row r="177" s="132" customFormat="1" ht="24" customHeight="1" spans="1:29">
      <c r="A177" s="150">
        <v>171</v>
      </c>
      <c r="B177" s="151">
        <v>43777</v>
      </c>
      <c r="C177" s="152" t="s">
        <v>2575</v>
      </c>
      <c r="D177" s="157" t="s">
        <v>2533</v>
      </c>
      <c r="E177" s="158" t="s">
        <v>2534</v>
      </c>
      <c r="F177" s="159" t="s">
        <v>2780</v>
      </c>
      <c r="G177" s="156"/>
      <c r="H177" s="157" t="str">
        <f>IF(G177="","",VLOOKUP(G177,'附表8-合同明细采集底稿'!B:I,2,0))</f>
        <v/>
      </c>
      <c r="I177" s="165" t="str">
        <f>IF(G177="","",VLOOKUP(G177,'附表8-合同明细采集底稿'!B:I,3,0))</f>
        <v/>
      </c>
      <c r="J177" s="154" t="s">
        <v>2781</v>
      </c>
      <c r="K177" s="157" t="s">
        <v>2335</v>
      </c>
      <c r="L177" s="168" t="s">
        <v>2336</v>
      </c>
      <c r="M177" s="155">
        <v>16026362</v>
      </c>
      <c r="N177" s="167">
        <v>20000</v>
      </c>
      <c r="O177" s="167">
        <v>20000</v>
      </c>
      <c r="P177" s="167">
        <v>20000</v>
      </c>
      <c r="Q177" s="167">
        <v>-20000</v>
      </c>
      <c r="R177" s="167">
        <f t="shared" si="14"/>
        <v>0</v>
      </c>
      <c r="S177" s="178">
        <v>1</v>
      </c>
      <c r="T177" s="167">
        <f t="shared" si="15"/>
        <v>0</v>
      </c>
      <c r="U177" s="157" t="s">
        <v>2641</v>
      </c>
      <c r="V177" s="179" t="s">
        <v>375</v>
      </c>
      <c r="W177" s="180">
        <f>IF('附表1-面积统计表'!$D$29=0,"",IF(AND(V177="共同成本费用",Z177="总建筑面积法"),ROUND(T177/'附表1-面积统计表'!$D$29*'附表1-面积统计表'!$D$5,2),IF(AND(V177="共同成本费用",Z177="可售建筑面积法"),ROUND(T177/'附表1-面积统计表'!$F$29*'附表1-面积统计表'!$F$5,2),"请手工填写")))</f>
        <v>0</v>
      </c>
      <c r="X177" s="180">
        <f>IF(SUM('附表1-面积统计表'!$D$6)=0,"",SUM(T177)-SUM(W177)-SUM(Y177))</f>
        <v>0</v>
      </c>
      <c r="Y177" s="180">
        <f>IF(SUM('附表1-面积统计表'!$D$6)=0,SUM(T177)-SUM(W177),IF('附表1-面积统计表'!$D$29=0,"",IF(AND(V177="共同成本费用",Z177="总建筑面积法"),ROUND(T177/'附表1-面积统计表'!$D$29*'附表1-面积统计表'!$D$7,2),IF(AND(V177="共同成本费用",Z177="可售建筑面积法"),ROUND(T177/'附表1-面积统计表'!$F$29*'附表1-面积统计表'!$F$7,2),"请手工填写"))))</f>
        <v>0</v>
      </c>
      <c r="Z177" s="183" t="s">
        <v>351</v>
      </c>
      <c r="AA177" s="157"/>
      <c r="AB177" s="184" t="s">
        <v>2319</v>
      </c>
      <c r="AC177" s="132">
        <f t="shared" si="12"/>
        <v>0</v>
      </c>
    </row>
    <row r="178" s="132" customFormat="1" ht="24" customHeight="1" spans="1:29">
      <c r="A178" s="150">
        <v>172</v>
      </c>
      <c r="B178" s="151">
        <v>43777</v>
      </c>
      <c r="C178" s="152" t="s">
        <v>2459</v>
      </c>
      <c r="D178" s="157" t="s">
        <v>2346</v>
      </c>
      <c r="E178" s="158" t="s">
        <v>2453</v>
      </c>
      <c r="F178" s="159" t="s">
        <v>2782</v>
      </c>
      <c r="G178" s="156"/>
      <c r="H178" s="157" t="str">
        <f>IF(G178="","",VLOOKUP(G178,'附表8-合同明细采集底稿'!B:I,2,0))</f>
        <v/>
      </c>
      <c r="I178" s="165" t="str">
        <f>IF(G178="","",VLOOKUP(G178,'附表8-合同明细采集底稿'!B:I,3,0))</f>
        <v/>
      </c>
      <c r="J178" s="165" t="s">
        <v>2783</v>
      </c>
      <c r="K178" s="157" t="s">
        <v>2335</v>
      </c>
      <c r="L178" s="168" t="s">
        <v>2336</v>
      </c>
      <c r="M178" s="554" t="s">
        <v>2784</v>
      </c>
      <c r="N178" s="167">
        <v>50225.35</v>
      </c>
      <c r="O178" s="167">
        <v>50225.35</v>
      </c>
      <c r="P178" s="167">
        <v>50225.35</v>
      </c>
      <c r="Q178" s="167"/>
      <c r="R178" s="167">
        <f t="shared" si="14"/>
        <v>50225.35</v>
      </c>
      <c r="S178" s="178">
        <v>0.338555832480367</v>
      </c>
      <c r="T178" s="167">
        <f t="shared" si="15"/>
        <v>17004.09</v>
      </c>
      <c r="U178" s="157" t="s">
        <v>2318</v>
      </c>
      <c r="V178" s="179" t="s">
        <v>375</v>
      </c>
      <c r="W178" s="180">
        <f>IF('附表1-面积统计表'!$D$29=0,"",IF(AND(V178="共同成本费用",Z178="总建筑面积法"),ROUND(T178/'附表1-面积统计表'!$D$29*'附表1-面积统计表'!$D$5,2),IF(AND(V178="共同成本费用",Z178="可售建筑面积法"),ROUND(T178/'附表1-面积统计表'!$F$29*'附表1-面积统计表'!$F$5,2),"请手工填写")))</f>
        <v>8237.85</v>
      </c>
      <c r="X178" s="180">
        <f>IF(SUM('附表1-面积统计表'!$D$6)=0,"",SUM(T178)-SUM(W178)-SUM(Y178))</f>
        <v>5450.39</v>
      </c>
      <c r="Y178" s="180">
        <f>IF(SUM('附表1-面积统计表'!$D$6)=0,SUM(T178)-SUM(W178),IF('附表1-面积统计表'!$D$29=0,"",IF(AND(V178="共同成本费用",Z178="总建筑面积法"),ROUND(T178/'附表1-面积统计表'!$D$29*'附表1-面积统计表'!$D$7,2),IF(AND(V178="共同成本费用",Z178="可售建筑面积法"),ROUND(T178/'附表1-面积统计表'!$F$29*'附表1-面积统计表'!$F$7,2),"请手工填写"))))</f>
        <v>3315.85</v>
      </c>
      <c r="Z178" s="183" t="s">
        <v>351</v>
      </c>
      <c r="AA178" s="157"/>
      <c r="AB178" s="184" t="s">
        <v>2319</v>
      </c>
      <c r="AC178" s="132">
        <f t="shared" si="12"/>
        <v>0</v>
      </c>
    </row>
    <row r="179" s="132" customFormat="1" ht="24" customHeight="1" spans="1:29">
      <c r="A179" s="150">
        <v>173</v>
      </c>
      <c r="B179" s="151">
        <v>43777</v>
      </c>
      <c r="C179" s="152" t="s">
        <v>2785</v>
      </c>
      <c r="D179" s="157" t="s">
        <v>2346</v>
      </c>
      <c r="E179" s="158" t="s">
        <v>2453</v>
      </c>
      <c r="F179" s="159" t="s">
        <v>2786</v>
      </c>
      <c r="G179" s="156"/>
      <c r="H179" s="157" t="str">
        <f>IF(G179="","",VLOOKUP(G179,'附表8-合同明细采集底稿'!B:I,2,0))</f>
        <v/>
      </c>
      <c r="I179" s="165" t="str">
        <f>IF(G179="","",VLOOKUP(G179,'附表8-合同明细采集底稿'!B:I,3,0))</f>
        <v/>
      </c>
      <c r="J179" s="165" t="s">
        <v>2787</v>
      </c>
      <c r="K179" s="157" t="s">
        <v>2335</v>
      </c>
      <c r="L179" s="168" t="s">
        <v>2336</v>
      </c>
      <c r="M179" s="155">
        <v>27342038</v>
      </c>
      <c r="N179" s="167">
        <v>6615</v>
      </c>
      <c r="O179" s="167">
        <v>6615</v>
      </c>
      <c r="P179" s="167">
        <v>6615</v>
      </c>
      <c r="Q179" s="167"/>
      <c r="R179" s="167">
        <f t="shared" si="14"/>
        <v>6615</v>
      </c>
      <c r="S179" s="178">
        <v>0.338555832480367</v>
      </c>
      <c r="T179" s="167">
        <f t="shared" si="15"/>
        <v>2239.55</v>
      </c>
      <c r="U179" s="157" t="s">
        <v>2318</v>
      </c>
      <c r="V179" s="179" t="s">
        <v>375</v>
      </c>
      <c r="W179" s="180">
        <f>IF('附表1-面积统计表'!$D$29=0,"",IF(AND(V179="共同成本费用",Z179="总建筑面积法"),ROUND(T179/'附表1-面积统计表'!$D$29*'附表1-面积统计表'!$D$5,2),IF(AND(V179="共同成本费用",Z179="可售建筑面积法"),ROUND(T179/'附表1-面积统计表'!$F$29*'附表1-面积统计表'!$F$5,2),"请手工填写")))</f>
        <v>1084.98</v>
      </c>
      <c r="X179" s="180">
        <f>IF(SUM('附表1-面积统计表'!$D$6)=0,"",SUM(T179)-SUM(W179)-SUM(Y179))</f>
        <v>717.85</v>
      </c>
      <c r="Y179" s="180">
        <f>IF(SUM('附表1-面积统计表'!$D$6)=0,SUM(T179)-SUM(W179),IF('附表1-面积统计表'!$D$29=0,"",IF(AND(V179="共同成本费用",Z179="总建筑面积法"),ROUND(T179/'附表1-面积统计表'!$D$29*'附表1-面积统计表'!$D$7,2),IF(AND(V179="共同成本费用",Z179="可售建筑面积法"),ROUND(T179/'附表1-面积统计表'!$F$29*'附表1-面积统计表'!$F$7,2),"请手工填写"))))</f>
        <v>436.72</v>
      </c>
      <c r="Z179" s="183" t="s">
        <v>351</v>
      </c>
      <c r="AA179" s="157"/>
      <c r="AB179" s="184" t="s">
        <v>2319</v>
      </c>
      <c r="AC179" s="132">
        <f t="shared" si="12"/>
        <v>0</v>
      </c>
    </row>
    <row r="180" s="132" customFormat="1" ht="24" customHeight="1" spans="1:31">
      <c r="A180" s="150">
        <v>174</v>
      </c>
      <c r="B180" s="151">
        <v>43777</v>
      </c>
      <c r="C180" s="152" t="s">
        <v>2426</v>
      </c>
      <c r="D180" s="157" t="s">
        <v>2533</v>
      </c>
      <c r="E180" s="158" t="s">
        <v>2788</v>
      </c>
      <c r="F180" s="159" t="s">
        <v>2789</v>
      </c>
      <c r="G180" s="156" t="s">
        <v>2790</v>
      </c>
      <c r="H180" s="157" t="str">
        <f>IF(G180="","",VLOOKUP(G180,'附表8-合同明细采集底稿'!B:I,2,0))</f>
        <v>沁春锦苑35#楼一楼装修合同+沙盘底座（27000）</v>
      </c>
      <c r="I180" s="165" t="str">
        <f>IF(G180="","",VLOOKUP(G180,'附表8-合同明细采集底稿'!B:I,3,0))</f>
        <v>建设工程合同</v>
      </c>
      <c r="J180" s="154" t="s">
        <v>2791</v>
      </c>
      <c r="K180" s="157" t="s">
        <v>2355</v>
      </c>
      <c r="L180" s="166">
        <v>6500193130</v>
      </c>
      <c r="M180" s="155" t="s">
        <v>2792</v>
      </c>
      <c r="N180" s="167">
        <v>873786.42</v>
      </c>
      <c r="O180" s="167">
        <v>900000.01</v>
      </c>
      <c r="P180" s="167">
        <v>873786.42</v>
      </c>
      <c r="Q180" s="167">
        <v>-873786.42</v>
      </c>
      <c r="R180" s="167">
        <f t="shared" si="14"/>
        <v>0</v>
      </c>
      <c r="S180" s="178">
        <f>IFERROR(VLOOKUP(G180,'附表8-合同明细采集底稿'!B:N,12,0),100%)</f>
        <v>1</v>
      </c>
      <c r="T180" s="167">
        <f t="shared" si="15"/>
        <v>0</v>
      </c>
      <c r="U180" s="157" t="s">
        <v>2405</v>
      </c>
      <c r="V180" s="179" t="s">
        <v>374</v>
      </c>
      <c r="W180" s="181">
        <v>0</v>
      </c>
      <c r="X180" s="181">
        <v>0</v>
      </c>
      <c r="Y180" s="181"/>
      <c r="Z180" s="183" t="s">
        <v>2406</v>
      </c>
      <c r="AA180" s="157"/>
      <c r="AB180" s="184" t="s">
        <v>2319</v>
      </c>
      <c r="AC180" s="132">
        <f>W4-AC4</f>
        <v>564.540000021458</v>
      </c>
      <c r="AD180" s="132">
        <f>X4-AD4</f>
        <v>373.500000007451</v>
      </c>
      <c r="AE180" s="132">
        <f>Y4-AE4</f>
        <v>227.499999996275</v>
      </c>
    </row>
    <row r="181" s="132" customFormat="1" ht="24" customHeight="1" spans="1:29">
      <c r="A181" s="150">
        <v>175</v>
      </c>
      <c r="B181" s="151">
        <v>43777</v>
      </c>
      <c r="C181" s="152" t="s">
        <v>2311</v>
      </c>
      <c r="D181" s="157" t="s">
        <v>2346</v>
      </c>
      <c r="E181" s="158" t="s">
        <v>2418</v>
      </c>
      <c r="F181" s="159" t="s">
        <v>2793</v>
      </c>
      <c r="G181" s="156" t="s">
        <v>2725</v>
      </c>
      <c r="H181" s="157" t="str">
        <f>IF(G181="","",VLOOKUP(G181,'附表8-合同明细采集底稿'!B:I,2,0))</f>
        <v>沁春锦苑小区景观轴亮化工程合同</v>
      </c>
      <c r="I181" s="165" t="str">
        <f>IF(G181="","",VLOOKUP(G181,'附表8-合同明细采集底稿'!B:I,3,0))</f>
        <v>其他合同</v>
      </c>
      <c r="J181" s="165" t="s">
        <v>2420</v>
      </c>
      <c r="K181" s="157" t="s">
        <v>2335</v>
      </c>
      <c r="L181" s="168" t="s">
        <v>2336</v>
      </c>
      <c r="M181" s="155">
        <v>62451348</v>
      </c>
      <c r="N181" s="167">
        <v>17000</v>
      </c>
      <c r="O181" s="167">
        <v>17000</v>
      </c>
      <c r="P181" s="167">
        <v>17000</v>
      </c>
      <c r="Q181" s="167">
        <v>-17000</v>
      </c>
      <c r="R181" s="167">
        <f t="shared" si="14"/>
        <v>0</v>
      </c>
      <c r="S181" s="178">
        <f>IFERROR(VLOOKUP(G181,'附表8-合同明细采集底稿'!B:N,12,0),100%)</f>
        <v>0.338555832480367</v>
      </c>
      <c r="T181" s="167">
        <f t="shared" si="15"/>
        <v>0</v>
      </c>
      <c r="U181" s="157" t="s">
        <v>2318</v>
      </c>
      <c r="V181" s="179" t="s">
        <v>375</v>
      </c>
      <c r="W181" s="180">
        <f>IF('附表1-面积统计表'!$D$29=0,"",IF(AND(V181="共同成本费用",Z181="总建筑面积法"),ROUND(T181/'附表1-面积统计表'!$D$29*'附表1-面积统计表'!$D$5,2),IF(AND(V181="共同成本费用",Z181="可售建筑面积法"),ROUND(T181/'附表1-面积统计表'!$F$29*'附表1-面积统计表'!$F$5,2),"请手工填写")))</f>
        <v>0</v>
      </c>
      <c r="X181" s="180">
        <f>IF(SUM('附表1-面积统计表'!$D$6)=0,"",SUM(T181)-SUM(W181)-SUM(Y181))</f>
        <v>0</v>
      </c>
      <c r="Y181" s="180">
        <f>IF(SUM('附表1-面积统计表'!$D$6)=0,SUM(T181)-SUM(W181),IF('附表1-面积统计表'!$D$29=0,"",IF(AND(V181="共同成本费用",Z181="总建筑面积法"),ROUND(T181/'附表1-面积统计表'!$D$29*'附表1-面积统计表'!$D$7,2),IF(AND(V181="共同成本费用",Z181="可售建筑面积法"),ROUND(T181/'附表1-面积统计表'!$F$29*'附表1-面积统计表'!$F$7,2),"请手工填写"))))</f>
        <v>0</v>
      </c>
      <c r="Z181" s="183" t="s">
        <v>351</v>
      </c>
      <c r="AA181" s="157"/>
      <c r="AB181" s="184" t="s">
        <v>2319</v>
      </c>
      <c r="AC181" s="132">
        <f t="shared" si="12"/>
        <v>0</v>
      </c>
    </row>
    <row r="182" s="132" customFormat="1" ht="24" customHeight="1" spans="1:29">
      <c r="A182" s="150">
        <v>176</v>
      </c>
      <c r="B182" s="151">
        <v>43777</v>
      </c>
      <c r="C182" s="152" t="s">
        <v>2362</v>
      </c>
      <c r="D182" s="157" t="s">
        <v>2470</v>
      </c>
      <c r="E182" s="158" t="s">
        <v>2471</v>
      </c>
      <c r="F182" s="159" t="s">
        <v>2794</v>
      </c>
      <c r="G182" s="156"/>
      <c r="H182" s="157" t="str">
        <f>IF(G182="","",VLOOKUP(G182,'附表8-合同明细采集底稿'!B:I,2,0))</f>
        <v/>
      </c>
      <c r="I182" s="165" t="str">
        <f>IF(G182="","",VLOOKUP(G182,'附表8-合同明细采集底稿'!B:I,3,0))</f>
        <v/>
      </c>
      <c r="J182" s="154" t="s">
        <v>2791</v>
      </c>
      <c r="K182" s="157" t="s">
        <v>2335</v>
      </c>
      <c r="L182" s="168" t="s">
        <v>2336</v>
      </c>
      <c r="M182" s="155">
        <v>12082186</v>
      </c>
      <c r="N182" s="167">
        <v>27000</v>
      </c>
      <c r="O182" s="167">
        <v>0</v>
      </c>
      <c r="P182" s="167">
        <v>27000</v>
      </c>
      <c r="Q182" s="167">
        <v>-27000</v>
      </c>
      <c r="R182" s="167">
        <f t="shared" si="14"/>
        <v>0</v>
      </c>
      <c r="S182" s="178">
        <v>1</v>
      </c>
      <c r="T182" s="167">
        <f t="shared" si="15"/>
        <v>0</v>
      </c>
      <c r="U182" s="157" t="s">
        <v>2795</v>
      </c>
      <c r="V182" s="179" t="s">
        <v>375</v>
      </c>
      <c r="W182" s="180">
        <f>IF('附表1-面积统计表'!$D$29=0,"",IF(AND(V182="共同成本费用",Z182="总建筑面积法"),ROUND(T182/'附表1-面积统计表'!$D$29*'附表1-面积统计表'!$D$5,2),IF(AND(V182="共同成本费用",Z182="可售建筑面积法"),ROUND(T182/'附表1-面积统计表'!$F$29*'附表1-面积统计表'!$F$5,2),"请手工填写")))</f>
        <v>0</v>
      </c>
      <c r="X182" s="180">
        <f>IF(SUM('附表1-面积统计表'!$D$6)=0,"",SUM(T182)-SUM(W182)-SUM(Y182))</f>
        <v>0</v>
      </c>
      <c r="Y182" s="180">
        <f>IF(SUM('附表1-面积统计表'!$D$6)=0,SUM(T182)-SUM(W182),IF('附表1-面积统计表'!$D$29=0,"",IF(AND(V182="共同成本费用",Z182="总建筑面积法"),ROUND(T182/'附表1-面积统计表'!$D$29*'附表1-面积统计表'!$D$7,2),IF(AND(V182="共同成本费用",Z182="可售建筑面积法"),ROUND(T182/'附表1-面积统计表'!$F$29*'附表1-面积统计表'!$F$7,2),"请手工填写"))))</f>
        <v>0</v>
      </c>
      <c r="Z182" s="183" t="s">
        <v>351</v>
      </c>
      <c r="AA182" s="157"/>
      <c r="AB182" s="184" t="s">
        <v>2319</v>
      </c>
      <c r="AC182" s="132">
        <f t="shared" si="12"/>
        <v>0</v>
      </c>
    </row>
    <row r="183" s="132" customFormat="1" ht="24" customHeight="1" spans="1:29">
      <c r="A183" s="150">
        <v>177</v>
      </c>
      <c r="B183" s="151">
        <v>43777</v>
      </c>
      <c r="C183" s="152" t="s">
        <v>2369</v>
      </c>
      <c r="D183" s="157" t="s">
        <v>2346</v>
      </c>
      <c r="E183" s="158" t="s">
        <v>2501</v>
      </c>
      <c r="F183" s="159" t="s">
        <v>2796</v>
      </c>
      <c r="G183" s="156"/>
      <c r="H183" s="157"/>
      <c r="I183" s="165"/>
      <c r="J183" s="165" t="s">
        <v>2797</v>
      </c>
      <c r="K183" s="157" t="s">
        <v>2335</v>
      </c>
      <c r="L183" s="168" t="s">
        <v>2336</v>
      </c>
      <c r="M183" s="155">
        <v>16029956</v>
      </c>
      <c r="N183" s="167">
        <v>480</v>
      </c>
      <c r="O183" s="167">
        <v>480</v>
      </c>
      <c r="P183" s="167">
        <v>480</v>
      </c>
      <c r="Q183" s="167">
        <v>-480</v>
      </c>
      <c r="R183" s="167">
        <f t="shared" si="14"/>
        <v>0</v>
      </c>
      <c r="S183" s="178">
        <v>1</v>
      </c>
      <c r="T183" s="167">
        <f t="shared" si="15"/>
        <v>0</v>
      </c>
      <c r="U183" s="157" t="s">
        <v>2344</v>
      </c>
      <c r="V183" s="179" t="s">
        <v>375</v>
      </c>
      <c r="W183" s="180">
        <f>IF('附表1-面积统计表'!$D$29=0,"",IF(AND(V183="共同成本费用",Z183="总建筑面积法"),ROUND(T183/'附表1-面积统计表'!$D$29*'附表1-面积统计表'!$D$5,2),IF(AND(V183="共同成本费用",Z183="可售建筑面积法"),ROUND(T183/'附表1-面积统计表'!$F$29*'附表1-面积统计表'!$F$5,2),"请手工填写")))</f>
        <v>0</v>
      </c>
      <c r="X183" s="180">
        <f>IF(SUM('附表1-面积统计表'!$D$6)=0,"",SUM(T183)-SUM(W183)-SUM(Y183))</f>
        <v>0</v>
      </c>
      <c r="Y183" s="180">
        <f>IF(SUM('附表1-面积统计表'!$D$6)=0,SUM(T183)-SUM(W183),IF('附表1-面积统计表'!$D$29=0,"",IF(AND(V183="共同成本费用",Z183="总建筑面积法"),ROUND(T183/'附表1-面积统计表'!$D$29*'附表1-面积统计表'!$D$7,2),IF(AND(V183="共同成本费用",Z183="可售建筑面积法"),ROUND(T183/'附表1-面积统计表'!$F$29*'附表1-面积统计表'!$F$7,2),"请手工填写"))))</f>
        <v>0</v>
      </c>
      <c r="Z183" s="183" t="s">
        <v>351</v>
      </c>
      <c r="AA183" s="157"/>
      <c r="AB183" s="184" t="s">
        <v>2319</v>
      </c>
      <c r="AC183" s="132">
        <f t="shared" si="12"/>
        <v>0</v>
      </c>
    </row>
    <row r="184" s="132" customFormat="1" ht="24" customHeight="1" spans="1:29">
      <c r="A184" s="150">
        <v>178</v>
      </c>
      <c r="B184" s="151">
        <v>43778</v>
      </c>
      <c r="C184" s="152" t="s">
        <v>2798</v>
      </c>
      <c r="D184" s="157" t="s">
        <v>2339</v>
      </c>
      <c r="E184" s="158" t="s">
        <v>2370</v>
      </c>
      <c r="F184" s="159" t="s">
        <v>2799</v>
      </c>
      <c r="G184" s="156"/>
      <c r="H184" s="157" t="str">
        <f>IF(G184="","",VLOOKUP(G184,'附表8-合同明细采集底稿'!B:I,2,0))</f>
        <v/>
      </c>
      <c r="I184" s="165" t="str">
        <f>IF(G184="","",VLOOKUP(G184,'附表8-合同明细采集底稿'!B:I,3,0))</f>
        <v/>
      </c>
      <c r="J184" s="154" t="s">
        <v>2800</v>
      </c>
      <c r="K184" s="157" t="s">
        <v>2355</v>
      </c>
      <c r="L184" s="166">
        <v>6500191130</v>
      </c>
      <c r="M184" s="554" t="s">
        <v>2801</v>
      </c>
      <c r="N184" s="167">
        <v>8258.25</v>
      </c>
      <c r="O184" s="167">
        <v>8258.25</v>
      </c>
      <c r="P184" s="167">
        <v>8258.25</v>
      </c>
      <c r="Q184" s="167">
        <v>-8258.25</v>
      </c>
      <c r="R184" s="167">
        <f t="shared" si="14"/>
        <v>0</v>
      </c>
      <c r="S184" s="178">
        <v>1</v>
      </c>
      <c r="T184" s="167">
        <f t="shared" si="15"/>
        <v>0</v>
      </c>
      <c r="U184" s="157" t="s">
        <v>2802</v>
      </c>
      <c r="V184" s="179" t="s">
        <v>375</v>
      </c>
      <c r="W184" s="180">
        <f>IF('附表1-面积统计表'!$D$29=0,"",IF(AND(V184="共同成本费用",Z184="总建筑面积法"),ROUND(T184/'附表1-面积统计表'!$D$29*'附表1-面积统计表'!$D$5,2),IF(AND(V184="共同成本费用",Z184="可售建筑面积法"),ROUND(T184/'附表1-面积统计表'!$F$29*'附表1-面积统计表'!$F$5,2),"请手工填写")))</f>
        <v>0</v>
      </c>
      <c r="X184" s="180">
        <f>IF(SUM('附表1-面积统计表'!$D$6)=0,"",SUM(T184)-SUM(W184)-SUM(Y184))</f>
        <v>0</v>
      </c>
      <c r="Y184" s="180">
        <f>IF(SUM('附表1-面积统计表'!$D$6)=0,SUM(T184)-SUM(W184),IF('附表1-面积统计表'!$D$29=0,"",IF(AND(V184="共同成本费用",Z184="总建筑面积法"),ROUND(T184/'附表1-面积统计表'!$D$29*'附表1-面积统计表'!$D$7,2),IF(AND(V184="共同成本费用",Z184="可售建筑面积法"),ROUND(T184/'附表1-面积统计表'!$F$29*'附表1-面积统计表'!$F$7,2),"请手工填写"))))</f>
        <v>0</v>
      </c>
      <c r="Z184" s="183" t="s">
        <v>351</v>
      </c>
      <c r="AA184" s="157"/>
      <c r="AB184" s="184" t="s">
        <v>2319</v>
      </c>
      <c r="AC184" s="132">
        <f t="shared" si="12"/>
        <v>0</v>
      </c>
    </row>
    <row r="185" s="132" customFormat="1" ht="24" customHeight="1" spans="1:29">
      <c r="A185" s="150">
        <v>179</v>
      </c>
      <c r="B185" s="151">
        <v>43778</v>
      </c>
      <c r="C185" s="152" t="s">
        <v>2798</v>
      </c>
      <c r="D185" s="157" t="s">
        <v>2339</v>
      </c>
      <c r="E185" s="158" t="s">
        <v>2370</v>
      </c>
      <c r="F185" s="159" t="s">
        <v>2799</v>
      </c>
      <c r="G185" s="156" t="s">
        <v>2803</v>
      </c>
      <c r="H185" s="157" t="str">
        <f>IF(G185="","",VLOOKUP(G185,'附表8-合同明细采集底稿'!B:I,2,0))</f>
        <v>测绘合同书（32#33#34#）</v>
      </c>
      <c r="I185" s="165" t="str">
        <f>IF(G185="","",VLOOKUP(G185,'附表8-合同明细采集底稿'!B:I,3,0))</f>
        <v>技术合同</v>
      </c>
      <c r="J185" s="154" t="s">
        <v>2800</v>
      </c>
      <c r="K185" s="157" t="s">
        <v>2355</v>
      </c>
      <c r="L185" s="166">
        <v>6500191130</v>
      </c>
      <c r="M185" s="554" t="s">
        <v>2801</v>
      </c>
      <c r="N185" s="167">
        <v>1772.82</v>
      </c>
      <c r="O185" s="167">
        <v>2073.75</v>
      </c>
      <c r="P185" s="167">
        <v>1772.82</v>
      </c>
      <c r="Q185" s="167"/>
      <c r="R185" s="167">
        <f t="shared" si="14"/>
        <v>1772.82</v>
      </c>
      <c r="S185" s="178">
        <f>IFERROR(VLOOKUP(G185,'附表8-合同明细采集底稿'!B:N,12,0),100%)</f>
        <v>1</v>
      </c>
      <c r="T185" s="167">
        <f t="shared" si="15"/>
        <v>1772.82</v>
      </c>
      <c r="U185" s="157" t="s">
        <v>2405</v>
      </c>
      <c r="V185" s="179" t="s">
        <v>374</v>
      </c>
      <c r="W185" s="181">
        <v>0</v>
      </c>
      <c r="X185" s="181">
        <v>0</v>
      </c>
      <c r="Y185" s="181">
        <v>1772.82</v>
      </c>
      <c r="Z185" s="183" t="s">
        <v>2406</v>
      </c>
      <c r="AA185" s="157"/>
      <c r="AB185" s="184" t="s">
        <v>2319</v>
      </c>
      <c r="AC185" s="132">
        <f t="shared" si="12"/>
        <v>0</v>
      </c>
    </row>
    <row r="186" s="132" customFormat="1" ht="24" customHeight="1" spans="1:29">
      <c r="A186" s="150">
        <v>180</v>
      </c>
      <c r="B186" s="151">
        <v>43781</v>
      </c>
      <c r="C186" s="152" t="s">
        <v>2703</v>
      </c>
      <c r="D186" s="157" t="s">
        <v>2533</v>
      </c>
      <c r="E186" s="158" t="s">
        <v>2534</v>
      </c>
      <c r="F186" s="159" t="s">
        <v>2804</v>
      </c>
      <c r="G186" s="156" t="s">
        <v>2805</v>
      </c>
      <c r="H186" s="157" t="str">
        <f>IF(G186="","",VLOOKUP(G186,'附表8-合同明细采集底稿'!B:I,2,0))</f>
        <v>样板间装修</v>
      </c>
      <c r="I186" s="165" t="str">
        <f>IF(G186="","",VLOOKUP(G186,'附表8-合同明细采集底稿'!B:I,3,0))</f>
        <v>建设工程合同</v>
      </c>
      <c r="J186" s="154" t="s">
        <v>2806</v>
      </c>
      <c r="K186" s="157" t="s">
        <v>2335</v>
      </c>
      <c r="L186" s="168" t="s">
        <v>2336</v>
      </c>
      <c r="M186" s="155">
        <v>29901874</v>
      </c>
      <c r="N186" s="167">
        <v>80000</v>
      </c>
      <c r="O186" s="167">
        <v>80000</v>
      </c>
      <c r="P186" s="167">
        <v>80000</v>
      </c>
      <c r="Q186" s="167">
        <v>-80000</v>
      </c>
      <c r="R186" s="167">
        <f t="shared" si="14"/>
        <v>0</v>
      </c>
      <c r="S186" s="178">
        <f>IFERROR(VLOOKUP(G186,'附表8-合同明细采集底稿'!B:N,12,0),100%)</f>
        <v>1</v>
      </c>
      <c r="T186" s="167">
        <f t="shared" si="15"/>
        <v>0</v>
      </c>
      <c r="U186" s="157" t="s">
        <v>2416</v>
      </c>
      <c r="V186" s="179" t="s">
        <v>374</v>
      </c>
      <c r="W186" s="182">
        <f>ROUND(T186*成本分摊比例!$G$13/(成本分摊比例!$G$13+成本分摊比例!$H$13+成本分摊比例!$I$13),2)</f>
        <v>0</v>
      </c>
      <c r="X186" s="182">
        <f>ROUND(T186*成本分摊比例!$H$13/(成本分摊比例!$G$13+成本分摊比例!$H$13+成本分摊比例!$I$13),2)</f>
        <v>0</v>
      </c>
      <c r="Y186" s="182">
        <f>T186-W186-X186</f>
        <v>0</v>
      </c>
      <c r="Z186" s="183" t="s">
        <v>2406</v>
      </c>
      <c r="AA186" s="157"/>
      <c r="AB186" s="184" t="s">
        <v>2319</v>
      </c>
      <c r="AC186" s="132">
        <f t="shared" si="12"/>
        <v>0</v>
      </c>
    </row>
    <row r="187" s="132" customFormat="1" ht="24" customHeight="1" spans="1:29">
      <c r="A187" s="150">
        <v>181</v>
      </c>
      <c r="B187" s="151">
        <v>43781</v>
      </c>
      <c r="C187" s="152" t="s">
        <v>2807</v>
      </c>
      <c r="D187" s="157" t="s">
        <v>2346</v>
      </c>
      <c r="E187" s="158" t="s">
        <v>2453</v>
      </c>
      <c r="F187" s="159" t="s">
        <v>2582</v>
      </c>
      <c r="G187" s="156" t="s">
        <v>2808</v>
      </c>
      <c r="H187" s="157" t="str">
        <f>IF(G187="","",VLOOKUP(G187,'附表8-合同明细采集底稿'!B:I,2,0))</f>
        <v>新增产品合同</v>
      </c>
      <c r="I187" s="165" t="str">
        <f>IF(G187="","",VLOOKUP(G187,'附表8-合同明细采集底稿'!B:I,3,0))</f>
        <v>其他合同</v>
      </c>
      <c r="J187" s="165" t="s">
        <v>2734</v>
      </c>
      <c r="K187" s="157" t="s">
        <v>2355</v>
      </c>
      <c r="L187" s="166">
        <v>1300191130</v>
      </c>
      <c r="M187" s="155">
        <v>18370135</v>
      </c>
      <c r="N187" s="167">
        <v>82300.88</v>
      </c>
      <c r="O187" s="167">
        <v>93000</v>
      </c>
      <c r="P187" s="167">
        <v>82300.88</v>
      </c>
      <c r="Q187" s="167"/>
      <c r="R187" s="167">
        <f t="shared" si="14"/>
        <v>82300.88</v>
      </c>
      <c r="S187" s="178">
        <f>IFERROR(VLOOKUP(G187,'附表8-合同明细采集底稿'!B:N,12,0),100%)</f>
        <v>0.338555832480367</v>
      </c>
      <c r="T187" s="167">
        <f t="shared" si="15"/>
        <v>27863.44</v>
      </c>
      <c r="U187" s="157" t="s">
        <v>2318</v>
      </c>
      <c r="V187" s="179" t="s">
        <v>375</v>
      </c>
      <c r="W187" s="180">
        <f>IF('附表1-面积统计表'!$D$29=0,"",IF(AND(V187="共同成本费用",Z187="总建筑面积法"),ROUND(T187/'附表1-面积统计表'!$D$29*'附表1-面积统计表'!$D$5,2),IF(AND(V187="共同成本费用",Z187="可售建筑面积法"),ROUND(T187/'附表1-面积统计表'!$F$29*'附表1-面积统计表'!$F$5,2),"请手工填写")))</f>
        <v>13498.81</v>
      </c>
      <c r="X187" s="180">
        <f>IF(SUM('附表1-面积统计表'!$D$6)=0,"",SUM(T187)-SUM(W187)-SUM(Y187))</f>
        <v>8931.18</v>
      </c>
      <c r="Y187" s="180">
        <f>IF(SUM('附表1-面积统计表'!$D$6)=0,SUM(T187)-SUM(W187),IF('附表1-面积统计表'!$D$29=0,"",IF(AND(V187="共同成本费用",Z187="总建筑面积法"),ROUND(T187/'附表1-面积统计表'!$D$29*'附表1-面积统计表'!$D$7,2),IF(AND(V187="共同成本费用",Z187="可售建筑面积法"),ROUND(T187/'附表1-面积统计表'!$F$29*'附表1-面积统计表'!$F$7,2),"请手工填写"))))</f>
        <v>5433.45</v>
      </c>
      <c r="Z187" s="183" t="s">
        <v>351</v>
      </c>
      <c r="AA187" s="157"/>
      <c r="AB187" s="184" t="s">
        <v>2319</v>
      </c>
      <c r="AC187" s="132">
        <f t="shared" si="12"/>
        <v>0</v>
      </c>
    </row>
    <row r="188" s="132" customFormat="1" ht="24" customHeight="1" spans="1:29">
      <c r="A188" s="150">
        <v>182</v>
      </c>
      <c r="B188" s="151">
        <v>43787</v>
      </c>
      <c r="C188" s="152" t="s">
        <v>2809</v>
      </c>
      <c r="D188" s="157" t="s">
        <v>2346</v>
      </c>
      <c r="E188" s="158" t="s">
        <v>2453</v>
      </c>
      <c r="F188" s="159" t="s">
        <v>2496</v>
      </c>
      <c r="G188" s="156" t="s">
        <v>2497</v>
      </c>
      <c r="H188" s="157" t="str">
        <f>IF(G188="","",VLOOKUP(G188,'附表8-合同明细采集底稿'!B:I,2,0))</f>
        <v>沁春锦苑一期园林绿化工程（19-24、32/33.34)</v>
      </c>
      <c r="I188" s="165" t="str">
        <f>IF(G188="","",VLOOKUP(G188,'附表8-合同明细采集底稿'!B:I,3,0))</f>
        <v>其他合同</v>
      </c>
      <c r="J188" s="165" t="s">
        <v>2498</v>
      </c>
      <c r="K188" s="157" t="s">
        <v>2355</v>
      </c>
      <c r="L188" s="166">
        <v>6500191130</v>
      </c>
      <c r="M188" s="554" t="s">
        <v>2810</v>
      </c>
      <c r="N188" s="167">
        <v>291262.14</v>
      </c>
      <c r="O188" s="167">
        <v>300000</v>
      </c>
      <c r="P188" s="167">
        <v>291262.14</v>
      </c>
      <c r="Q188" s="167"/>
      <c r="R188" s="167">
        <f t="shared" si="14"/>
        <v>291262.14</v>
      </c>
      <c r="S188" s="178">
        <f>IFERROR(VLOOKUP(G188,'附表8-合同明细采集底稿'!B:N,12,0),100%)</f>
        <v>1</v>
      </c>
      <c r="T188" s="167">
        <f t="shared" si="15"/>
        <v>291262.14</v>
      </c>
      <c r="U188" s="157" t="s">
        <v>2344</v>
      </c>
      <c r="V188" s="179" t="s">
        <v>375</v>
      </c>
      <c r="W188" s="180">
        <f>IF('附表1-面积统计表'!$D$29=0,"",IF(AND(V188="共同成本费用",Z188="总建筑面积法"),ROUND(T188/'附表1-面积统计表'!$D$29*'附表1-面积统计表'!$D$5,2),IF(AND(V188="共同成本费用",Z188="可售建筑面积法"),ROUND(T188/'附表1-面积统计表'!$F$29*'附表1-面积统计表'!$F$5,2),"请手工填写")))</f>
        <v>141105.75</v>
      </c>
      <c r="X188" s="180">
        <f>IF(SUM('附表1-面积统计表'!$D$6)=0,"",SUM(T188)-SUM(W188)-SUM(Y188))</f>
        <v>93359.45</v>
      </c>
      <c r="Y188" s="180">
        <f>IF(SUM('附表1-面积统计表'!$D$6)=0,SUM(T188)-SUM(W188),IF('附表1-面积统计表'!$D$29=0,"",IF(AND(V188="共同成本费用",Z188="总建筑面积法"),ROUND(T188/'附表1-面积统计表'!$D$29*'附表1-面积统计表'!$D$7,2),IF(AND(V188="共同成本费用",Z188="可售建筑面积法"),ROUND(T188/'附表1-面积统计表'!$F$29*'附表1-面积统计表'!$F$7,2),"请手工填写"))))</f>
        <v>56796.94</v>
      </c>
      <c r="Z188" s="183" t="s">
        <v>351</v>
      </c>
      <c r="AA188" s="157"/>
      <c r="AB188" s="184" t="s">
        <v>2319</v>
      </c>
      <c r="AC188" s="132">
        <f t="shared" si="12"/>
        <v>0</v>
      </c>
    </row>
    <row r="189" s="132" customFormat="1" ht="24" customHeight="1" spans="1:29">
      <c r="A189" s="150">
        <v>183</v>
      </c>
      <c r="B189" s="151">
        <v>43787</v>
      </c>
      <c r="C189" s="152" t="s">
        <v>2706</v>
      </c>
      <c r="D189" s="157" t="s">
        <v>2533</v>
      </c>
      <c r="E189" s="158" t="s">
        <v>2564</v>
      </c>
      <c r="F189" s="159" t="s">
        <v>2811</v>
      </c>
      <c r="G189" s="156" t="s">
        <v>2812</v>
      </c>
      <c r="H189" s="157" t="str">
        <f>IF(G189="","",VLOOKUP(G189,'附表8-合同明细采集底稿'!B:I,2,0))</f>
        <v>新疆消防工程施工合同</v>
      </c>
      <c r="I189" s="165" t="str">
        <f>IF(G189="","",VLOOKUP(G189,'附表8-合同明细采集底稿'!B:I,3,0))</f>
        <v>建设工程合同</v>
      </c>
      <c r="J189" s="154" t="s">
        <v>2813</v>
      </c>
      <c r="K189" s="157" t="s">
        <v>2355</v>
      </c>
      <c r="L189" s="166">
        <v>6500162160</v>
      </c>
      <c r="M189" s="554" t="s">
        <v>2814</v>
      </c>
      <c r="N189" s="167">
        <v>181553.4</v>
      </c>
      <c r="O189" s="167">
        <v>187000</v>
      </c>
      <c r="P189" s="167">
        <v>181553.4</v>
      </c>
      <c r="Q189" s="167"/>
      <c r="R189" s="167">
        <f t="shared" si="14"/>
        <v>181553.4</v>
      </c>
      <c r="S189" s="178">
        <f>IFERROR(VLOOKUP(G189,'附表8-合同明细采集底稿'!B:N,12,0),100%)</f>
        <v>1</v>
      </c>
      <c r="T189" s="167">
        <f t="shared" si="15"/>
        <v>181553.4</v>
      </c>
      <c r="U189" s="157" t="s">
        <v>2405</v>
      </c>
      <c r="V189" s="179" t="s">
        <v>374</v>
      </c>
      <c r="W189" s="181">
        <v>0</v>
      </c>
      <c r="X189" s="181">
        <v>0</v>
      </c>
      <c r="Y189" s="181">
        <v>181553.4</v>
      </c>
      <c r="Z189" s="183" t="s">
        <v>2406</v>
      </c>
      <c r="AA189" s="157"/>
      <c r="AB189" s="184" t="s">
        <v>2319</v>
      </c>
      <c r="AC189" s="132">
        <f t="shared" si="12"/>
        <v>0</v>
      </c>
    </row>
    <row r="190" s="132" customFormat="1" ht="24" customHeight="1" spans="1:29">
      <c r="A190" s="150">
        <v>184</v>
      </c>
      <c r="B190" s="151">
        <v>43787</v>
      </c>
      <c r="C190" s="152" t="s">
        <v>2469</v>
      </c>
      <c r="D190" s="157" t="s">
        <v>2346</v>
      </c>
      <c r="E190" s="158" t="s">
        <v>2453</v>
      </c>
      <c r="F190" s="159" t="s">
        <v>2664</v>
      </c>
      <c r="G190" s="156" t="s">
        <v>2560</v>
      </c>
      <c r="H190" s="157" t="str">
        <f>IF(G190="","",VLOOKUP(G190,'附表8-合同明细采集底稿'!B:I,2,0))</f>
        <v>一期景观混凝土</v>
      </c>
      <c r="I190" s="165" t="str">
        <f>IF(G190="","",VLOOKUP(G190,'附表8-合同明细采集底稿'!B:I,3,0))</f>
        <v>其他合同</v>
      </c>
      <c r="J190" s="165" t="s">
        <v>2561</v>
      </c>
      <c r="K190" s="157" t="s">
        <v>2355</v>
      </c>
      <c r="L190" s="166">
        <v>6500191130</v>
      </c>
      <c r="M190" s="554" t="s">
        <v>2815</v>
      </c>
      <c r="N190" s="167">
        <v>64362.83</v>
      </c>
      <c r="O190" s="167">
        <v>72730</v>
      </c>
      <c r="P190" s="167">
        <v>64362.83</v>
      </c>
      <c r="Q190" s="167"/>
      <c r="R190" s="167">
        <f t="shared" si="14"/>
        <v>64362.83</v>
      </c>
      <c r="S190" s="178">
        <f>IFERROR(VLOOKUP(G190,'附表8-合同明细采集底稿'!B:N,12,0),100%)</f>
        <v>1</v>
      </c>
      <c r="T190" s="167">
        <f t="shared" si="15"/>
        <v>64362.83</v>
      </c>
      <c r="U190" s="157" t="s">
        <v>2344</v>
      </c>
      <c r="V190" s="179" t="s">
        <v>375</v>
      </c>
      <c r="W190" s="180">
        <f>IF('附表1-面积统计表'!$D$29=0,"",IF(AND(V190="共同成本费用",Z190="总建筑面积法"),ROUND(T190/'附表1-面积统计表'!$D$29*'附表1-面积统计表'!$D$5,2),IF(AND(V190="共同成本费用",Z190="可售建筑面积法"),ROUND(T190/'附表1-面积统计表'!$F$29*'附表1-面积统计表'!$F$5,2),"请手工填写")))</f>
        <v>31181.41</v>
      </c>
      <c r="X190" s="180">
        <f>IF(SUM('附表1-面积统计表'!$D$6)=0,"",SUM(T190)-SUM(W190)-SUM(Y190))</f>
        <v>20630.49</v>
      </c>
      <c r="Y190" s="180">
        <f>IF(SUM('附表1-面积统计表'!$D$6)=0,SUM(T190)-SUM(W190),IF('附表1-面积统计表'!$D$29=0,"",IF(AND(V190="共同成本费用",Z190="总建筑面积法"),ROUND(T190/'附表1-面积统计表'!$D$29*'附表1-面积统计表'!$D$7,2),IF(AND(V190="共同成本费用",Z190="可售建筑面积法"),ROUND(T190/'附表1-面积统计表'!$F$29*'附表1-面积统计表'!$F$7,2),"请手工填写"))))</f>
        <v>12550.93</v>
      </c>
      <c r="Z190" s="183" t="s">
        <v>351</v>
      </c>
      <c r="AA190" s="157"/>
      <c r="AB190" s="184" t="s">
        <v>2319</v>
      </c>
      <c r="AC190" s="132">
        <f t="shared" si="12"/>
        <v>0</v>
      </c>
    </row>
    <row r="191" s="132" customFormat="1" ht="24" customHeight="1" spans="1:29">
      <c r="A191" s="150">
        <v>185</v>
      </c>
      <c r="B191" s="151">
        <v>43804</v>
      </c>
      <c r="C191" s="152" t="s">
        <v>2477</v>
      </c>
      <c r="D191" s="157" t="s">
        <v>2346</v>
      </c>
      <c r="E191" s="158" t="s">
        <v>2453</v>
      </c>
      <c r="F191" s="159" t="s">
        <v>2816</v>
      </c>
      <c r="G191" s="156"/>
      <c r="H191" s="157" t="str">
        <f>IF(G191="","",VLOOKUP(G191,'附表8-合同明细采集底稿'!B:I,2,0))</f>
        <v/>
      </c>
      <c r="I191" s="165" t="str">
        <f>IF(G191="","",VLOOKUP(G191,'附表8-合同明细采集底稿'!B:I,3,0))</f>
        <v/>
      </c>
      <c r="J191" s="165" t="s">
        <v>2817</v>
      </c>
      <c r="K191" s="157" t="s">
        <v>2335</v>
      </c>
      <c r="L191" s="168" t="s">
        <v>2336</v>
      </c>
      <c r="M191" s="155">
        <v>16252586</v>
      </c>
      <c r="N191" s="167">
        <v>825.6</v>
      </c>
      <c r="O191" s="167">
        <v>825.6</v>
      </c>
      <c r="P191" s="167">
        <v>825.6</v>
      </c>
      <c r="Q191" s="167"/>
      <c r="R191" s="167">
        <f t="shared" si="14"/>
        <v>825.6</v>
      </c>
      <c r="S191" s="178">
        <v>1</v>
      </c>
      <c r="T191" s="167">
        <f t="shared" si="15"/>
        <v>825.6</v>
      </c>
      <c r="U191" s="157" t="s">
        <v>2344</v>
      </c>
      <c r="V191" s="179" t="s">
        <v>375</v>
      </c>
      <c r="W191" s="180">
        <f>IF('附表1-面积统计表'!$D$29=0,"",IF(AND(V191="共同成本费用",Z191="总建筑面积法"),ROUND(T191/'附表1-面积统计表'!$D$29*'附表1-面积统计表'!$D$5,2),IF(AND(V191="共同成本费用",Z191="可售建筑面积法"),ROUND(T191/'附表1-面积统计表'!$F$29*'附表1-面积统计表'!$F$5,2),"请手工填写")))</f>
        <v>399.97</v>
      </c>
      <c r="X191" s="180">
        <f>IF(SUM('附表1-面积统计表'!$D$6)=0,"",SUM(T191)-SUM(W191)-SUM(Y191))</f>
        <v>264.64</v>
      </c>
      <c r="Y191" s="180">
        <f>IF(SUM('附表1-面积统计表'!$D$6)=0,SUM(T191)-SUM(W191),IF('附表1-面积统计表'!$D$29=0,"",IF(AND(V191="共同成本费用",Z191="总建筑面积法"),ROUND(T191/'附表1-面积统计表'!$D$29*'附表1-面积统计表'!$D$7,2),IF(AND(V191="共同成本费用",Z191="可售建筑面积法"),ROUND(T191/'附表1-面积统计表'!$F$29*'附表1-面积统计表'!$F$7,2),"请手工填写"))))</f>
        <v>160.99</v>
      </c>
      <c r="Z191" s="183" t="s">
        <v>351</v>
      </c>
      <c r="AA191" s="157"/>
      <c r="AB191" s="184" t="s">
        <v>2319</v>
      </c>
      <c r="AC191" s="132">
        <f t="shared" si="12"/>
        <v>0</v>
      </c>
    </row>
    <row r="192" s="132" customFormat="1" ht="24" customHeight="1" spans="1:29">
      <c r="A192" s="150">
        <v>186</v>
      </c>
      <c r="B192" s="151">
        <v>43804</v>
      </c>
      <c r="C192" s="152" t="s">
        <v>2818</v>
      </c>
      <c r="D192" s="157" t="s">
        <v>2346</v>
      </c>
      <c r="E192" s="158" t="s">
        <v>2418</v>
      </c>
      <c r="F192" s="159" t="s">
        <v>2819</v>
      </c>
      <c r="G192" s="156" t="s">
        <v>2820</v>
      </c>
      <c r="H192" s="157" t="str">
        <f>IF(G192="","",VLOOKUP(G192,'附表8-合同明细采集底稿'!B:I,2,0))</f>
        <v>电 缆线</v>
      </c>
      <c r="I192" s="165" t="str">
        <f>IF(G192="","",VLOOKUP(G192,'附表8-合同明细采集底稿'!B:I,3,0))</f>
        <v>其他合同</v>
      </c>
      <c r="J192" s="165" t="s">
        <v>2821</v>
      </c>
      <c r="K192" s="157" t="s">
        <v>2335</v>
      </c>
      <c r="L192" s="168" t="s">
        <v>2336</v>
      </c>
      <c r="M192" s="155">
        <v>16190635</v>
      </c>
      <c r="N192" s="167">
        <v>3283</v>
      </c>
      <c r="O192" s="167">
        <v>3283</v>
      </c>
      <c r="P192" s="167">
        <v>3283</v>
      </c>
      <c r="Q192" s="167">
        <v>-3283</v>
      </c>
      <c r="R192" s="167">
        <f t="shared" si="14"/>
        <v>0</v>
      </c>
      <c r="S192" s="178">
        <f>IFERROR(VLOOKUP(G192,'附表8-合同明细采集底稿'!B:N,12,0),100%)</f>
        <v>1</v>
      </c>
      <c r="T192" s="167">
        <f t="shared" si="15"/>
        <v>0</v>
      </c>
      <c r="U192" s="157" t="s">
        <v>2344</v>
      </c>
      <c r="V192" s="179" t="s">
        <v>375</v>
      </c>
      <c r="W192" s="180">
        <f>IF('附表1-面积统计表'!$D$29=0,"",IF(AND(V192="共同成本费用",Z192="总建筑面积法"),ROUND(T192/'附表1-面积统计表'!$D$29*'附表1-面积统计表'!$D$5,2),IF(AND(V192="共同成本费用",Z192="可售建筑面积法"),ROUND(T192/'附表1-面积统计表'!$F$29*'附表1-面积统计表'!$F$5,2),"请手工填写")))</f>
        <v>0</v>
      </c>
      <c r="X192" s="180">
        <f>IF(SUM('附表1-面积统计表'!$D$6)=0,"",SUM(T192)-SUM(W192)-SUM(Y192))</f>
        <v>0</v>
      </c>
      <c r="Y192" s="180">
        <f>IF(SUM('附表1-面积统计表'!$D$6)=0,SUM(T192)-SUM(W192),IF('附表1-面积统计表'!$D$29=0,"",IF(AND(V192="共同成本费用",Z192="总建筑面积法"),ROUND(T192/'附表1-面积统计表'!$D$29*'附表1-面积统计表'!$D$7,2),IF(AND(V192="共同成本费用",Z192="可售建筑面积法"),ROUND(T192/'附表1-面积统计表'!$F$29*'附表1-面积统计表'!$F$7,2),"请手工填写"))))</f>
        <v>0</v>
      </c>
      <c r="Z192" s="183" t="s">
        <v>351</v>
      </c>
      <c r="AA192" s="157"/>
      <c r="AB192" s="184" t="s">
        <v>2319</v>
      </c>
      <c r="AC192" s="132">
        <f t="shared" si="12"/>
        <v>0</v>
      </c>
    </row>
    <row r="193" s="132" customFormat="1" ht="24" customHeight="1" spans="1:29">
      <c r="A193" s="150">
        <v>187</v>
      </c>
      <c r="B193" s="151">
        <v>43804</v>
      </c>
      <c r="C193" s="152" t="s">
        <v>2822</v>
      </c>
      <c r="D193" s="157" t="s">
        <v>2339</v>
      </c>
      <c r="E193" s="158" t="s">
        <v>2351</v>
      </c>
      <c r="F193" s="159" t="s">
        <v>2823</v>
      </c>
      <c r="G193" s="156"/>
      <c r="H193" s="157" t="str">
        <f>IF(G193="","",VLOOKUP(G193,'附表8-合同明细采集底稿'!B:I,2,0))</f>
        <v/>
      </c>
      <c r="I193" s="165" t="str">
        <f>IF(G193="","",VLOOKUP(G193,'附表8-合同明细采集底稿'!B:I,3,0))</f>
        <v/>
      </c>
      <c r="J193" s="154" t="s">
        <v>2824</v>
      </c>
      <c r="K193" s="157" t="s">
        <v>2355</v>
      </c>
      <c r="L193" s="166">
        <v>3100192130</v>
      </c>
      <c r="M193" s="155">
        <v>32773412</v>
      </c>
      <c r="N193" s="167">
        <v>9183.96</v>
      </c>
      <c r="O193" s="167">
        <v>9735</v>
      </c>
      <c r="P193" s="167">
        <v>9183.96</v>
      </c>
      <c r="Q193" s="167"/>
      <c r="R193" s="167">
        <f t="shared" si="14"/>
        <v>9183.96</v>
      </c>
      <c r="S193" s="178">
        <v>1</v>
      </c>
      <c r="T193" s="167">
        <f t="shared" si="15"/>
        <v>9183.96</v>
      </c>
      <c r="U193" s="157" t="s">
        <v>2405</v>
      </c>
      <c r="V193" s="179" t="s">
        <v>374</v>
      </c>
      <c r="W193" s="181">
        <v>0</v>
      </c>
      <c r="X193" s="181">
        <v>0</v>
      </c>
      <c r="Y193" s="181">
        <v>9183.96</v>
      </c>
      <c r="Z193" s="183" t="s">
        <v>2406</v>
      </c>
      <c r="AA193" s="157"/>
      <c r="AB193" s="184" t="s">
        <v>2319</v>
      </c>
      <c r="AC193" s="132">
        <f t="shared" si="12"/>
        <v>0</v>
      </c>
    </row>
    <row r="194" s="132" customFormat="1" ht="24" customHeight="1" spans="1:29">
      <c r="A194" s="150">
        <v>188</v>
      </c>
      <c r="B194" s="151">
        <v>43808</v>
      </c>
      <c r="C194" s="152" t="s">
        <v>2666</v>
      </c>
      <c r="D194" s="157" t="s">
        <v>2346</v>
      </c>
      <c r="E194" s="158" t="s">
        <v>2453</v>
      </c>
      <c r="F194" s="159" t="s">
        <v>2825</v>
      </c>
      <c r="G194" s="156" t="s">
        <v>2658</v>
      </c>
      <c r="H194" s="157" t="str">
        <f>IF(G194="","",VLOOKUP(G194,'附表8-合同明细采集底稿'!B:I,2,0))</f>
        <v>附属亮化设施合同</v>
      </c>
      <c r="I194" s="165" t="str">
        <f>IF(G194="","",VLOOKUP(G194,'附表8-合同明细采集底稿'!B:I,3,0))</f>
        <v>建设工程合同</v>
      </c>
      <c r="J194" s="165" t="s">
        <v>2659</v>
      </c>
      <c r="K194" s="157" t="s">
        <v>2355</v>
      </c>
      <c r="L194" s="166">
        <v>4400193130</v>
      </c>
      <c r="M194" s="155">
        <v>24184278</v>
      </c>
      <c r="N194" s="167">
        <v>79292.03</v>
      </c>
      <c r="O194" s="167">
        <v>89600</v>
      </c>
      <c r="P194" s="167">
        <v>79292.03</v>
      </c>
      <c r="Q194" s="167">
        <v>-79292.03</v>
      </c>
      <c r="R194" s="167">
        <f t="shared" si="14"/>
        <v>0</v>
      </c>
      <c r="S194" s="178">
        <f>IFERROR(VLOOKUP(G194,'附表8-合同明细采集底稿'!B:N,12,0),100%)</f>
        <v>1</v>
      </c>
      <c r="T194" s="167">
        <f t="shared" si="15"/>
        <v>0</v>
      </c>
      <c r="U194" s="157" t="s">
        <v>2416</v>
      </c>
      <c r="V194" s="179" t="s">
        <v>374</v>
      </c>
      <c r="W194" s="182">
        <f>ROUND(T194*成本分摊比例!$G$13/(成本分摊比例!$G$13+成本分摊比例!$H$13+成本分摊比例!$I$13),2)</f>
        <v>0</v>
      </c>
      <c r="X194" s="182">
        <f>ROUND(T194*成本分摊比例!$H$13/(成本分摊比例!$G$13+成本分摊比例!$H$13+成本分摊比例!$I$13),2)</f>
        <v>0</v>
      </c>
      <c r="Y194" s="182">
        <f>T194-W194-X194</f>
        <v>0</v>
      </c>
      <c r="Z194" s="183" t="s">
        <v>2406</v>
      </c>
      <c r="AA194" s="157"/>
      <c r="AB194" s="184" t="s">
        <v>2319</v>
      </c>
      <c r="AC194" s="132">
        <f t="shared" si="12"/>
        <v>0</v>
      </c>
    </row>
    <row r="195" s="132" customFormat="1" ht="24" customHeight="1" spans="1:29">
      <c r="A195" s="150">
        <v>189</v>
      </c>
      <c r="B195" s="151">
        <v>43810</v>
      </c>
      <c r="C195" s="152" t="s">
        <v>2774</v>
      </c>
      <c r="D195" s="157" t="s">
        <v>2346</v>
      </c>
      <c r="E195" s="158" t="s">
        <v>2501</v>
      </c>
      <c r="F195" s="159" t="s">
        <v>2826</v>
      </c>
      <c r="G195" s="156" t="s">
        <v>2652</v>
      </c>
      <c r="H195" s="157" t="str">
        <f>IF(G195="","",VLOOKUP(G195,'附表8-合同明细采集底稿'!B:I,2,0))</f>
        <v>钢槽等</v>
      </c>
      <c r="I195" s="165" t="str">
        <f>IF(G195="","",VLOOKUP(G195,'附表8-合同明细采集底稿'!B:I,3,0))</f>
        <v>其他合同</v>
      </c>
      <c r="J195" s="165" t="s">
        <v>2653</v>
      </c>
      <c r="K195" s="157" t="s">
        <v>2355</v>
      </c>
      <c r="L195" s="166">
        <v>6500192130</v>
      </c>
      <c r="M195" s="554" t="s">
        <v>2827</v>
      </c>
      <c r="N195" s="167">
        <v>955.75</v>
      </c>
      <c r="O195" s="167">
        <v>1080</v>
      </c>
      <c r="P195" s="167">
        <v>955.75</v>
      </c>
      <c r="Q195" s="167"/>
      <c r="R195" s="167">
        <f t="shared" si="14"/>
        <v>955.75</v>
      </c>
      <c r="S195" s="178">
        <f>IFERROR(VLOOKUP(G195,'附表8-合同明细采集底稿'!B:N,12,0),100%)</f>
        <v>1</v>
      </c>
      <c r="T195" s="167">
        <f t="shared" ref="T195:T204" si="17">ROUND(SUM(R195)*SUM(S195),2)</f>
        <v>955.75</v>
      </c>
      <c r="U195" s="157" t="s">
        <v>2344</v>
      </c>
      <c r="V195" s="179" t="s">
        <v>375</v>
      </c>
      <c r="W195" s="180">
        <f>IF('附表1-面积统计表'!$D$29=0,"",IF(AND(V195="共同成本费用",Z195="总建筑面积法"),ROUND(T195/'附表1-面积统计表'!$D$29*'附表1-面积统计表'!$D$5,2),IF(AND(V195="共同成本费用",Z195="可售建筑面积法"),ROUND(T195/'附表1-面积统计表'!$F$29*'附表1-面积统计表'!$F$5,2),"请手工填写")))</f>
        <v>463.03</v>
      </c>
      <c r="X195" s="180">
        <f>IF(SUM('附表1-面积统计表'!$D$6)=0,"",SUM(T195)-SUM(W195)-SUM(Y195))</f>
        <v>306.35</v>
      </c>
      <c r="Y195" s="180">
        <f>IF(SUM('附表1-面积统计表'!$D$6)=0,SUM(T195)-SUM(W195),IF('附表1-面积统计表'!$D$29=0,"",IF(AND(V195="共同成本费用",Z195="总建筑面积法"),ROUND(T195/'附表1-面积统计表'!$D$29*'附表1-面积统计表'!$D$7,2),IF(AND(V195="共同成本费用",Z195="可售建筑面积法"),ROUND(T195/'附表1-面积统计表'!$F$29*'附表1-面积统计表'!$F$7,2),"请手工填写"))))</f>
        <v>186.37</v>
      </c>
      <c r="Z195" s="183" t="s">
        <v>351</v>
      </c>
      <c r="AA195" s="157"/>
      <c r="AB195" s="184" t="s">
        <v>2319</v>
      </c>
      <c r="AC195" s="132">
        <f t="shared" si="12"/>
        <v>0</v>
      </c>
    </row>
    <row r="196" s="132" customFormat="1" ht="24" customHeight="1" spans="1:29">
      <c r="A196" s="150">
        <v>190</v>
      </c>
      <c r="B196" s="151">
        <v>43810</v>
      </c>
      <c r="C196" s="152" t="s">
        <v>2828</v>
      </c>
      <c r="D196" s="157" t="s">
        <v>2339</v>
      </c>
      <c r="E196" s="158" t="s">
        <v>2370</v>
      </c>
      <c r="F196" s="159" t="s">
        <v>2829</v>
      </c>
      <c r="G196" s="156"/>
      <c r="H196" s="157" t="str">
        <f>IF(G196="","",VLOOKUP(G196,'附表8-合同明细采集底稿'!B:I,2,0))</f>
        <v/>
      </c>
      <c r="I196" s="165" t="str">
        <f>IF(G196="","",VLOOKUP(G196,'附表8-合同明细采集底稿'!B:I,3,0))</f>
        <v/>
      </c>
      <c r="J196" s="154" t="s">
        <v>2830</v>
      </c>
      <c r="K196" s="157" t="s">
        <v>2355</v>
      </c>
      <c r="L196" s="166">
        <v>6500191130</v>
      </c>
      <c r="M196" s="554" t="s">
        <v>2831</v>
      </c>
      <c r="N196" s="167">
        <v>5200</v>
      </c>
      <c r="O196" s="167">
        <v>5512</v>
      </c>
      <c r="P196" s="167">
        <v>5200</v>
      </c>
      <c r="Q196" s="167">
        <v>-5200</v>
      </c>
      <c r="R196" s="167">
        <f t="shared" si="14"/>
        <v>0</v>
      </c>
      <c r="S196" s="178">
        <v>1</v>
      </c>
      <c r="T196" s="167">
        <f t="shared" si="17"/>
        <v>0</v>
      </c>
      <c r="U196" s="157" t="s">
        <v>2344</v>
      </c>
      <c r="V196" s="179" t="s">
        <v>375</v>
      </c>
      <c r="W196" s="180">
        <f>IF('附表1-面积统计表'!$D$29=0,"",IF(AND(V196="共同成本费用",Z196="总建筑面积法"),ROUND(T196/'附表1-面积统计表'!$D$29*'附表1-面积统计表'!$D$5,2),IF(AND(V196="共同成本费用",Z196="可售建筑面积法"),ROUND(T196/'附表1-面积统计表'!$F$29*'附表1-面积统计表'!$F$5,2),"请手工填写")))</f>
        <v>0</v>
      </c>
      <c r="X196" s="180">
        <f>IF(SUM('附表1-面积统计表'!$D$6)=0,"",SUM(T196)-SUM(W196)-SUM(Y196))</f>
        <v>0</v>
      </c>
      <c r="Y196" s="180">
        <f>IF(SUM('附表1-面积统计表'!$D$6)=0,SUM(T196)-SUM(W196),IF('附表1-面积统计表'!$D$29=0,"",IF(AND(V196="共同成本费用",Z196="总建筑面积法"),ROUND(T196/'附表1-面积统计表'!$D$29*'附表1-面积统计表'!$D$7,2),IF(AND(V196="共同成本费用",Z196="可售建筑面积法"),ROUND(T196/'附表1-面积统计表'!$F$29*'附表1-面积统计表'!$F$7,2),"请手工填写"))))</f>
        <v>0</v>
      </c>
      <c r="Z196" s="183" t="s">
        <v>351</v>
      </c>
      <c r="AA196" s="157"/>
      <c r="AB196" s="184" t="s">
        <v>2319</v>
      </c>
      <c r="AC196" s="132">
        <f t="shared" si="12"/>
        <v>0</v>
      </c>
    </row>
    <row r="197" s="132" customFormat="1" ht="24" customHeight="1" spans="1:29">
      <c r="A197" s="150">
        <v>191</v>
      </c>
      <c r="B197" s="151">
        <v>43810</v>
      </c>
      <c r="C197" s="152" t="s">
        <v>2832</v>
      </c>
      <c r="D197" s="157" t="s">
        <v>2339</v>
      </c>
      <c r="E197" s="158" t="s">
        <v>2523</v>
      </c>
      <c r="F197" s="159" t="s">
        <v>2833</v>
      </c>
      <c r="G197" s="156" t="s">
        <v>2834</v>
      </c>
      <c r="H197" s="157" t="str">
        <f>IF(G197="","",VLOOKUP(G197,'附表8-合同明细采集底稿'!B:I,2,0))</f>
        <v>路林林（土方拉运）</v>
      </c>
      <c r="I197" s="165" t="str">
        <f>IF(G197="","",VLOOKUP(G197,'附表8-合同明细采集底稿'!B:I,3,0))</f>
        <v>运输合同</v>
      </c>
      <c r="J197" s="190" t="s">
        <v>2835</v>
      </c>
      <c r="K197" s="157" t="s">
        <v>2355</v>
      </c>
      <c r="L197" s="166" t="s">
        <v>2367</v>
      </c>
      <c r="M197" s="554" t="s">
        <v>2836</v>
      </c>
      <c r="N197" s="167">
        <v>32407.77</v>
      </c>
      <c r="O197" s="167">
        <v>33380</v>
      </c>
      <c r="P197" s="167">
        <v>32407.77</v>
      </c>
      <c r="Q197" s="167"/>
      <c r="R197" s="167">
        <f t="shared" si="14"/>
        <v>32407.77</v>
      </c>
      <c r="S197" s="178">
        <f>IFERROR(VLOOKUP(G197,'附表8-合同明细采集底稿'!B:N,12,0),100%)</f>
        <v>1</v>
      </c>
      <c r="T197" s="167">
        <f t="shared" si="17"/>
        <v>32407.77</v>
      </c>
      <c r="U197" s="157" t="s">
        <v>2344</v>
      </c>
      <c r="V197" s="179" t="s">
        <v>375</v>
      </c>
      <c r="W197" s="180">
        <f>IF('附表1-面积统计表'!$D$29=0,"",IF(AND(V197="共同成本费用",Z197="总建筑面积法"),ROUND(T197/'附表1-面积统计表'!$D$29*'附表1-面积统计表'!$D$5,2),IF(AND(V197="共同成本费用",Z197="可售建筑面积法"),ROUND(T197/'附表1-面积统计表'!$F$29*'附表1-面积统计表'!$F$5,2),"请手工填写")))</f>
        <v>15700.37</v>
      </c>
      <c r="X197" s="180">
        <f>IF(SUM('附表1-面积统计表'!$D$6)=0,"",SUM(T197)-SUM(W197)-SUM(Y197))</f>
        <v>10387.79</v>
      </c>
      <c r="Y197" s="180">
        <f>IF(SUM('附表1-面积统计表'!$D$6)=0,SUM(T197)-SUM(W197),IF('附表1-面积统计表'!$D$29=0,"",IF(AND(V197="共同成本费用",Z197="总建筑面积法"),ROUND(T197/'附表1-面积统计表'!$D$29*'附表1-面积统计表'!$D$7,2),IF(AND(V197="共同成本费用",Z197="可售建筑面积法"),ROUND(T197/'附表1-面积统计表'!$F$29*'附表1-面积统计表'!$F$7,2),"请手工填写"))))</f>
        <v>6319.61</v>
      </c>
      <c r="Z197" s="183" t="s">
        <v>351</v>
      </c>
      <c r="AA197" s="157"/>
      <c r="AB197" s="184" t="s">
        <v>2319</v>
      </c>
      <c r="AC197" s="132">
        <f t="shared" si="12"/>
        <v>0</v>
      </c>
    </row>
    <row r="198" s="132" customFormat="1" ht="24" customHeight="1" spans="1:29">
      <c r="A198" s="150">
        <v>192</v>
      </c>
      <c r="B198" s="151">
        <v>43810</v>
      </c>
      <c r="C198" s="152" t="s">
        <v>2837</v>
      </c>
      <c r="D198" s="157" t="s">
        <v>2346</v>
      </c>
      <c r="E198" s="158" t="s">
        <v>2418</v>
      </c>
      <c r="F198" s="159" t="s">
        <v>2838</v>
      </c>
      <c r="G198" s="156" t="s">
        <v>2839</v>
      </c>
      <c r="H198" s="157" t="str">
        <f>IF(G198="","",VLOOKUP(G198,'附表8-合同明细采集底稿'!B:I,2,0))</f>
        <v>电 缆线</v>
      </c>
      <c r="I198" s="165" t="str">
        <f>IF(G198="","",VLOOKUP(G198,'附表8-合同明细采集底稿'!B:I,3,0))</f>
        <v>其他合同</v>
      </c>
      <c r="J198" s="165" t="s">
        <v>2840</v>
      </c>
      <c r="K198" s="157" t="s">
        <v>2335</v>
      </c>
      <c r="L198" s="168" t="s">
        <v>2336</v>
      </c>
      <c r="M198" s="155">
        <v>14880931</v>
      </c>
      <c r="N198" s="167">
        <v>1600</v>
      </c>
      <c r="O198" s="167">
        <v>1600</v>
      </c>
      <c r="P198" s="167">
        <v>1600</v>
      </c>
      <c r="Q198" s="167"/>
      <c r="R198" s="167">
        <f t="shared" si="14"/>
        <v>1600</v>
      </c>
      <c r="S198" s="178">
        <f>IFERROR(VLOOKUP(G198,'附表8-合同明细采集底稿'!B:N,12,0),100%)</f>
        <v>1</v>
      </c>
      <c r="T198" s="167">
        <f t="shared" si="17"/>
        <v>1600</v>
      </c>
      <c r="U198" s="157" t="s">
        <v>2344</v>
      </c>
      <c r="V198" s="179" t="s">
        <v>375</v>
      </c>
      <c r="W198" s="180">
        <f>IF('附表1-面积统计表'!$D$29=0,"",IF(AND(V198="共同成本费用",Z198="总建筑面积法"),ROUND(T198/'附表1-面积统计表'!$D$29*'附表1-面积统计表'!$D$5,2),IF(AND(V198="共同成本费用",Z198="可售建筑面积法"),ROUND(T198/'附表1-面积统计表'!$F$29*'附表1-面积统计表'!$F$5,2),"请手工填写")))</f>
        <v>775.14</v>
      </c>
      <c r="X198" s="180">
        <f>IF(SUM('附表1-面积统计表'!$D$6)=0,"",SUM(T198)-SUM(W198)-SUM(Y198))</f>
        <v>512.86</v>
      </c>
      <c r="Y198" s="180">
        <f>IF(SUM('附表1-面积统计表'!$D$6)=0,SUM(T198)-SUM(W198),IF('附表1-面积统计表'!$D$29=0,"",IF(AND(V198="共同成本费用",Z198="总建筑面积法"),ROUND(T198/'附表1-面积统计表'!$D$29*'附表1-面积统计表'!$D$7,2),IF(AND(V198="共同成本费用",Z198="可售建筑面积法"),ROUND(T198/'附表1-面积统计表'!$F$29*'附表1-面积统计表'!$F$7,2),"请手工填写"))))</f>
        <v>312</v>
      </c>
      <c r="Z198" s="183" t="s">
        <v>351</v>
      </c>
      <c r="AA198" s="157"/>
      <c r="AB198" s="184" t="s">
        <v>2319</v>
      </c>
      <c r="AC198" s="132">
        <f t="shared" si="12"/>
        <v>0</v>
      </c>
    </row>
    <row r="199" s="132" customFormat="1" ht="24" customHeight="1" spans="1:29">
      <c r="A199" s="150">
        <v>193</v>
      </c>
      <c r="B199" s="151">
        <v>43818</v>
      </c>
      <c r="C199" s="152" t="s">
        <v>2809</v>
      </c>
      <c r="D199" s="157" t="s">
        <v>2339</v>
      </c>
      <c r="E199" s="158" t="s">
        <v>2363</v>
      </c>
      <c r="F199" s="159" t="s">
        <v>2841</v>
      </c>
      <c r="G199" s="156" t="s">
        <v>2411</v>
      </c>
      <c r="H199" s="157" t="str">
        <f>IF(G199="","",VLOOKUP(G199,'附表8-合同明细采集底稿'!B:I,2,0))</f>
        <v>19#20#23#24#、25-30#、1#、大门审图费</v>
      </c>
      <c r="I199" s="165" t="str">
        <f>IF(G199="","",VLOOKUP(G199,'附表8-合同明细采集底稿'!B:I,3,0))</f>
        <v>买卖合同</v>
      </c>
      <c r="J199" s="154" t="s">
        <v>2366</v>
      </c>
      <c r="K199" s="157" t="s">
        <v>2355</v>
      </c>
      <c r="L199" s="166">
        <v>6500192130</v>
      </c>
      <c r="M199" s="554" t="s">
        <v>2842</v>
      </c>
      <c r="N199" s="167">
        <v>22475.47</v>
      </c>
      <c r="O199" s="167">
        <v>23824</v>
      </c>
      <c r="P199" s="167">
        <v>22475.47</v>
      </c>
      <c r="Q199" s="167"/>
      <c r="R199" s="167">
        <f t="shared" si="14"/>
        <v>22475.47</v>
      </c>
      <c r="S199" s="178">
        <f>IFERROR(VLOOKUP(G199,'附表8-合同明细采集底稿'!B:N,12,0),100%)</f>
        <v>1</v>
      </c>
      <c r="T199" s="167">
        <f t="shared" si="17"/>
        <v>22475.47</v>
      </c>
      <c r="U199" s="157" t="s">
        <v>2344</v>
      </c>
      <c r="V199" s="179" t="s">
        <v>375</v>
      </c>
      <c r="W199" s="180">
        <f>IF('附表1-面积统计表'!$D$29=0,"",IF(AND(V199="共同成本费用",Z199="总建筑面积法"),ROUND(T199/'附表1-面积统计表'!$D$29*'附表1-面积统计表'!$D$5,2),IF(AND(V199="共同成本费用",Z199="可售建筑面积法"),ROUND(T199/'附表1-面积统计表'!$F$29*'附表1-面积统计表'!$F$5,2),"请手工填写")))</f>
        <v>10888.54</v>
      </c>
      <c r="X199" s="180">
        <f>IF(SUM('附表1-面积统计表'!$D$6)=0,"",SUM(T199)-SUM(W199)-SUM(Y199))</f>
        <v>7204.15</v>
      </c>
      <c r="Y199" s="180">
        <f>IF(SUM('附表1-面积统计表'!$D$6)=0,SUM(T199)-SUM(W199),IF('附表1-面积统计表'!$D$29=0,"",IF(AND(V199="共同成本费用",Z199="总建筑面积法"),ROUND(T199/'附表1-面积统计表'!$D$29*'附表1-面积统计表'!$D$7,2),IF(AND(V199="共同成本费用",Z199="可售建筑面积法"),ROUND(T199/'附表1-面积统计表'!$F$29*'附表1-面积统计表'!$F$7,2),"请手工填写"))))</f>
        <v>4382.78</v>
      </c>
      <c r="Z199" s="183" t="s">
        <v>351</v>
      </c>
      <c r="AA199" s="157"/>
      <c r="AB199" s="184" t="s">
        <v>2319</v>
      </c>
      <c r="AC199" s="132">
        <f t="shared" si="12"/>
        <v>0</v>
      </c>
    </row>
    <row r="200" s="132" customFormat="1" ht="24" customHeight="1" spans="1:29">
      <c r="A200" s="150">
        <v>194</v>
      </c>
      <c r="B200" s="151">
        <v>43818</v>
      </c>
      <c r="C200" s="152" t="s">
        <v>2706</v>
      </c>
      <c r="D200" s="157" t="s">
        <v>2339</v>
      </c>
      <c r="E200" s="158" t="s">
        <v>2363</v>
      </c>
      <c r="F200" s="159" t="s">
        <v>2841</v>
      </c>
      <c r="G200" s="156" t="s">
        <v>2411</v>
      </c>
      <c r="H200" s="157" t="str">
        <f>IF(G200="","",VLOOKUP(G200,'附表8-合同明细采集底稿'!B:I,2,0))</f>
        <v>19#20#23#24#、25-30#、1#、大门审图费</v>
      </c>
      <c r="I200" s="165" t="str">
        <f>IF(G200="","",VLOOKUP(G200,'附表8-合同明细采集底稿'!B:I,3,0))</f>
        <v>买卖合同</v>
      </c>
      <c r="J200" s="154" t="s">
        <v>2366</v>
      </c>
      <c r="K200" s="157" t="s">
        <v>2355</v>
      </c>
      <c r="L200" s="166">
        <v>6500192130</v>
      </c>
      <c r="M200" s="554" t="s">
        <v>2843</v>
      </c>
      <c r="N200" s="167">
        <v>22475.47</v>
      </c>
      <c r="O200" s="167">
        <v>23824</v>
      </c>
      <c r="P200" s="167">
        <v>22475.47</v>
      </c>
      <c r="Q200" s="167"/>
      <c r="R200" s="167">
        <f t="shared" si="14"/>
        <v>22475.47</v>
      </c>
      <c r="S200" s="178">
        <f>IFERROR(VLOOKUP(G200,'附表8-合同明细采集底稿'!B:N,12,0),100%)</f>
        <v>1</v>
      </c>
      <c r="T200" s="167">
        <f t="shared" si="17"/>
        <v>22475.47</v>
      </c>
      <c r="U200" s="157" t="s">
        <v>2344</v>
      </c>
      <c r="V200" s="179" t="s">
        <v>375</v>
      </c>
      <c r="W200" s="180">
        <f>IF('附表1-面积统计表'!$D$29=0,"",IF(AND(V200="共同成本费用",Z200="总建筑面积法"),ROUND(T200/'附表1-面积统计表'!$D$29*'附表1-面积统计表'!$D$5,2),IF(AND(V200="共同成本费用",Z200="可售建筑面积法"),ROUND(T200/'附表1-面积统计表'!$F$29*'附表1-面积统计表'!$F$5,2),"请手工填写")))</f>
        <v>10888.54</v>
      </c>
      <c r="X200" s="180">
        <f>IF(SUM('附表1-面积统计表'!$D$6)=0,"",SUM(T200)-SUM(W200)-SUM(Y200))</f>
        <v>7204.15</v>
      </c>
      <c r="Y200" s="180">
        <f>IF(SUM('附表1-面积统计表'!$D$6)=0,SUM(T200)-SUM(W200),IF('附表1-面积统计表'!$D$29=0,"",IF(AND(V200="共同成本费用",Z200="总建筑面积法"),ROUND(T200/'附表1-面积统计表'!$D$29*'附表1-面积统计表'!$D$7,2),IF(AND(V200="共同成本费用",Z200="可售建筑面积法"),ROUND(T200/'附表1-面积统计表'!$F$29*'附表1-面积统计表'!$F$7,2),"请手工填写"))))</f>
        <v>4382.78</v>
      </c>
      <c r="Z200" s="183" t="s">
        <v>351</v>
      </c>
      <c r="AA200" s="157"/>
      <c r="AB200" s="184" t="s">
        <v>2319</v>
      </c>
      <c r="AC200" s="132">
        <f t="shared" ref="AC200:AC263" si="18">T200-W200-X200-Y200</f>
        <v>0</v>
      </c>
    </row>
    <row r="201" s="132" customFormat="1" ht="24" customHeight="1" spans="1:29">
      <c r="A201" s="150">
        <v>195</v>
      </c>
      <c r="B201" s="151">
        <v>43819</v>
      </c>
      <c r="C201" s="152" t="s">
        <v>2844</v>
      </c>
      <c r="D201" s="157" t="s">
        <v>2346</v>
      </c>
      <c r="E201" s="158" t="s">
        <v>2501</v>
      </c>
      <c r="F201" s="159" t="s">
        <v>2845</v>
      </c>
      <c r="G201" s="156"/>
      <c r="H201" s="157" t="str">
        <f>IF(G201="","",VLOOKUP(G201,'附表8-合同明细采集底稿'!B:I,2,0))</f>
        <v/>
      </c>
      <c r="I201" s="165" t="str">
        <f>IF(G201="","",VLOOKUP(G201,'附表8-合同明细采集底稿'!B:I,3,0))</f>
        <v/>
      </c>
      <c r="J201" s="165" t="s">
        <v>2846</v>
      </c>
      <c r="K201" s="157" t="s">
        <v>2335</v>
      </c>
      <c r="L201" s="168" t="s">
        <v>2336</v>
      </c>
      <c r="M201" s="155" t="s">
        <v>2847</v>
      </c>
      <c r="N201" s="167">
        <v>3042.5</v>
      </c>
      <c r="O201" s="167">
        <v>3042.5</v>
      </c>
      <c r="P201" s="167">
        <v>3042.5</v>
      </c>
      <c r="Q201" s="167">
        <v>-3042.5</v>
      </c>
      <c r="R201" s="167">
        <f t="shared" si="14"/>
        <v>0</v>
      </c>
      <c r="S201" s="178">
        <v>1</v>
      </c>
      <c r="T201" s="167">
        <f t="shared" si="17"/>
        <v>0</v>
      </c>
      <c r="U201" s="157" t="s">
        <v>2344</v>
      </c>
      <c r="V201" s="179" t="s">
        <v>375</v>
      </c>
      <c r="W201" s="180">
        <f>IF('附表1-面积统计表'!$D$29=0,"",IF(AND(V201="共同成本费用",Z201="总建筑面积法"),ROUND(T201/'附表1-面积统计表'!$D$29*'附表1-面积统计表'!$D$5,2),IF(AND(V201="共同成本费用",Z201="可售建筑面积法"),ROUND(T201/'附表1-面积统计表'!$F$29*'附表1-面积统计表'!$F$5,2),"请手工填写")))</f>
        <v>0</v>
      </c>
      <c r="X201" s="180">
        <f>IF(SUM('附表1-面积统计表'!$D$6)=0,"",SUM(T201)-SUM(W201)-SUM(Y201))</f>
        <v>0</v>
      </c>
      <c r="Y201" s="180">
        <f>IF(SUM('附表1-面积统计表'!$D$6)=0,SUM(T201)-SUM(W201),IF('附表1-面积统计表'!$D$29=0,"",IF(AND(V201="共同成本费用",Z201="总建筑面积法"),ROUND(T201/'附表1-面积统计表'!$D$29*'附表1-面积统计表'!$D$7,2),IF(AND(V201="共同成本费用",Z201="可售建筑面积法"),ROUND(T201/'附表1-面积统计表'!$F$29*'附表1-面积统计表'!$F$7,2),"请手工填写"))))</f>
        <v>0</v>
      </c>
      <c r="Z201" s="183" t="s">
        <v>351</v>
      </c>
      <c r="AA201" s="157"/>
      <c r="AB201" s="184" t="s">
        <v>2319</v>
      </c>
      <c r="AC201" s="132">
        <f t="shared" si="18"/>
        <v>0</v>
      </c>
    </row>
    <row r="202" s="132" customFormat="1" ht="24" customHeight="1" spans="1:29">
      <c r="A202" s="150">
        <v>196</v>
      </c>
      <c r="B202" s="151">
        <v>43819</v>
      </c>
      <c r="C202" s="152" t="s">
        <v>2848</v>
      </c>
      <c r="D202" s="157" t="s">
        <v>2346</v>
      </c>
      <c r="E202" s="158" t="s">
        <v>2501</v>
      </c>
      <c r="F202" s="159" t="s">
        <v>2849</v>
      </c>
      <c r="G202" s="156" t="s">
        <v>2560</v>
      </c>
      <c r="H202" s="157" t="str">
        <f>IF(G202="","",VLOOKUP(G202,'附表8-合同明细采集底稿'!B:I,2,0))</f>
        <v>一期景观混凝土</v>
      </c>
      <c r="I202" s="165" t="str">
        <f>IF(G202="","",VLOOKUP(G202,'附表8-合同明细采集底稿'!B:I,3,0))</f>
        <v>其他合同</v>
      </c>
      <c r="J202" s="165" t="s">
        <v>2561</v>
      </c>
      <c r="K202" s="157" t="s">
        <v>2355</v>
      </c>
      <c r="L202" s="166">
        <v>6500192130</v>
      </c>
      <c r="M202" s="554" t="s">
        <v>2850</v>
      </c>
      <c r="N202" s="167">
        <v>17380.53</v>
      </c>
      <c r="O202" s="167">
        <v>19640</v>
      </c>
      <c r="P202" s="167">
        <v>17380.53</v>
      </c>
      <c r="Q202" s="167"/>
      <c r="R202" s="167">
        <f t="shared" si="14"/>
        <v>17380.53</v>
      </c>
      <c r="S202" s="178">
        <f>IFERROR(VLOOKUP(G202,'附表8-合同明细采集底稿'!B:N,12,0),100%)</f>
        <v>1</v>
      </c>
      <c r="T202" s="167">
        <f t="shared" si="17"/>
        <v>17380.53</v>
      </c>
      <c r="U202" s="157" t="s">
        <v>2344</v>
      </c>
      <c r="V202" s="179" t="s">
        <v>375</v>
      </c>
      <c r="W202" s="180">
        <f>IF('附表1-面积统计表'!$D$29=0,"",IF(AND(V202="共同成本费用",Z202="总建筑面积法"),ROUND(T202/'附表1-面积统计表'!$D$29*'附表1-面积统计表'!$D$5,2),IF(AND(V202="共同成本费用",Z202="可售建筑面积法"),ROUND(T202/'附表1-面积统计表'!$F$29*'附表1-面积统计表'!$F$5,2),"请手工填写")))</f>
        <v>8420.22</v>
      </c>
      <c r="X202" s="180">
        <f>IF(SUM('附表1-面积统计表'!$D$6)=0,"",SUM(T202)-SUM(W202)-SUM(Y202))</f>
        <v>5571.06</v>
      </c>
      <c r="Y202" s="180">
        <f>IF(SUM('附表1-面积统计表'!$D$6)=0,SUM(T202)-SUM(W202),IF('附表1-面积统计表'!$D$29=0,"",IF(AND(V202="共同成本费用",Z202="总建筑面积法"),ROUND(T202/'附表1-面积统计表'!$D$29*'附表1-面积统计表'!$D$7,2),IF(AND(V202="共同成本费用",Z202="可售建筑面积法"),ROUND(T202/'附表1-面积统计表'!$F$29*'附表1-面积统计表'!$F$7,2),"请手工填写"))))</f>
        <v>3389.25</v>
      </c>
      <c r="Z202" s="183" t="s">
        <v>351</v>
      </c>
      <c r="AA202" s="157"/>
      <c r="AB202" s="184" t="s">
        <v>2319</v>
      </c>
      <c r="AC202" s="132">
        <f t="shared" si="18"/>
        <v>0</v>
      </c>
    </row>
    <row r="203" s="132" customFormat="1" ht="24" customHeight="1" spans="1:29">
      <c r="A203" s="150">
        <v>197</v>
      </c>
      <c r="B203" s="151">
        <v>43822</v>
      </c>
      <c r="C203" s="152" t="s">
        <v>2851</v>
      </c>
      <c r="D203" s="157" t="s">
        <v>2346</v>
      </c>
      <c r="E203" s="158" t="s">
        <v>2506</v>
      </c>
      <c r="F203" s="159" t="s">
        <v>2852</v>
      </c>
      <c r="G203" s="156" t="s">
        <v>2730</v>
      </c>
      <c r="H203" s="157" t="str">
        <f>IF(G203="","",VLOOKUP(G203,'附表8-合同明细采集底稿'!B:I,2,0))</f>
        <v>购PVC管等、井盖</v>
      </c>
      <c r="I203" s="165" t="str">
        <f>IF(G203="","",VLOOKUP(G203,'附表8-合同明细采集底稿'!B:I,3,0))</f>
        <v>其他合同</v>
      </c>
      <c r="J203" s="165" t="s">
        <v>2853</v>
      </c>
      <c r="K203" s="157" t="s">
        <v>2335</v>
      </c>
      <c r="L203" s="168" t="s">
        <v>2336</v>
      </c>
      <c r="M203" s="155">
        <v>16373396</v>
      </c>
      <c r="N203" s="167">
        <v>3500</v>
      </c>
      <c r="O203" s="167">
        <v>3500</v>
      </c>
      <c r="P203" s="167">
        <v>3500</v>
      </c>
      <c r="Q203" s="167">
        <v>-3500</v>
      </c>
      <c r="R203" s="167">
        <f t="shared" si="14"/>
        <v>0</v>
      </c>
      <c r="S203" s="178">
        <f>IFERROR(VLOOKUP(G203,'附表8-合同明细采集底稿'!B:N,12,0),100%)</f>
        <v>1</v>
      </c>
      <c r="T203" s="167">
        <f t="shared" si="17"/>
        <v>0</v>
      </c>
      <c r="U203" s="157" t="s">
        <v>2344</v>
      </c>
      <c r="V203" s="179" t="s">
        <v>375</v>
      </c>
      <c r="W203" s="180">
        <f>IF('附表1-面积统计表'!$D$29=0,"",IF(AND(V203="共同成本费用",Z203="总建筑面积法"),ROUND(T203/'附表1-面积统计表'!$D$29*'附表1-面积统计表'!$D$5,2),IF(AND(V203="共同成本费用",Z203="可售建筑面积法"),ROUND(T203/'附表1-面积统计表'!$F$29*'附表1-面积统计表'!$F$5,2),"请手工填写")))</f>
        <v>0</v>
      </c>
      <c r="X203" s="180">
        <f>IF(SUM('附表1-面积统计表'!$D$6)=0,"",SUM(T203)-SUM(W203)-SUM(Y203))</f>
        <v>0</v>
      </c>
      <c r="Y203" s="180">
        <f>IF(SUM('附表1-面积统计表'!$D$6)=0,SUM(T203)-SUM(W203),IF('附表1-面积统计表'!$D$29=0,"",IF(AND(V203="共同成本费用",Z203="总建筑面积法"),ROUND(T203/'附表1-面积统计表'!$D$29*'附表1-面积统计表'!$D$7,2),IF(AND(V203="共同成本费用",Z203="可售建筑面积法"),ROUND(T203/'附表1-面积统计表'!$F$29*'附表1-面积统计表'!$F$7,2),"请手工填写"))))</f>
        <v>0</v>
      </c>
      <c r="Z203" s="183" t="s">
        <v>351</v>
      </c>
      <c r="AA203" s="157"/>
      <c r="AB203" s="184" t="s">
        <v>2319</v>
      </c>
      <c r="AC203" s="132">
        <f t="shared" si="18"/>
        <v>0</v>
      </c>
    </row>
    <row r="204" s="132" customFormat="1" ht="24" customHeight="1" spans="1:29">
      <c r="A204" s="150">
        <v>198</v>
      </c>
      <c r="B204" s="151">
        <v>43822</v>
      </c>
      <c r="C204" s="152" t="s">
        <v>2854</v>
      </c>
      <c r="D204" s="157" t="s">
        <v>2470</v>
      </c>
      <c r="E204" s="158" t="s">
        <v>2471</v>
      </c>
      <c r="F204" s="159" t="s">
        <v>2855</v>
      </c>
      <c r="G204" s="156"/>
      <c r="H204" s="157" t="str">
        <f>IF(G204="","",VLOOKUP(G204,'附表8-合同明细采集底稿'!B:I,2,0))</f>
        <v/>
      </c>
      <c r="I204" s="165" t="str">
        <f>IF(G204="","",VLOOKUP(G204,'附表8-合同明细采集底稿'!B:I,3,0))</f>
        <v/>
      </c>
      <c r="J204" s="154" t="s">
        <v>2856</v>
      </c>
      <c r="K204" s="157" t="s">
        <v>2355</v>
      </c>
      <c r="L204" s="166">
        <v>6500192160</v>
      </c>
      <c r="M204" s="554" t="s">
        <v>2857</v>
      </c>
      <c r="N204" s="167">
        <v>10504.85</v>
      </c>
      <c r="O204" s="167">
        <v>10820</v>
      </c>
      <c r="P204" s="167">
        <v>10504.85</v>
      </c>
      <c r="Q204" s="167"/>
      <c r="R204" s="167">
        <f t="shared" si="14"/>
        <v>10504.85</v>
      </c>
      <c r="S204" s="178">
        <v>1</v>
      </c>
      <c r="T204" s="167">
        <f t="shared" si="17"/>
        <v>10504.85</v>
      </c>
      <c r="U204" s="157" t="s">
        <v>2344</v>
      </c>
      <c r="V204" s="179" t="s">
        <v>375</v>
      </c>
      <c r="W204" s="180">
        <f>IF('附表1-面积统计表'!$D$29=0,"",IF(AND(V204="共同成本费用",Z204="总建筑面积法"),ROUND(T204/'附表1-面积统计表'!$D$29*'附表1-面积统计表'!$D$5,2),IF(AND(V204="共同成本费用",Z204="可售建筑面积法"),ROUND(T204/'附表1-面积统计表'!$F$29*'附表1-面积统计表'!$F$5,2),"请手工填写")))</f>
        <v>5089.21</v>
      </c>
      <c r="X204" s="180">
        <f>IF(SUM('附表1-面积统计表'!$D$6)=0,"",SUM(T204)-SUM(W204)-SUM(Y204))</f>
        <v>3367.16</v>
      </c>
      <c r="Y204" s="180">
        <f>IF(SUM('附表1-面积统计表'!$D$6)=0,SUM(T204)-SUM(W204),IF('附表1-面积统计表'!$D$29=0,"",IF(AND(V204="共同成本费用",Z204="总建筑面积法"),ROUND(T204/'附表1-面积统计表'!$D$29*'附表1-面积统计表'!$D$7,2),IF(AND(V204="共同成本费用",Z204="可售建筑面积法"),ROUND(T204/'附表1-面积统计表'!$F$29*'附表1-面积统计表'!$F$7,2),"请手工填写"))))</f>
        <v>2048.48</v>
      </c>
      <c r="Z204" s="183" t="s">
        <v>351</v>
      </c>
      <c r="AA204" s="157"/>
      <c r="AB204" s="184" t="s">
        <v>2319</v>
      </c>
      <c r="AC204" s="132">
        <f t="shared" si="18"/>
        <v>0</v>
      </c>
    </row>
    <row r="205" s="132" customFormat="1" ht="24" customHeight="1" spans="1:29">
      <c r="A205" s="150">
        <v>199</v>
      </c>
      <c r="B205" s="151">
        <v>43822</v>
      </c>
      <c r="C205" s="152" t="s">
        <v>2858</v>
      </c>
      <c r="D205" s="157" t="s">
        <v>2533</v>
      </c>
      <c r="E205" s="158" t="s">
        <v>2534</v>
      </c>
      <c r="F205" s="159" t="s">
        <v>2859</v>
      </c>
      <c r="G205" s="156" t="s">
        <v>2752</v>
      </c>
      <c r="H205" s="157" t="str">
        <f>IF(G205="","",VLOOKUP(G205,'附表8-合同明细采集底稿'!B:I,2,0))</f>
        <v>装修购木楼梯（样板间）</v>
      </c>
      <c r="I205" s="165" t="str">
        <f>IF(G205="","",VLOOKUP(G205,'附表8-合同明细采集底稿'!B:I,3,0))</f>
        <v>建设工程合同</v>
      </c>
      <c r="J205" s="154" t="s">
        <v>2753</v>
      </c>
      <c r="K205" s="157" t="s">
        <v>2335</v>
      </c>
      <c r="L205" s="168" t="s">
        <v>2336</v>
      </c>
      <c r="M205" s="554" t="s">
        <v>2860</v>
      </c>
      <c r="N205" s="167">
        <v>9625</v>
      </c>
      <c r="O205" s="167">
        <v>9625</v>
      </c>
      <c r="P205" s="167">
        <v>9625</v>
      </c>
      <c r="Q205" s="167">
        <v>-9625</v>
      </c>
      <c r="R205" s="167">
        <f t="shared" si="14"/>
        <v>0</v>
      </c>
      <c r="S205" s="178">
        <f>IFERROR(VLOOKUP(G205,'附表8-合同明细采集底稿'!B:N,12,0),100%)</f>
        <v>1</v>
      </c>
      <c r="T205" s="167">
        <f t="shared" ref="T200:T268" si="19">ROUND(SUM(R205)*SUM(S205),2)</f>
        <v>0</v>
      </c>
      <c r="U205" s="157" t="s">
        <v>2416</v>
      </c>
      <c r="V205" s="179" t="s">
        <v>374</v>
      </c>
      <c r="W205" s="182">
        <f>ROUND(T205*成本分摊比例!$G$13/(成本分摊比例!$G$13+成本分摊比例!$H$13+成本分摊比例!$I$13),2)</f>
        <v>0</v>
      </c>
      <c r="X205" s="182">
        <f>ROUND(T205*成本分摊比例!$H$13/(成本分摊比例!$G$13+成本分摊比例!$H$13+成本分摊比例!$I$13),2)</f>
        <v>0</v>
      </c>
      <c r="Y205" s="182">
        <f>T205-W205-X205</f>
        <v>0</v>
      </c>
      <c r="Z205" s="183" t="s">
        <v>2406</v>
      </c>
      <c r="AA205" s="157"/>
      <c r="AB205" s="184" t="s">
        <v>2319</v>
      </c>
      <c r="AC205" s="132">
        <f t="shared" si="18"/>
        <v>0</v>
      </c>
    </row>
    <row r="206" s="132" customFormat="1" ht="24" customHeight="1" spans="1:29">
      <c r="A206" s="150">
        <v>200</v>
      </c>
      <c r="B206" s="151">
        <v>43822</v>
      </c>
      <c r="C206" s="152" t="s">
        <v>2861</v>
      </c>
      <c r="D206" s="157" t="s">
        <v>2533</v>
      </c>
      <c r="E206" s="158" t="s">
        <v>2534</v>
      </c>
      <c r="F206" s="159" t="s">
        <v>2859</v>
      </c>
      <c r="G206" s="156" t="s">
        <v>2752</v>
      </c>
      <c r="H206" s="157" t="str">
        <f>IF(G206="","",VLOOKUP(G206,'附表8-合同明细采集底稿'!B:I,2,0))</f>
        <v>装修购木楼梯（样板间）</v>
      </c>
      <c r="I206" s="165" t="str">
        <f>IF(G206="","",VLOOKUP(G206,'附表8-合同明细采集底稿'!B:I,3,0))</f>
        <v>建设工程合同</v>
      </c>
      <c r="J206" s="154" t="s">
        <v>2753</v>
      </c>
      <c r="K206" s="157" t="s">
        <v>2335</v>
      </c>
      <c r="L206" s="168" t="s">
        <v>2336</v>
      </c>
      <c r="M206" s="554" t="s">
        <v>2862</v>
      </c>
      <c r="N206" s="167">
        <v>9625</v>
      </c>
      <c r="O206" s="167">
        <v>9625</v>
      </c>
      <c r="P206" s="167">
        <v>9625</v>
      </c>
      <c r="Q206" s="167">
        <v>-9625</v>
      </c>
      <c r="R206" s="167">
        <f t="shared" si="14"/>
        <v>0</v>
      </c>
      <c r="S206" s="178">
        <f>IFERROR(VLOOKUP(G206,'附表8-合同明细采集底稿'!B:N,12,0),100%)</f>
        <v>1</v>
      </c>
      <c r="T206" s="167">
        <f t="shared" si="19"/>
        <v>0</v>
      </c>
      <c r="U206" s="157" t="s">
        <v>2416</v>
      </c>
      <c r="V206" s="179" t="s">
        <v>374</v>
      </c>
      <c r="W206" s="182">
        <f>ROUND(T206*成本分摊比例!$G$13/(成本分摊比例!$G$13+成本分摊比例!$H$13+成本分摊比例!$I$13),2)</f>
        <v>0</v>
      </c>
      <c r="X206" s="182">
        <f>ROUND(T206*成本分摊比例!$H$13/(成本分摊比例!$G$13+成本分摊比例!$H$13+成本分摊比例!$I$13),2)</f>
        <v>0</v>
      </c>
      <c r="Y206" s="182">
        <f>T206-W206-X206</f>
        <v>0</v>
      </c>
      <c r="Z206" s="183" t="s">
        <v>2406</v>
      </c>
      <c r="AA206" s="157"/>
      <c r="AB206" s="184" t="s">
        <v>2319</v>
      </c>
      <c r="AC206" s="132">
        <f t="shared" si="18"/>
        <v>0</v>
      </c>
    </row>
    <row r="207" s="132" customFormat="1" ht="24" customHeight="1" spans="1:29">
      <c r="A207" s="150">
        <v>201</v>
      </c>
      <c r="B207" s="151">
        <v>43824</v>
      </c>
      <c r="C207" s="152" t="s">
        <v>2863</v>
      </c>
      <c r="D207" s="157" t="s">
        <v>2346</v>
      </c>
      <c r="E207" s="158" t="s">
        <v>2418</v>
      </c>
      <c r="F207" s="159" t="s">
        <v>2864</v>
      </c>
      <c r="G207" s="156" t="s">
        <v>2865</v>
      </c>
      <c r="H207" s="157" t="str">
        <f>IF(G207="","",VLOOKUP(G207,'附表8-合同明细采集底稿'!B:I,2,0))</f>
        <v>35#楼配电箱及消防供电安装</v>
      </c>
      <c r="I207" s="165" t="str">
        <f>IF(G207="","",VLOOKUP(G207,'附表8-合同明细采集底稿'!B:I,3,0))</f>
        <v>其他合同</v>
      </c>
      <c r="J207" s="169" t="s">
        <v>2866</v>
      </c>
      <c r="K207" s="157" t="s">
        <v>2355</v>
      </c>
      <c r="L207" s="166">
        <v>6500192130</v>
      </c>
      <c r="M207" s="555" t="s">
        <v>2867</v>
      </c>
      <c r="N207" s="167">
        <v>70797.34</v>
      </c>
      <c r="O207" s="167">
        <v>80001</v>
      </c>
      <c r="P207" s="167">
        <v>70797.34</v>
      </c>
      <c r="Q207" s="167">
        <v>-1769.91</v>
      </c>
      <c r="R207" s="167">
        <f t="shared" si="14"/>
        <v>69027.43</v>
      </c>
      <c r="S207" s="178">
        <f>IFERROR(VLOOKUP(G207,'附表8-合同明细采集底稿'!B:N,12,0),100%)</f>
        <v>1</v>
      </c>
      <c r="T207" s="167">
        <f t="shared" si="19"/>
        <v>69027.43</v>
      </c>
      <c r="U207" s="157" t="s">
        <v>2405</v>
      </c>
      <c r="V207" s="179" t="s">
        <v>374</v>
      </c>
      <c r="W207" s="181">
        <v>0</v>
      </c>
      <c r="X207" s="181">
        <v>0</v>
      </c>
      <c r="Y207" s="181">
        <f>T207</f>
        <v>69027.43</v>
      </c>
      <c r="Z207" s="183" t="s">
        <v>2406</v>
      </c>
      <c r="AA207" s="157"/>
      <c r="AB207" s="184" t="s">
        <v>2319</v>
      </c>
      <c r="AC207" s="132">
        <f t="shared" si="18"/>
        <v>0</v>
      </c>
    </row>
    <row r="208" s="132" customFormat="1" ht="24" customHeight="1" spans="1:29">
      <c r="A208" s="150">
        <v>202</v>
      </c>
      <c r="B208" s="151">
        <v>43824</v>
      </c>
      <c r="C208" s="152" t="s">
        <v>2868</v>
      </c>
      <c r="D208" s="157" t="s">
        <v>2339</v>
      </c>
      <c r="E208" s="158" t="s">
        <v>2363</v>
      </c>
      <c r="F208" s="159" t="s">
        <v>2869</v>
      </c>
      <c r="G208" s="156"/>
      <c r="H208" s="157" t="str">
        <f>IF(G208="","",VLOOKUP(G208,'附表8-合同明细采集底稿'!B:I,2,0))</f>
        <v/>
      </c>
      <c r="I208" s="165" t="str">
        <f>IF(G208="","",VLOOKUP(G208,'附表8-合同明细采集底稿'!B:I,3,0))</f>
        <v/>
      </c>
      <c r="J208" s="154" t="s">
        <v>2870</v>
      </c>
      <c r="K208" s="157" t="s">
        <v>2335</v>
      </c>
      <c r="L208" s="168" t="s">
        <v>2336</v>
      </c>
      <c r="M208" s="155">
        <v>16072583</v>
      </c>
      <c r="N208" s="167">
        <v>100000</v>
      </c>
      <c r="O208" s="167">
        <v>100000</v>
      </c>
      <c r="P208" s="167">
        <v>100000</v>
      </c>
      <c r="Q208" s="167">
        <v>-100000</v>
      </c>
      <c r="R208" s="167">
        <f t="shared" si="14"/>
        <v>0</v>
      </c>
      <c r="S208" s="178">
        <v>1</v>
      </c>
      <c r="T208" s="167">
        <f t="shared" si="19"/>
        <v>0</v>
      </c>
      <c r="U208" s="157" t="s">
        <v>2344</v>
      </c>
      <c r="V208" s="179" t="s">
        <v>375</v>
      </c>
      <c r="W208" s="180">
        <f>IF('附表1-面积统计表'!$D$29=0,"",IF(AND(V208="共同成本费用",Z208="总建筑面积法"),ROUND(T208/'附表1-面积统计表'!$D$29*'附表1-面积统计表'!$D$5,2),IF(AND(V208="共同成本费用",Z208="可售建筑面积法"),ROUND(T208/'附表1-面积统计表'!$F$29*'附表1-面积统计表'!$F$5,2),"请手工填写")))</f>
        <v>0</v>
      </c>
      <c r="X208" s="180">
        <f>IF(SUM('附表1-面积统计表'!$D$6)=0,"",SUM(T208)-SUM(W208)-SUM(Y208))</f>
        <v>0</v>
      </c>
      <c r="Y208" s="180">
        <f>IF(SUM('附表1-面积统计表'!$D$6)=0,SUM(T208)-SUM(W208),IF('附表1-面积统计表'!$D$29=0,"",IF(AND(V208="共同成本费用",Z208="总建筑面积法"),ROUND(T208/'附表1-面积统计表'!$D$29*'附表1-面积统计表'!$D$7,2),IF(AND(V208="共同成本费用",Z208="可售建筑面积法"),ROUND(T208/'附表1-面积统计表'!$F$29*'附表1-面积统计表'!$F$7,2),"请手工填写"))))</f>
        <v>0</v>
      </c>
      <c r="Z208" s="183" t="s">
        <v>351</v>
      </c>
      <c r="AA208" s="157"/>
      <c r="AB208" s="184" t="s">
        <v>2319</v>
      </c>
      <c r="AC208" s="132">
        <f t="shared" si="18"/>
        <v>0</v>
      </c>
    </row>
    <row r="209" s="132" customFormat="1" ht="24" customHeight="1" spans="1:29">
      <c r="A209" s="150">
        <v>203</v>
      </c>
      <c r="B209" s="151">
        <v>43824</v>
      </c>
      <c r="C209" s="152" t="s">
        <v>2871</v>
      </c>
      <c r="D209" s="157" t="s">
        <v>2533</v>
      </c>
      <c r="E209" s="158" t="s">
        <v>2788</v>
      </c>
      <c r="F209" s="159" t="s">
        <v>2872</v>
      </c>
      <c r="G209" s="156" t="s">
        <v>2790</v>
      </c>
      <c r="H209" s="157" t="str">
        <f>IF(G209="","",VLOOKUP(G209,'附表8-合同明细采集底稿'!B:I,2,0))</f>
        <v>沁春锦苑35#楼一楼装修合同+沙盘底座（27000）</v>
      </c>
      <c r="I209" s="165" t="str">
        <f>IF(G209="","",VLOOKUP(G209,'附表8-合同明细采集底稿'!B:I,3,0))</f>
        <v>建设工程合同</v>
      </c>
      <c r="J209" s="154" t="s">
        <v>2791</v>
      </c>
      <c r="K209" s="157" t="s">
        <v>2355</v>
      </c>
      <c r="L209" s="166">
        <v>6500193130</v>
      </c>
      <c r="M209" s="554" t="s">
        <v>2873</v>
      </c>
      <c r="N209" s="167">
        <v>452893.21</v>
      </c>
      <c r="O209" s="167">
        <v>466480</v>
      </c>
      <c r="P209" s="167">
        <v>452893.21</v>
      </c>
      <c r="Q209" s="167">
        <v>-452893.21</v>
      </c>
      <c r="R209" s="167">
        <f t="shared" si="14"/>
        <v>0</v>
      </c>
      <c r="S209" s="178">
        <f>IFERROR(VLOOKUP(G209,'附表8-合同明细采集底稿'!B:N,12,0),100%)</f>
        <v>1</v>
      </c>
      <c r="T209" s="167">
        <f t="shared" si="19"/>
        <v>0</v>
      </c>
      <c r="U209" s="157" t="s">
        <v>2405</v>
      </c>
      <c r="V209" s="179" t="s">
        <v>374</v>
      </c>
      <c r="W209" s="181">
        <v>0</v>
      </c>
      <c r="X209" s="181">
        <v>0</v>
      </c>
      <c r="Y209" s="181"/>
      <c r="Z209" s="183" t="s">
        <v>2406</v>
      </c>
      <c r="AA209" s="157"/>
      <c r="AB209" s="184" t="s">
        <v>2319</v>
      </c>
      <c r="AC209" s="132">
        <f t="shared" si="18"/>
        <v>0</v>
      </c>
    </row>
    <row r="210" s="132" customFormat="1" ht="24" customHeight="1" spans="1:29">
      <c r="A210" s="150">
        <v>204</v>
      </c>
      <c r="B210" s="151">
        <v>43824</v>
      </c>
      <c r="C210" s="152" t="s">
        <v>2874</v>
      </c>
      <c r="D210" s="157" t="s">
        <v>2339</v>
      </c>
      <c r="E210" s="158" t="s">
        <v>2523</v>
      </c>
      <c r="F210" s="159" t="s">
        <v>2833</v>
      </c>
      <c r="G210" s="156" t="s">
        <v>2875</v>
      </c>
      <c r="H210" s="157" t="str">
        <f>IF(G210="","",VLOOKUP(G210,'附表8-合同明细采集底稿'!B:I,2,0))</f>
        <v>土方拉运</v>
      </c>
      <c r="I210" s="165" t="str">
        <f>IF(G210="","",VLOOKUP(G210,'附表8-合同明细采集底稿'!B:I,3,0))</f>
        <v>运输合同</v>
      </c>
      <c r="J210" s="154" t="s">
        <v>2876</v>
      </c>
      <c r="K210" s="157" t="s">
        <v>2355</v>
      </c>
      <c r="L210" s="166">
        <v>6500192160</v>
      </c>
      <c r="M210" s="554" t="s">
        <v>2877</v>
      </c>
      <c r="N210" s="167">
        <v>12941.75</v>
      </c>
      <c r="O210" s="167">
        <v>13330</v>
      </c>
      <c r="P210" s="167">
        <v>12941.75</v>
      </c>
      <c r="Q210" s="167"/>
      <c r="R210" s="167">
        <f t="shared" si="14"/>
        <v>12941.75</v>
      </c>
      <c r="S210" s="178">
        <f>IFERROR(VLOOKUP(G210,'附表8-合同明细采集底稿'!B:N,12,0),100%)</f>
        <v>1</v>
      </c>
      <c r="T210" s="167">
        <f t="shared" si="19"/>
        <v>12941.75</v>
      </c>
      <c r="U210" s="157" t="s">
        <v>2344</v>
      </c>
      <c r="V210" s="179" t="s">
        <v>375</v>
      </c>
      <c r="W210" s="180">
        <f>IF('附表1-面积统计表'!$D$29=0,"",IF(AND(V210="共同成本费用",Z210="总建筑面积法"),ROUND(T210/'附表1-面积统计表'!$D$29*'附表1-面积统计表'!$D$5,2),IF(AND(V210="共同成本费用",Z210="可售建筑面积法"),ROUND(T210/'附表1-面积统计表'!$F$29*'附表1-面积统计表'!$F$5,2),"请手工填写")))</f>
        <v>6269.8</v>
      </c>
      <c r="X210" s="180">
        <f>IF(SUM('附表1-面积统计表'!$D$6)=0,"",SUM(T210)-SUM(W210)-SUM(Y210))</f>
        <v>4148.27</v>
      </c>
      <c r="Y210" s="180">
        <f>IF(SUM('附表1-面积统计表'!$D$6)=0,SUM(T210)-SUM(W210),IF('附表1-面积统计表'!$D$29=0,"",IF(AND(V210="共同成本费用",Z210="总建筑面积法"),ROUND(T210/'附表1-面积统计表'!$D$29*'附表1-面积统计表'!$D$7,2),IF(AND(V210="共同成本费用",Z210="可售建筑面积法"),ROUND(T210/'附表1-面积统计表'!$F$29*'附表1-面积统计表'!$F$7,2),"请手工填写"))))</f>
        <v>2523.68</v>
      </c>
      <c r="Z210" s="183" t="s">
        <v>351</v>
      </c>
      <c r="AA210" s="157"/>
      <c r="AB210" s="184" t="s">
        <v>2319</v>
      </c>
      <c r="AC210" s="132">
        <f t="shared" si="18"/>
        <v>0</v>
      </c>
    </row>
    <row r="211" s="132" customFormat="1" ht="24" customHeight="1" spans="1:29">
      <c r="A211" s="150">
        <v>205</v>
      </c>
      <c r="B211" s="151">
        <v>43830</v>
      </c>
      <c r="C211" s="152" t="s">
        <v>2878</v>
      </c>
      <c r="D211" s="157" t="s">
        <v>2533</v>
      </c>
      <c r="E211" s="158" t="s">
        <v>2788</v>
      </c>
      <c r="F211" s="159" t="s">
        <v>2879</v>
      </c>
      <c r="G211" s="156" t="s">
        <v>2790</v>
      </c>
      <c r="H211" s="157" t="str">
        <f>IF(G211="","",VLOOKUP(G211,'附表8-合同明细采集底稿'!B:I,2,0))</f>
        <v>沁春锦苑35#楼一楼装修合同+沙盘底座（27000）</v>
      </c>
      <c r="I211" s="165" t="str">
        <f>IF(G211="","",VLOOKUP(G211,'附表8-合同明细采集底稿'!B:I,3,0))</f>
        <v>建设工程合同</v>
      </c>
      <c r="J211" s="154" t="s">
        <v>2791</v>
      </c>
      <c r="K211" s="157" t="s">
        <v>2355</v>
      </c>
      <c r="L211" s="166">
        <v>6500193130</v>
      </c>
      <c r="M211" s="155" t="s">
        <v>2880</v>
      </c>
      <c r="N211" s="167">
        <v>197834.95</v>
      </c>
      <c r="O211" s="167">
        <v>203770</v>
      </c>
      <c r="P211" s="167">
        <v>197834.95</v>
      </c>
      <c r="Q211" s="167">
        <v>-197834.95</v>
      </c>
      <c r="R211" s="167">
        <f t="shared" si="14"/>
        <v>0</v>
      </c>
      <c r="S211" s="178">
        <f>IFERROR(VLOOKUP(G211,'附表8-合同明细采集底稿'!B:N,12,0),100%)</f>
        <v>1</v>
      </c>
      <c r="T211" s="167">
        <f t="shared" si="19"/>
        <v>0</v>
      </c>
      <c r="U211" s="157" t="s">
        <v>2405</v>
      </c>
      <c r="V211" s="179" t="s">
        <v>374</v>
      </c>
      <c r="W211" s="181">
        <v>0</v>
      </c>
      <c r="X211" s="181">
        <v>0</v>
      </c>
      <c r="Y211" s="181"/>
      <c r="Z211" s="183" t="s">
        <v>2406</v>
      </c>
      <c r="AA211" s="157"/>
      <c r="AB211" s="184" t="s">
        <v>2319</v>
      </c>
      <c r="AC211" s="132">
        <f t="shared" si="18"/>
        <v>0</v>
      </c>
    </row>
    <row r="212" s="132" customFormat="1" ht="24" customHeight="1" spans="1:29">
      <c r="A212" s="150">
        <v>206</v>
      </c>
      <c r="B212" s="151">
        <v>43830</v>
      </c>
      <c r="C212" s="152" t="s">
        <v>2881</v>
      </c>
      <c r="D212" s="157" t="s">
        <v>2533</v>
      </c>
      <c r="E212" s="158" t="s">
        <v>2690</v>
      </c>
      <c r="F212" s="159" t="s">
        <v>2882</v>
      </c>
      <c r="G212" s="156" t="s">
        <v>2692</v>
      </c>
      <c r="H212" s="157" t="str">
        <f>IF(G212="","",VLOOKUP(G212,'附表8-合同明细采集底稿'!B:I,2,0))</f>
        <v>沁春锦苑19、20、23、24号楼防火防盗门</v>
      </c>
      <c r="I212" s="165" t="str">
        <f>IF(G212="","",VLOOKUP(G212,'附表8-合同明细采集底稿'!B:I,3,0))</f>
        <v>买卖合同</v>
      </c>
      <c r="J212" s="154" t="s">
        <v>2693</v>
      </c>
      <c r="K212" s="157" t="s">
        <v>2355</v>
      </c>
      <c r="L212" s="166">
        <v>6500191130</v>
      </c>
      <c r="M212" s="554" t="s">
        <v>2883</v>
      </c>
      <c r="N212" s="167">
        <v>75221.24</v>
      </c>
      <c r="O212" s="167">
        <v>85000</v>
      </c>
      <c r="P212" s="167">
        <v>75221.24</v>
      </c>
      <c r="Q212" s="167"/>
      <c r="R212" s="167">
        <f t="shared" si="14"/>
        <v>75221.24</v>
      </c>
      <c r="S212" s="178">
        <f>IFERROR(VLOOKUP(G212,'附表8-合同明细采集底稿'!B:N,12,0),100%)</f>
        <v>1</v>
      </c>
      <c r="T212" s="167">
        <f t="shared" si="19"/>
        <v>75221.24</v>
      </c>
      <c r="U212" s="157" t="s">
        <v>2416</v>
      </c>
      <c r="V212" s="179" t="s">
        <v>374</v>
      </c>
      <c r="W212" s="182">
        <f>ROUND(T212*成本分摊比例!$G$13/(成本分摊比例!$G$13+成本分摊比例!$H$13+成本分摊比例!$I$13),2)</f>
        <v>40642.17</v>
      </c>
      <c r="X212" s="182">
        <f>ROUND(T212*成本分摊比例!$H$13/(成本分摊比例!$G$13+成本分摊比例!$H$13+成本分摊比例!$I$13),2)</f>
        <v>26889.98</v>
      </c>
      <c r="Y212" s="182">
        <f t="shared" ref="Y212:Y218" si="20">T212-W212-X212</f>
        <v>7689.09000000001</v>
      </c>
      <c r="Z212" s="183" t="s">
        <v>2406</v>
      </c>
      <c r="AA212" s="157"/>
      <c r="AB212" s="184" t="s">
        <v>2319</v>
      </c>
      <c r="AC212" s="132">
        <f t="shared" si="18"/>
        <v>0</v>
      </c>
    </row>
    <row r="213" s="132" customFormat="1" ht="24" customHeight="1" spans="1:29">
      <c r="A213" s="150">
        <v>207</v>
      </c>
      <c r="B213" s="151">
        <v>43830</v>
      </c>
      <c r="C213" s="152" t="s">
        <v>2884</v>
      </c>
      <c r="D213" s="157" t="s">
        <v>2533</v>
      </c>
      <c r="E213" s="158" t="s">
        <v>2564</v>
      </c>
      <c r="F213" s="159" t="s">
        <v>2885</v>
      </c>
      <c r="G213" s="156" t="s">
        <v>2886</v>
      </c>
      <c r="H213" s="157" t="str">
        <f>IF(G213="","",VLOOKUP(G213,'附表8-合同明细采集底稿'!B:I,2,0))</f>
        <v>沁春锦苑1#35#楼大门外墙装修合同</v>
      </c>
      <c r="I213" s="165" t="str">
        <f>IF(G213="","",VLOOKUP(G213,'附表8-合同明细采集底稿'!B:I,3,0))</f>
        <v>建设工程合同</v>
      </c>
      <c r="J213" s="154" t="s">
        <v>151</v>
      </c>
      <c r="K213" s="157" t="s">
        <v>2355</v>
      </c>
      <c r="L213" s="166">
        <v>6500192130</v>
      </c>
      <c r="M213" s="554" t="s">
        <v>2887</v>
      </c>
      <c r="N213" s="167">
        <v>1284403.67</v>
      </c>
      <c r="O213" s="167">
        <v>1400000</v>
      </c>
      <c r="P213" s="167">
        <v>1284403.67</v>
      </c>
      <c r="Q213" s="167"/>
      <c r="R213" s="167">
        <f t="shared" si="14"/>
        <v>1284403.67</v>
      </c>
      <c r="S213" s="178">
        <f>IFERROR(VLOOKUP(G213,'附表8-合同明细采集底稿'!B:N,12,0),100%)</f>
        <v>1</v>
      </c>
      <c r="T213" s="167">
        <f t="shared" si="19"/>
        <v>1284403.67</v>
      </c>
      <c r="U213" s="157" t="s">
        <v>2405</v>
      </c>
      <c r="V213" s="179" t="s">
        <v>374</v>
      </c>
      <c r="W213" s="181">
        <v>0</v>
      </c>
      <c r="X213" s="181">
        <v>0</v>
      </c>
      <c r="Y213" s="181">
        <v>1284403.67</v>
      </c>
      <c r="Z213" s="183" t="s">
        <v>2406</v>
      </c>
      <c r="AA213" s="157"/>
      <c r="AB213" s="184" t="s">
        <v>2319</v>
      </c>
      <c r="AC213" s="132">
        <f t="shared" si="18"/>
        <v>0</v>
      </c>
    </row>
    <row r="214" s="132" customFormat="1" ht="24" customHeight="1" spans="1:29">
      <c r="A214" s="150">
        <v>208</v>
      </c>
      <c r="B214" s="151">
        <v>43830</v>
      </c>
      <c r="C214" s="152" t="s">
        <v>2888</v>
      </c>
      <c r="D214" s="157" t="s">
        <v>2533</v>
      </c>
      <c r="E214" s="158" t="s">
        <v>2564</v>
      </c>
      <c r="F214" s="159" t="s">
        <v>2586</v>
      </c>
      <c r="G214" s="156" t="s">
        <v>2587</v>
      </c>
      <c r="H214" s="157" t="str">
        <f>IF(G214="","",VLOOKUP(G214,'附表8-合同明细采集底稿'!B:I,2,0))</f>
        <v>承揽合同（铝合金窗120.24#）</v>
      </c>
      <c r="I214" s="165" t="str">
        <f>IF(G214="","",VLOOKUP(G214,'附表8-合同明细采集底稿'!B:I,3,0))</f>
        <v>买卖合同</v>
      </c>
      <c r="J214" s="154" t="s">
        <v>2556</v>
      </c>
      <c r="K214" s="157" t="s">
        <v>2355</v>
      </c>
      <c r="L214" s="166">
        <v>6500192130</v>
      </c>
      <c r="M214" s="155" t="s">
        <v>2889</v>
      </c>
      <c r="N214" s="167">
        <v>262831.87</v>
      </c>
      <c r="O214" s="167">
        <v>297000</v>
      </c>
      <c r="P214" s="167">
        <v>262831.87</v>
      </c>
      <c r="Q214" s="167"/>
      <c r="R214" s="167">
        <f t="shared" si="14"/>
        <v>262831.87</v>
      </c>
      <c r="S214" s="178">
        <f>IFERROR(VLOOKUP(G214,'附表8-合同明细采集底稿'!B:N,12,0),100%)</f>
        <v>1</v>
      </c>
      <c r="T214" s="167">
        <f t="shared" si="19"/>
        <v>262831.87</v>
      </c>
      <c r="U214" s="157" t="s">
        <v>2416</v>
      </c>
      <c r="V214" s="179" t="s">
        <v>374</v>
      </c>
      <c r="W214" s="182">
        <f>ROUND(T214*成本分摊比例!$G$13/(成本分摊比例!$G$13+成本分摊比例!$H$13+成本分摊比例!$I$13),2)</f>
        <v>142008.53</v>
      </c>
      <c r="X214" s="182">
        <f>ROUND(T214*成本分摊比例!$H$13/(成本分摊比例!$G$13+成本分摊比例!$H$13+成本分摊比例!$I$13),2)</f>
        <v>93956.75</v>
      </c>
      <c r="Y214" s="182">
        <f t="shared" si="20"/>
        <v>26866.59</v>
      </c>
      <c r="Z214" s="183" t="s">
        <v>2406</v>
      </c>
      <c r="AA214" s="157"/>
      <c r="AB214" s="184" t="s">
        <v>2319</v>
      </c>
      <c r="AC214" s="132">
        <f t="shared" si="18"/>
        <v>0</v>
      </c>
    </row>
    <row r="215" s="132" customFormat="1" ht="24" customHeight="1" spans="1:29">
      <c r="A215" s="150">
        <v>209</v>
      </c>
      <c r="B215" s="151">
        <v>43830</v>
      </c>
      <c r="C215" s="152" t="s">
        <v>2890</v>
      </c>
      <c r="D215" s="157" t="s">
        <v>2533</v>
      </c>
      <c r="E215" s="158" t="s">
        <v>2564</v>
      </c>
      <c r="F215" s="159" t="s">
        <v>2586</v>
      </c>
      <c r="G215" s="156" t="s">
        <v>2595</v>
      </c>
      <c r="H215" s="157" t="str">
        <f>IF(G215="","",VLOOKUP(G215,'附表8-合同明细采集底稿'!B:I,2,0))</f>
        <v>19#23#承揽合同（铝合金窗）</v>
      </c>
      <c r="I215" s="165" t="str">
        <f>IF(G215="","",VLOOKUP(G215,'附表8-合同明细采集底稿'!B:I,3,0))</f>
        <v>买卖合同</v>
      </c>
      <c r="J215" s="154" t="s">
        <v>2596</v>
      </c>
      <c r="K215" s="157" t="s">
        <v>2355</v>
      </c>
      <c r="L215" s="166">
        <v>6500193130</v>
      </c>
      <c r="M215" s="155" t="s">
        <v>2891</v>
      </c>
      <c r="N215" s="167">
        <v>268571.69</v>
      </c>
      <c r="O215" s="167">
        <v>303486</v>
      </c>
      <c r="P215" s="167">
        <v>268571.69</v>
      </c>
      <c r="Q215" s="167"/>
      <c r="R215" s="167">
        <f t="shared" si="14"/>
        <v>268571.69</v>
      </c>
      <c r="S215" s="178">
        <f>IFERROR(VLOOKUP(G215,'附表8-合同明细采集底稿'!B:N,12,0),100%)</f>
        <v>1</v>
      </c>
      <c r="T215" s="167">
        <f t="shared" si="19"/>
        <v>268571.69</v>
      </c>
      <c r="U215" s="157" t="s">
        <v>2416</v>
      </c>
      <c r="V215" s="179" t="s">
        <v>374</v>
      </c>
      <c r="W215" s="182">
        <f>ROUND(T215*成本分摊比例!$G$13/(成本分摊比例!$G$13+成本分摊比例!$H$13+成本分摊比例!$I$13),2)</f>
        <v>145109.76</v>
      </c>
      <c r="X215" s="182">
        <f>ROUND(T215*成本分摊比例!$H$13/(成本分摊比例!$G$13+成本分摊比例!$H$13+成本分摊比例!$I$13),2)</f>
        <v>96008.61</v>
      </c>
      <c r="Y215" s="182">
        <f t="shared" si="20"/>
        <v>27453.32</v>
      </c>
      <c r="Z215" s="183" t="s">
        <v>2406</v>
      </c>
      <c r="AA215" s="157"/>
      <c r="AB215" s="184" t="s">
        <v>2319</v>
      </c>
      <c r="AC215" s="132">
        <f t="shared" si="18"/>
        <v>0</v>
      </c>
    </row>
    <row r="216" s="132" customFormat="1" ht="24" customHeight="1" spans="1:29">
      <c r="A216" s="150">
        <v>210</v>
      </c>
      <c r="B216" s="166" t="s">
        <v>2892</v>
      </c>
      <c r="C216" s="166" t="s">
        <v>2893</v>
      </c>
      <c r="D216" s="157" t="s">
        <v>2346</v>
      </c>
      <c r="E216" s="158" t="s">
        <v>2656</v>
      </c>
      <c r="F216" s="189" t="s">
        <v>2894</v>
      </c>
      <c r="G216" s="156" t="s">
        <v>2895</v>
      </c>
      <c r="H216" s="157" t="str">
        <f>IF(G216="","",VLOOKUP(G216,'附表8-合同明细采集底稿'!B:I,2,0))</f>
        <v>电梯销售安装合同19-24#</v>
      </c>
      <c r="I216" s="165" t="str">
        <f>IF(G216="","",VLOOKUP(G216,'附表8-合同明细采集底稿'!B:I,3,0))</f>
        <v>买卖合同</v>
      </c>
      <c r="J216" s="165" t="s">
        <v>2896</v>
      </c>
      <c r="K216" s="157" t="s">
        <v>2355</v>
      </c>
      <c r="L216" s="166">
        <v>6500192130</v>
      </c>
      <c r="M216" s="555" t="s">
        <v>2897</v>
      </c>
      <c r="N216" s="167">
        <v>739823</v>
      </c>
      <c r="O216" s="167">
        <v>836000</v>
      </c>
      <c r="P216" s="167">
        <v>739823</v>
      </c>
      <c r="Q216" s="167"/>
      <c r="R216" s="167">
        <f t="shared" si="14"/>
        <v>739823</v>
      </c>
      <c r="S216" s="178">
        <f>IFERROR(VLOOKUP(G216,'附表8-合同明细采集底稿'!B:N,12,0),100%)</f>
        <v>1</v>
      </c>
      <c r="T216" s="167">
        <f t="shared" si="19"/>
        <v>739823</v>
      </c>
      <c r="U216" s="157" t="s">
        <v>2416</v>
      </c>
      <c r="V216" s="179" t="s">
        <v>374</v>
      </c>
      <c r="W216" s="182">
        <f>ROUND(T216*成本分摊比例!$G$13/(成本分摊比例!$G$13+成本分摊比例!$H$13+成本分摊比例!$I$13),2)</f>
        <v>399727.68</v>
      </c>
      <c r="X216" s="182">
        <f>ROUND(T216*成本分摊比例!$H$13/(成本分摊比例!$G$13+成本分摊比例!$H$13+成本分摊比例!$I$13),2)</f>
        <v>264470.84</v>
      </c>
      <c r="Y216" s="182">
        <f t="shared" si="20"/>
        <v>75624.48</v>
      </c>
      <c r="Z216" s="183" t="s">
        <v>2406</v>
      </c>
      <c r="AA216" s="157"/>
      <c r="AB216" s="184" t="s">
        <v>2319</v>
      </c>
      <c r="AC216" s="132">
        <f t="shared" si="18"/>
        <v>0</v>
      </c>
    </row>
    <row r="217" s="132" customFormat="1" ht="24" customHeight="1" spans="1:29">
      <c r="A217" s="150">
        <v>211</v>
      </c>
      <c r="B217" s="166" t="s">
        <v>2892</v>
      </c>
      <c r="C217" s="166" t="s">
        <v>2898</v>
      </c>
      <c r="D217" s="157" t="s">
        <v>2533</v>
      </c>
      <c r="E217" s="158" t="s">
        <v>2564</v>
      </c>
      <c r="F217" s="189" t="s">
        <v>2899</v>
      </c>
      <c r="G217" s="156" t="s">
        <v>2900</v>
      </c>
      <c r="H217" s="157" t="str">
        <f>IF(G217="","",VLOOKUP(G217,'附表8-合同明细采集底稿'!B:I,2,0))</f>
        <v>沁春锦苑25、26、28#施工协议</v>
      </c>
      <c r="I217" s="165" t="str">
        <f>IF(G217="","",VLOOKUP(G217,'附表8-合同明细采集底稿'!B:I,3,0))</f>
        <v>建设工程合同</v>
      </c>
      <c r="J217" s="187" t="s">
        <v>144</v>
      </c>
      <c r="K217" s="157" t="s">
        <v>2355</v>
      </c>
      <c r="L217" s="191">
        <v>6500192130</v>
      </c>
      <c r="M217" s="155" t="s">
        <v>2901</v>
      </c>
      <c r="N217" s="167">
        <v>3935779.8</v>
      </c>
      <c r="O217" s="167">
        <v>4290000</v>
      </c>
      <c r="P217" s="167">
        <v>3935779.8</v>
      </c>
      <c r="Q217" s="167"/>
      <c r="R217" s="167">
        <f t="shared" si="14"/>
        <v>3935779.8</v>
      </c>
      <c r="S217" s="178">
        <f>IFERROR(VLOOKUP(G217,'附表8-合同明细采集底稿'!B:N,12,0),100%)</f>
        <v>1</v>
      </c>
      <c r="T217" s="167">
        <f t="shared" si="19"/>
        <v>3935779.8</v>
      </c>
      <c r="U217" s="157" t="s">
        <v>2416</v>
      </c>
      <c r="V217" s="179" t="s">
        <v>374</v>
      </c>
      <c r="W217" s="182">
        <f>ROUND(T217*成本分摊比例!$G$13/(成本分摊比例!$G$13+成本分摊比例!$H$13+成本分摊比例!$I$13),2)</f>
        <v>2126508.82</v>
      </c>
      <c r="X217" s="182">
        <f>ROUND(T217*成本分摊比例!$H$13/(成本分摊比例!$G$13+成本分摊比例!$H$13+成本分摊比例!$I$13),2)</f>
        <v>1406956.8</v>
      </c>
      <c r="Y217" s="182">
        <f t="shared" si="20"/>
        <v>402314.18</v>
      </c>
      <c r="Z217" s="183" t="s">
        <v>2406</v>
      </c>
      <c r="AA217" s="157"/>
      <c r="AB217" s="184" t="s">
        <v>2319</v>
      </c>
      <c r="AC217" s="132">
        <f t="shared" si="18"/>
        <v>0</v>
      </c>
    </row>
    <row r="218" s="132" customFormat="1" ht="24" customHeight="1" spans="1:29">
      <c r="A218" s="150">
        <v>212</v>
      </c>
      <c r="B218" s="166" t="s">
        <v>2892</v>
      </c>
      <c r="C218" s="166" t="s">
        <v>2902</v>
      </c>
      <c r="D218" s="157" t="s">
        <v>2533</v>
      </c>
      <c r="E218" s="158" t="s">
        <v>2564</v>
      </c>
      <c r="F218" s="189" t="s">
        <v>2903</v>
      </c>
      <c r="G218" s="156" t="s">
        <v>2900</v>
      </c>
      <c r="H218" s="157" t="str">
        <f>IF(G218="","",VLOOKUP(G218,'附表8-合同明细采集底稿'!B:I,2,0))</f>
        <v>沁春锦苑25、26、28#施工协议</v>
      </c>
      <c r="I218" s="165" t="str">
        <f>IF(G218="","",VLOOKUP(G218,'附表8-合同明细采集底稿'!B:I,3,0))</f>
        <v>建设工程合同</v>
      </c>
      <c r="J218" s="187" t="s">
        <v>144</v>
      </c>
      <c r="K218" s="157" t="s">
        <v>2355</v>
      </c>
      <c r="L218" s="166">
        <v>6500193130</v>
      </c>
      <c r="M218" s="555" t="s">
        <v>2904</v>
      </c>
      <c r="N218" s="167">
        <v>80546.98</v>
      </c>
      <c r="O218" s="167">
        <v>87796.21</v>
      </c>
      <c r="P218" s="167">
        <v>80546.98</v>
      </c>
      <c r="Q218" s="167"/>
      <c r="R218" s="167">
        <f t="shared" ref="R218:R281" si="21">P218+Q218</f>
        <v>80546.98</v>
      </c>
      <c r="S218" s="178">
        <f>IFERROR(VLOOKUP(G218,'附表8-合同明细采集底稿'!B:N,12,0),100%)</f>
        <v>1</v>
      </c>
      <c r="T218" s="167">
        <f t="shared" si="19"/>
        <v>80546.98</v>
      </c>
      <c r="U218" s="157" t="s">
        <v>2416</v>
      </c>
      <c r="V218" s="179" t="s">
        <v>374</v>
      </c>
      <c r="W218" s="182">
        <f>ROUND(T218*成本分摊比例!$G$13/(成本分摊比例!$G$13+成本分摊比例!$H$13+成本分摊比例!$I$13),2)</f>
        <v>43519.68</v>
      </c>
      <c r="X218" s="182">
        <f>ROUND(T218*成本分摊比例!$H$13/(成本分摊比例!$G$13+成本分摊比例!$H$13+成本分摊比例!$I$13),2)</f>
        <v>28793.82</v>
      </c>
      <c r="Y218" s="182">
        <f t="shared" si="20"/>
        <v>8233.48</v>
      </c>
      <c r="Z218" s="183" t="s">
        <v>2406</v>
      </c>
      <c r="AA218" s="157"/>
      <c r="AB218" s="184" t="s">
        <v>2319</v>
      </c>
      <c r="AC218" s="132">
        <f t="shared" si="18"/>
        <v>0</v>
      </c>
    </row>
    <row r="219" s="132" customFormat="1" ht="24" customHeight="1" spans="1:29">
      <c r="A219" s="150">
        <v>213</v>
      </c>
      <c r="B219" s="166" t="s">
        <v>2892</v>
      </c>
      <c r="C219" s="166" t="s">
        <v>2902</v>
      </c>
      <c r="D219" s="157" t="s">
        <v>2533</v>
      </c>
      <c r="E219" s="158" t="s">
        <v>2564</v>
      </c>
      <c r="F219" s="189" t="s">
        <v>2903</v>
      </c>
      <c r="G219" s="156" t="s">
        <v>2900</v>
      </c>
      <c r="H219" s="157" t="str">
        <f>IF(G219="","",VLOOKUP(G219,'附表8-合同明细采集底稿'!B:I,2,0))</f>
        <v>沁春锦苑25、26、28#施工协议</v>
      </c>
      <c r="I219" s="165" t="str">
        <f>IF(G219="","",VLOOKUP(G219,'附表8-合同明细采集底稿'!B:I,3,0))</f>
        <v>建设工程合同</v>
      </c>
      <c r="J219" s="187" t="s">
        <v>144</v>
      </c>
      <c r="K219" s="157" t="s">
        <v>2355</v>
      </c>
      <c r="L219" s="166">
        <v>6500193130</v>
      </c>
      <c r="M219" s="555" t="s">
        <v>2904</v>
      </c>
      <c r="N219" s="167">
        <v>194682.38</v>
      </c>
      <c r="O219" s="167">
        <v>212203.79</v>
      </c>
      <c r="P219" s="167">
        <v>194682.38</v>
      </c>
      <c r="Q219" s="167"/>
      <c r="R219" s="167">
        <f t="shared" si="21"/>
        <v>194682.38</v>
      </c>
      <c r="S219" s="178">
        <f>IFERROR(VLOOKUP(G219,'附表8-合同明细采集底稿'!B:N,12,0),100%)</f>
        <v>1</v>
      </c>
      <c r="T219" s="167">
        <f t="shared" si="19"/>
        <v>194682.38</v>
      </c>
      <c r="U219" s="157" t="s">
        <v>2405</v>
      </c>
      <c r="V219" s="179" t="s">
        <v>374</v>
      </c>
      <c r="W219" s="182">
        <v>0</v>
      </c>
      <c r="X219" s="182">
        <v>0</v>
      </c>
      <c r="Y219" s="182">
        <v>194682.38</v>
      </c>
      <c r="Z219" s="183" t="s">
        <v>2406</v>
      </c>
      <c r="AA219" s="157"/>
      <c r="AB219" s="184" t="s">
        <v>2319</v>
      </c>
      <c r="AC219" s="132">
        <f t="shared" si="18"/>
        <v>0</v>
      </c>
    </row>
    <row r="220" s="132" customFormat="1" ht="24" customHeight="1" spans="1:29">
      <c r="A220" s="150">
        <v>214</v>
      </c>
      <c r="B220" s="166" t="s">
        <v>2892</v>
      </c>
      <c r="C220" s="166" t="s">
        <v>2905</v>
      </c>
      <c r="D220" s="157" t="s">
        <v>2339</v>
      </c>
      <c r="E220" s="158" t="s">
        <v>2523</v>
      </c>
      <c r="F220" s="189" t="s">
        <v>2906</v>
      </c>
      <c r="G220" s="156" t="s">
        <v>2907</v>
      </c>
      <c r="H220" s="157" t="str">
        <f>IF(G220="","",VLOOKUP(G220,'附表8-合同明细采集底稿'!B:I,2,0))</f>
        <v>何银昌（土方拉运）</v>
      </c>
      <c r="I220" s="165" t="str">
        <f>IF(G220="","",VLOOKUP(G220,'附表8-合同明细采集底稿'!B:I,3,0))</f>
        <v>运输合同</v>
      </c>
      <c r="J220" s="187" t="s">
        <v>2908</v>
      </c>
      <c r="K220" s="157" t="s">
        <v>2335</v>
      </c>
      <c r="L220" s="168" t="s">
        <v>2336</v>
      </c>
      <c r="M220" s="155" t="s">
        <v>2909</v>
      </c>
      <c r="N220" s="167">
        <v>57800</v>
      </c>
      <c r="O220" s="167">
        <v>57800</v>
      </c>
      <c r="P220" s="167">
        <v>57800</v>
      </c>
      <c r="Q220" s="167"/>
      <c r="R220" s="167">
        <f t="shared" si="21"/>
        <v>57800</v>
      </c>
      <c r="S220" s="178">
        <f>IFERROR(VLOOKUP(G220,'附表8-合同明细采集底稿'!B:N,12,0),100%)</f>
        <v>1</v>
      </c>
      <c r="T220" s="167">
        <f t="shared" si="19"/>
        <v>57800</v>
      </c>
      <c r="U220" s="157" t="s">
        <v>2344</v>
      </c>
      <c r="V220" s="179" t="s">
        <v>375</v>
      </c>
      <c r="W220" s="180">
        <f>IF('附表1-面积统计表'!$D$29=0,"",IF(AND(V220="共同成本费用",Z220="总建筑面积法"),ROUND(T220/'附表1-面积统计表'!$D$29*'附表1-面积统计表'!$D$5,2),IF(AND(V220="共同成本费用",Z220="可售建筑面积法"),ROUND(T220/'附表1-面积统计表'!$F$29*'附表1-面积统计表'!$F$5,2),"请手工填写")))</f>
        <v>28001.97</v>
      </c>
      <c r="X220" s="180">
        <f>IF(SUM('附表1-面积统计表'!$D$6)=0,"",SUM(T220)-SUM(W220)-SUM(Y220))</f>
        <v>18526.87</v>
      </c>
      <c r="Y220" s="180">
        <f>IF(SUM('附表1-面积统计表'!$D$6)=0,SUM(T220)-SUM(W220),IF('附表1-面积统计表'!$D$29=0,"",IF(AND(V220="共同成本费用",Z220="总建筑面积法"),ROUND(T220/'附表1-面积统计表'!$D$29*'附表1-面积统计表'!$D$7,2),IF(AND(V220="共同成本费用",Z220="可售建筑面积法"),ROUND(T220/'附表1-面积统计表'!$F$29*'附表1-面积统计表'!$F$7,2),"请手工填写"))))</f>
        <v>11271.16</v>
      </c>
      <c r="Z220" s="183" t="s">
        <v>351</v>
      </c>
      <c r="AA220" s="157"/>
      <c r="AB220" s="184" t="s">
        <v>2319</v>
      </c>
      <c r="AC220" s="132">
        <f t="shared" si="18"/>
        <v>0</v>
      </c>
    </row>
    <row r="221" s="132" customFormat="1" ht="24" customHeight="1" spans="1:29">
      <c r="A221" s="150">
        <v>215</v>
      </c>
      <c r="B221" s="166" t="s">
        <v>2892</v>
      </c>
      <c r="C221" s="166" t="s">
        <v>2910</v>
      </c>
      <c r="D221" s="157" t="s">
        <v>2346</v>
      </c>
      <c r="E221" s="158" t="s">
        <v>2501</v>
      </c>
      <c r="F221" s="189" t="s">
        <v>2911</v>
      </c>
      <c r="G221" s="156"/>
      <c r="H221" s="157" t="str">
        <f>IF(G221="","",VLOOKUP(G221,'附表8-合同明细采集底稿'!B:I,2,0))</f>
        <v/>
      </c>
      <c r="I221" s="165" t="str">
        <f>IF(G221="","",VLOOKUP(G221,'附表8-合同明细采集底稿'!B:I,3,0))</f>
        <v/>
      </c>
      <c r="J221" s="169" t="s">
        <v>2912</v>
      </c>
      <c r="K221" s="157" t="s">
        <v>2335</v>
      </c>
      <c r="L221" s="168" t="s">
        <v>2336</v>
      </c>
      <c r="M221" s="555" t="s">
        <v>2913</v>
      </c>
      <c r="N221" s="167">
        <v>21000.28</v>
      </c>
      <c r="O221" s="167">
        <v>21000.28</v>
      </c>
      <c r="P221" s="167">
        <v>21000.28</v>
      </c>
      <c r="Q221" s="167"/>
      <c r="R221" s="167">
        <f t="shared" si="21"/>
        <v>21000.28</v>
      </c>
      <c r="S221" s="178">
        <v>1</v>
      </c>
      <c r="T221" s="167">
        <f t="shared" si="19"/>
        <v>21000.28</v>
      </c>
      <c r="U221" s="157" t="s">
        <v>2344</v>
      </c>
      <c r="V221" s="179" t="s">
        <v>375</v>
      </c>
      <c r="W221" s="180">
        <f>IF('附表1-面积统计表'!$D$29=0,"",IF(AND(V221="共同成本费用",Z221="总建筑面积法"),ROUND(T221/'附表1-面积统计表'!$D$29*'附表1-面积统计表'!$D$5,2),IF(AND(V221="共同成本费用",Z221="可售建筑面积法"),ROUND(T221/'附表1-面积统计表'!$F$29*'附表1-面积统计表'!$F$5,2),"请手工填写")))</f>
        <v>10173.86</v>
      </c>
      <c r="X221" s="180">
        <f>IF(SUM('附表1-面积统计表'!$D$6)=0,"",SUM(T221)-SUM(W221)-SUM(Y221))</f>
        <v>6731.31</v>
      </c>
      <c r="Y221" s="180">
        <f>IF(SUM('附表1-面积统计表'!$D$6)=0,SUM(T221)-SUM(W221),IF('附表1-面积统计表'!$D$29=0,"",IF(AND(V221="共同成本费用",Z221="总建筑面积法"),ROUND(T221/'附表1-面积统计表'!$D$29*'附表1-面积统计表'!$D$7,2),IF(AND(V221="共同成本费用",Z221="可售建筑面积法"),ROUND(T221/'附表1-面积统计表'!$F$29*'附表1-面积统计表'!$F$7,2),"请手工填写"))))</f>
        <v>4095.11</v>
      </c>
      <c r="Z221" s="183" t="s">
        <v>351</v>
      </c>
      <c r="AA221" s="157"/>
      <c r="AB221" s="184" t="s">
        <v>2319</v>
      </c>
      <c r="AC221" s="132">
        <f t="shared" si="18"/>
        <v>0</v>
      </c>
    </row>
    <row r="222" s="132" customFormat="1" ht="24" customHeight="1" spans="1:29">
      <c r="A222" s="150">
        <v>216</v>
      </c>
      <c r="B222" s="166" t="s">
        <v>2892</v>
      </c>
      <c r="C222" s="166" t="s">
        <v>2914</v>
      </c>
      <c r="D222" s="157" t="s">
        <v>2533</v>
      </c>
      <c r="E222" s="158" t="s">
        <v>2564</v>
      </c>
      <c r="F222" s="189" t="s">
        <v>2915</v>
      </c>
      <c r="G222" s="186" t="s">
        <v>2614</v>
      </c>
      <c r="H222" s="157" t="str">
        <f>IF(G222="","",VLOOKUP(G222,'附表8-合同明细采集底稿'!B:I,2,0))</f>
        <v>沁春锦苑1#35#、大门楼施工协议（1#.35#）</v>
      </c>
      <c r="I222" s="165" t="str">
        <f>IF(G222="","",VLOOKUP(G222,'附表8-合同明细采集底稿'!B:I,3,0))</f>
        <v>建设工程合同</v>
      </c>
      <c r="J222" s="187" t="s">
        <v>151</v>
      </c>
      <c r="K222" s="157" t="s">
        <v>2355</v>
      </c>
      <c r="L222" s="166">
        <v>6500192130</v>
      </c>
      <c r="M222" s="555" t="s">
        <v>2916</v>
      </c>
      <c r="N222" s="167">
        <v>238532.11</v>
      </c>
      <c r="O222" s="167">
        <v>260000</v>
      </c>
      <c r="P222" s="167">
        <v>238532.11</v>
      </c>
      <c r="Q222" s="167"/>
      <c r="R222" s="167">
        <f t="shared" si="21"/>
        <v>238532.11</v>
      </c>
      <c r="S222" s="178">
        <f>IFERROR(VLOOKUP(G222,'附表8-合同明细采集底稿'!B:N,12,0),100%)</f>
        <v>1</v>
      </c>
      <c r="T222" s="167">
        <f t="shared" si="19"/>
        <v>238532.11</v>
      </c>
      <c r="U222" s="157" t="s">
        <v>2405</v>
      </c>
      <c r="V222" s="179" t="s">
        <v>374</v>
      </c>
      <c r="W222" s="181">
        <v>0</v>
      </c>
      <c r="X222" s="181">
        <v>0</v>
      </c>
      <c r="Y222" s="181">
        <v>238532.11</v>
      </c>
      <c r="Z222" s="183" t="s">
        <v>2406</v>
      </c>
      <c r="AA222" s="157"/>
      <c r="AB222" s="184" t="s">
        <v>2319</v>
      </c>
      <c r="AC222" s="132">
        <f t="shared" si="18"/>
        <v>0</v>
      </c>
    </row>
    <row r="223" s="132" customFormat="1" ht="24" customHeight="1" spans="1:29">
      <c r="A223" s="150">
        <v>217</v>
      </c>
      <c r="B223" s="166" t="s">
        <v>2892</v>
      </c>
      <c r="C223" s="166" t="s">
        <v>2917</v>
      </c>
      <c r="D223" s="157" t="s">
        <v>2533</v>
      </c>
      <c r="E223" s="158" t="s">
        <v>2564</v>
      </c>
      <c r="F223" s="189" t="s">
        <v>2918</v>
      </c>
      <c r="G223" s="156" t="s">
        <v>2919</v>
      </c>
      <c r="H223" s="157" t="str">
        <f>IF(G223="","",VLOOKUP(G223,'附表8-合同明细采集底稿'!B:I,2,0))</f>
        <v>1#19#20#-34#35#)室外</v>
      </c>
      <c r="I223" s="165" t="str">
        <f>IF(G223="","",VLOOKUP(G223,'附表8-合同明细采集底稿'!B:I,3,0))</f>
        <v>其他合同</v>
      </c>
      <c r="J223" s="187" t="s">
        <v>2920</v>
      </c>
      <c r="K223" s="157" t="s">
        <v>2355</v>
      </c>
      <c r="L223" s="166">
        <v>6500191130</v>
      </c>
      <c r="M223" s="555" t="s">
        <v>2921</v>
      </c>
      <c r="N223" s="167">
        <v>550458.72</v>
      </c>
      <c r="O223" s="167">
        <v>600000</v>
      </c>
      <c r="P223" s="167">
        <v>550458.72</v>
      </c>
      <c r="Q223" s="167"/>
      <c r="R223" s="167">
        <f t="shared" si="21"/>
        <v>550458.72</v>
      </c>
      <c r="S223" s="178">
        <f>IFERROR(VLOOKUP(G223,'附表8-合同明细采集底稿'!B:N,12,0),100%)</f>
        <v>1</v>
      </c>
      <c r="T223" s="167">
        <f t="shared" si="19"/>
        <v>550458.72</v>
      </c>
      <c r="U223" s="157" t="s">
        <v>2416</v>
      </c>
      <c r="V223" s="179" t="s">
        <v>374</v>
      </c>
      <c r="W223" s="182">
        <f>ROUND(T223*成本分摊比例!$G$13/(成本分摊比例!$G$13+成本分摊比例!$H$13+成本分摊比例!$I$13),2)</f>
        <v>297413.82</v>
      </c>
      <c r="X223" s="182">
        <f>ROUND(T223*成本分摊比例!$H$13/(成本分摊比例!$G$13+成本分摊比例!$H$13+成本分摊比例!$I$13),2)</f>
        <v>196777.18</v>
      </c>
      <c r="Y223" s="182">
        <f>T223-W223-X223</f>
        <v>56267.72</v>
      </c>
      <c r="Z223" s="183" t="s">
        <v>2406</v>
      </c>
      <c r="AA223" s="157"/>
      <c r="AB223" s="184" t="s">
        <v>2319</v>
      </c>
      <c r="AC223" s="132">
        <f t="shared" si="18"/>
        <v>0</v>
      </c>
    </row>
    <row r="224" s="132" customFormat="1" ht="24" customHeight="1" spans="1:29">
      <c r="A224" s="150">
        <v>218</v>
      </c>
      <c r="B224" s="166" t="s">
        <v>2922</v>
      </c>
      <c r="C224" s="166" t="s">
        <v>2923</v>
      </c>
      <c r="D224" s="157" t="s">
        <v>2346</v>
      </c>
      <c r="E224" s="158" t="s">
        <v>2418</v>
      </c>
      <c r="F224" s="189" t="s">
        <v>2924</v>
      </c>
      <c r="G224" s="156" t="s">
        <v>2725</v>
      </c>
      <c r="H224" s="157" t="str">
        <f>IF(G224="","",VLOOKUP(G224,'附表8-合同明细采集底稿'!B:I,2,0))</f>
        <v>沁春锦苑小区景观轴亮化工程合同</v>
      </c>
      <c r="I224" s="165" t="str">
        <f>IF(G224="","",VLOOKUP(G224,'附表8-合同明细采集底稿'!B:I,3,0))</f>
        <v>其他合同</v>
      </c>
      <c r="J224" s="169" t="s">
        <v>2420</v>
      </c>
      <c r="K224" s="157" t="s">
        <v>2335</v>
      </c>
      <c r="L224" s="168" t="s">
        <v>2336</v>
      </c>
      <c r="M224" s="166">
        <v>62451359</v>
      </c>
      <c r="N224" s="167">
        <v>8500</v>
      </c>
      <c r="O224" s="167">
        <v>8500</v>
      </c>
      <c r="P224" s="167">
        <v>8500</v>
      </c>
      <c r="Q224" s="167">
        <v>-8500</v>
      </c>
      <c r="R224" s="167">
        <f t="shared" si="21"/>
        <v>0</v>
      </c>
      <c r="S224" s="178">
        <f>IFERROR(VLOOKUP(G224,'附表8-合同明细采集底稿'!B:N,12,0),100%)</f>
        <v>0.338555832480367</v>
      </c>
      <c r="T224" s="167">
        <f t="shared" si="19"/>
        <v>0</v>
      </c>
      <c r="U224" s="157" t="s">
        <v>2318</v>
      </c>
      <c r="V224" s="179" t="s">
        <v>375</v>
      </c>
      <c r="W224" s="180">
        <f>IF('附表1-面积统计表'!$D$29=0,"",IF(AND(V224="共同成本费用",Z224="总建筑面积法"),ROUND(T224/'附表1-面积统计表'!$D$29*'附表1-面积统计表'!$D$5,2),IF(AND(V224="共同成本费用",Z224="可售建筑面积法"),ROUND(T224/'附表1-面积统计表'!$F$29*'附表1-面积统计表'!$F$5,2),"请手工填写")))</f>
        <v>0</v>
      </c>
      <c r="X224" s="180">
        <f>IF(SUM('附表1-面积统计表'!$D$6)=0,"",SUM(T224)-SUM(W224)-SUM(Y224))</f>
        <v>0</v>
      </c>
      <c r="Y224" s="180">
        <f>IF(SUM('附表1-面积统计表'!$D$6)=0,SUM(T224)-SUM(W224),IF('附表1-面积统计表'!$D$29=0,"",IF(AND(V224="共同成本费用",Z224="总建筑面积法"),ROUND(T224/'附表1-面积统计表'!$D$29*'附表1-面积统计表'!$D$7,2),IF(AND(V224="共同成本费用",Z224="可售建筑面积法"),ROUND(T224/'附表1-面积统计表'!$F$29*'附表1-面积统计表'!$F$7,2),"请手工填写"))))</f>
        <v>0</v>
      </c>
      <c r="Z224" s="183" t="s">
        <v>351</v>
      </c>
      <c r="AA224" s="157"/>
      <c r="AB224" s="184" t="s">
        <v>2319</v>
      </c>
      <c r="AC224" s="132">
        <f t="shared" si="18"/>
        <v>0</v>
      </c>
    </row>
    <row r="225" s="132" customFormat="1" ht="24" customHeight="1" spans="1:29">
      <c r="A225" s="150">
        <v>219</v>
      </c>
      <c r="B225" s="166" t="s">
        <v>2922</v>
      </c>
      <c r="C225" s="166" t="s">
        <v>2925</v>
      </c>
      <c r="D225" s="157" t="s">
        <v>2339</v>
      </c>
      <c r="E225" s="158" t="s">
        <v>2340</v>
      </c>
      <c r="F225" s="189" t="s">
        <v>2926</v>
      </c>
      <c r="G225" s="156"/>
      <c r="H225" s="157"/>
      <c r="I225" s="165"/>
      <c r="J225" s="187" t="s">
        <v>2927</v>
      </c>
      <c r="K225" s="157" t="s">
        <v>2483</v>
      </c>
      <c r="L225" s="166"/>
      <c r="M225" s="166" t="s">
        <v>2928</v>
      </c>
      <c r="N225" s="167">
        <v>40651.35</v>
      </c>
      <c r="O225" s="167">
        <v>40651.35</v>
      </c>
      <c r="P225" s="167">
        <v>40651.35</v>
      </c>
      <c r="Q225" s="167"/>
      <c r="R225" s="167">
        <f t="shared" si="21"/>
        <v>40651.35</v>
      </c>
      <c r="S225" s="178">
        <v>1</v>
      </c>
      <c r="T225" s="167">
        <f t="shared" si="19"/>
        <v>40651.35</v>
      </c>
      <c r="U225" s="157" t="s">
        <v>2405</v>
      </c>
      <c r="V225" s="179" t="s">
        <v>374</v>
      </c>
      <c r="W225" s="181">
        <v>0</v>
      </c>
      <c r="X225" s="181">
        <v>0</v>
      </c>
      <c r="Y225" s="181">
        <v>40651.35</v>
      </c>
      <c r="Z225" s="183" t="s">
        <v>2406</v>
      </c>
      <c r="AA225" s="157"/>
      <c r="AB225" s="184" t="s">
        <v>2319</v>
      </c>
      <c r="AC225" s="132">
        <f t="shared" si="18"/>
        <v>0</v>
      </c>
    </row>
    <row r="226" s="132" customFormat="1" ht="24" customHeight="1" spans="1:29">
      <c r="A226" s="150">
        <v>220</v>
      </c>
      <c r="B226" s="166" t="s">
        <v>2922</v>
      </c>
      <c r="C226" s="166" t="s">
        <v>2929</v>
      </c>
      <c r="D226" s="157" t="s">
        <v>2346</v>
      </c>
      <c r="E226" s="158" t="s">
        <v>2506</v>
      </c>
      <c r="F226" s="189" t="s">
        <v>2930</v>
      </c>
      <c r="G226" s="156" t="s">
        <v>2931</v>
      </c>
      <c r="H226" s="157" t="str">
        <f>IF(G226="","",VLOOKUP(G226,'附表8-合同明细采集底稿'!B:I,2,0))</f>
        <v>沁春锦苑路岩石</v>
      </c>
      <c r="I226" s="165" t="str">
        <f>IF(G226="","",VLOOKUP(G226,'附表8-合同明细采集底稿'!B:I,3,0))</f>
        <v>其他合同</v>
      </c>
      <c r="J226" s="169" t="s">
        <v>2529</v>
      </c>
      <c r="K226" s="157" t="s">
        <v>2355</v>
      </c>
      <c r="L226" s="166">
        <v>6500192130</v>
      </c>
      <c r="M226" s="555" t="s">
        <v>2932</v>
      </c>
      <c r="N226" s="167">
        <v>20874.31</v>
      </c>
      <c r="O226" s="167">
        <v>23587.97</v>
      </c>
      <c r="P226" s="167">
        <v>20874.31</v>
      </c>
      <c r="Q226" s="167"/>
      <c r="R226" s="167">
        <f t="shared" si="21"/>
        <v>20874.31</v>
      </c>
      <c r="S226" s="178">
        <f>IFERROR(VLOOKUP(G226,'附表8-合同明细采集底稿'!B:N,12,0),100%)</f>
        <v>1</v>
      </c>
      <c r="T226" s="167">
        <f t="shared" si="19"/>
        <v>20874.31</v>
      </c>
      <c r="U226" s="157" t="s">
        <v>2344</v>
      </c>
      <c r="V226" s="179" t="s">
        <v>375</v>
      </c>
      <c r="W226" s="180">
        <f>IF('附表1-面积统计表'!$D$29=0,"",IF(AND(V226="共同成本费用",Z226="总建筑面积法"),ROUND(T226/'附表1-面积统计表'!$D$29*'附表1-面积统计表'!$D$5,2),IF(AND(V226="共同成本费用",Z226="可售建筑面积法"),ROUND(T226/'附表1-面积统计表'!$F$29*'附表1-面积统计表'!$F$5,2),"请手工填写")))</f>
        <v>10112.83</v>
      </c>
      <c r="X226" s="180">
        <f>IF(SUM('附表1-面积统计表'!$D$6)=0,"",SUM(T226)-SUM(W226)-SUM(Y226))</f>
        <v>6690.93</v>
      </c>
      <c r="Y226" s="180">
        <f>IF(SUM('附表1-面积统计表'!$D$6)=0,SUM(T226)-SUM(W226),IF('附表1-面积统计表'!$D$29=0,"",IF(AND(V226="共同成本费用",Z226="总建筑面积法"),ROUND(T226/'附表1-面积统计表'!$D$29*'附表1-面积统计表'!$D$7,2),IF(AND(V226="共同成本费用",Z226="可售建筑面积法"),ROUND(T226/'附表1-面积统计表'!$F$29*'附表1-面积统计表'!$F$7,2),"请手工填写"))))</f>
        <v>4070.55</v>
      </c>
      <c r="Z226" s="183" t="s">
        <v>351</v>
      </c>
      <c r="AA226" s="157"/>
      <c r="AB226" s="184" t="s">
        <v>2319</v>
      </c>
      <c r="AC226" s="132">
        <f t="shared" si="18"/>
        <v>0</v>
      </c>
    </row>
    <row r="227" s="132" customFormat="1" ht="24" customHeight="1" spans="1:29">
      <c r="A227" s="150">
        <v>221</v>
      </c>
      <c r="B227" s="166" t="s">
        <v>2922</v>
      </c>
      <c r="C227" s="166" t="s">
        <v>2933</v>
      </c>
      <c r="D227" s="157" t="s">
        <v>2533</v>
      </c>
      <c r="E227" s="158" t="s">
        <v>2564</v>
      </c>
      <c r="F227" s="189" t="s">
        <v>2934</v>
      </c>
      <c r="G227" s="156" t="s">
        <v>2900</v>
      </c>
      <c r="H227" s="157" t="str">
        <f>IF(G227="","",VLOOKUP(G227,'附表8-合同明细采集底稿'!B:I,2,0))</f>
        <v>沁春锦苑25、26、28#施工协议</v>
      </c>
      <c r="I227" s="165" t="str">
        <f>IF(G227="","",VLOOKUP(G227,'附表8-合同明细采集底稿'!B:I,3,0))</f>
        <v>建设工程合同</v>
      </c>
      <c r="J227" s="187" t="s">
        <v>144</v>
      </c>
      <c r="K227" s="157" t="s">
        <v>2355</v>
      </c>
      <c r="L227" s="191">
        <v>6500193130</v>
      </c>
      <c r="M227" s="155" t="s">
        <v>2935</v>
      </c>
      <c r="N227" s="167">
        <v>917431.19</v>
      </c>
      <c r="O227" s="167">
        <v>1000000</v>
      </c>
      <c r="P227" s="167">
        <v>917431.19</v>
      </c>
      <c r="Q227" s="167"/>
      <c r="R227" s="167">
        <f t="shared" si="21"/>
        <v>917431.19</v>
      </c>
      <c r="S227" s="178">
        <f>IFERROR(VLOOKUP(G227,'附表8-合同明细采集底稿'!B:N,12,0),100%)</f>
        <v>1</v>
      </c>
      <c r="T227" s="167">
        <f t="shared" si="19"/>
        <v>917431.19</v>
      </c>
      <c r="U227" s="157" t="s">
        <v>2405</v>
      </c>
      <c r="V227" s="179" t="s">
        <v>374</v>
      </c>
      <c r="W227" s="182">
        <v>0</v>
      </c>
      <c r="X227" s="182">
        <v>0</v>
      </c>
      <c r="Y227" s="182">
        <v>917431.19</v>
      </c>
      <c r="Z227" s="183" t="s">
        <v>2406</v>
      </c>
      <c r="AA227" s="157"/>
      <c r="AB227" s="184" t="s">
        <v>2319</v>
      </c>
      <c r="AC227" s="132">
        <f t="shared" si="18"/>
        <v>0</v>
      </c>
    </row>
    <row r="228" s="132" customFormat="1" ht="24" customHeight="1" spans="1:29">
      <c r="A228" s="150">
        <v>222</v>
      </c>
      <c r="B228" s="166" t="s">
        <v>2936</v>
      </c>
      <c r="C228" s="166" t="s">
        <v>2937</v>
      </c>
      <c r="D228" s="157" t="s">
        <v>2346</v>
      </c>
      <c r="E228" s="158" t="s">
        <v>2938</v>
      </c>
      <c r="F228" s="189" t="s">
        <v>2939</v>
      </c>
      <c r="G228" s="156" t="s">
        <v>2940</v>
      </c>
      <c r="H228" s="157" t="str">
        <f>IF(G228="","",VLOOKUP(G228,'附表8-合同明细采集底稿'!B:I,2,0))</f>
        <v>沁春锦苑19#20#23#24#楼监控系统安装</v>
      </c>
      <c r="I228" s="165" t="str">
        <f>IF(G228="","",VLOOKUP(G228,'附表8-合同明细采集底稿'!B:I,3,0))</f>
        <v>其他合同</v>
      </c>
      <c r="J228" s="165" t="s">
        <v>2941</v>
      </c>
      <c r="K228" s="157" t="s">
        <v>2355</v>
      </c>
      <c r="L228" s="166">
        <v>6500192160</v>
      </c>
      <c r="M228" s="555" t="s">
        <v>2942</v>
      </c>
      <c r="N228" s="167">
        <v>240594.07</v>
      </c>
      <c r="O228" s="167">
        <v>243000</v>
      </c>
      <c r="P228" s="167">
        <v>240594.07</v>
      </c>
      <c r="Q228" s="167">
        <f>-(P228-108452.18)</f>
        <v>-132141.89</v>
      </c>
      <c r="R228" s="167">
        <f t="shared" si="21"/>
        <v>108452.18</v>
      </c>
      <c r="S228" s="178">
        <f>IFERROR(VLOOKUP(G228,'附表8-合同明细采集底稿'!B:N,12,0),100%)</f>
        <v>1</v>
      </c>
      <c r="T228" s="167">
        <f t="shared" si="19"/>
        <v>108452.18</v>
      </c>
      <c r="U228" s="157" t="s">
        <v>2416</v>
      </c>
      <c r="V228" s="179" t="s">
        <v>374</v>
      </c>
      <c r="W228" s="182">
        <f>ROUND(T228*成本分摊比例!$G$13/(成本分摊比例!$G$13+成本分摊比例!$H$13+成本分摊比例!$I$13),2)</f>
        <v>58596.91</v>
      </c>
      <c r="X228" s="182">
        <f>ROUND(T228*成本分摊比例!$H$13/(成本分摊比例!$G$13+成本分摊比例!$H$13+成本分摊比例!$I$13),2)</f>
        <v>38769.33</v>
      </c>
      <c r="Y228" s="182">
        <f t="shared" ref="Y228:Y234" si="22">T228-W228-X228</f>
        <v>11085.94</v>
      </c>
      <c r="Z228" s="183" t="s">
        <v>2406</v>
      </c>
      <c r="AA228" s="157"/>
      <c r="AB228" s="184" t="s">
        <v>2319</v>
      </c>
      <c r="AC228" s="132">
        <f t="shared" si="18"/>
        <v>0</v>
      </c>
    </row>
    <row r="229" s="132" customFormat="1" ht="24" customHeight="1" spans="1:29">
      <c r="A229" s="150">
        <v>223</v>
      </c>
      <c r="B229" s="166" t="s">
        <v>2936</v>
      </c>
      <c r="C229" s="166" t="s">
        <v>2943</v>
      </c>
      <c r="D229" s="157" t="s">
        <v>2346</v>
      </c>
      <c r="E229" s="158" t="s">
        <v>2418</v>
      </c>
      <c r="F229" s="189" t="s">
        <v>2944</v>
      </c>
      <c r="G229" s="156" t="s">
        <v>2945</v>
      </c>
      <c r="H229" s="157" t="str">
        <f>IF(G229="","",VLOOKUP(G229,'附表8-合同明细采集底稿'!B:I,2,0))</f>
        <v>电气外网供货安装合同</v>
      </c>
      <c r="I229" s="165" t="str">
        <f>IF(G229="","",VLOOKUP(G229,'附表8-合同明细采集底稿'!B:I,3,0))</f>
        <v>其他合同</v>
      </c>
      <c r="J229" s="169" t="s">
        <v>2946</v>
      </c>
      <c r="K229" s="157" t="s">
        <v>2355</v>
      </c>
      <c r="L229" s="166">
        <v>6500193130</v>
      </c>
      <c r="M229" s="555" t="s">
        <v>2947</v>
      </c>
      <c r="N229" s="167">
        <v>71467.89</v>
      </c>
      <c r="O229" s="167">
        <v>77900</v>
      </c>
      <c r="P229" s="167">
        <v>195627.19</v>
      </c>
      <c r="Q229" s="167">
        <v>-124159.3</v>
      </c>
      <c r="R229" s="167">
        <f t="shared" si="21"/>
        <v>71467.89</v>
      </c>
      <c r="S229" s="178">
        <f>IFERROR(VLOOKUP(G229,'附表8-合同明细采集底稿'!B:N,12,0),100%)</f>
        <v>1</v>
      </c>
      <c r="T229" s="167">
        <f t="shared" si="19"/>
        <v>71467.89</v>
      </c>
      <c r="U229" s="157" t="s">
        <v>2344</v>
      </c>
      <c r="V229" s="179" t="s">
        <v>375</v>
      </c>
      <c r="W229" s="180">
        <f>IF('附表1-面积统计表'!$D$29=0,"",IF(AND(V229="共同成本费用",Z229="总建筑面积法"),ROUND(T229/'附表1-面积统计表'!$D$29*'附表1-面积统计表'!$D$5,2),IF(AND(V229="共同成本费用",Z229="可售建筑面积法"),ROUND(T229/'附表1-面积统计表'!$F$29*'附表1-面积统计表'!$F$5,2),"请手工填写")))</f>
        <v>34623.55</v>
      </c>
      <c r="X229" s="180">
        <f>IF(SUM('附表1-面积统计表'!$D$6)=0,"",SUM(T229)-SUM(W229)-SUM(Y229))</f>
        <v>22907.9</v>
      </c>
      <c r="Y229" s="180">
        <f>IF(SUM('附表1-面积统计表'!$D$6)=0,SUM(T229)-SUM(W229),IF('附表1-面积统计表'!$D$29=0,"",IF(AND(V229="共同成本费用",Z229="总建筑面积法"),ROUND(T229/'附表1-面积统计表'!$D$29*'附表1-面积统计表'!$D$7,2),IF(AND(V229="共同成本费用",Z229="可售建筑面积法"),ROUND(T229/'附表1-面积统计表'!$F$29*'附表1-面积统计表'!$F$7,2),"请手工填写"))))</f>
        <v>13936.44</v>
      </c>
      <c r="Z229" s="183" t="s">
        <v>351</v>
      </c>
      <c r="AA229" s="157"/>
      <c r="AB229" s="184" t="s">
        <v>2319</v>
      </c>
      <c r="AC229" s="132">
        <f t="shared" si="18"/>
        <v>0</v>
      </c>
    </row>
    <row r="230" s="132" customFormat="1" ht="24" customHeight="1" spans="1:29">
      <c r="A230" s="150">
        <v>224</v>
      </c>
      <c r="B230" s="166" t="s">
        <v>2936</v>
      </c>
      <c r="C230" s="166" t="s">
        <v>2943</v>
      </c>
      <c r="D230" s="157" t="s">
        <v>2346</v>
      </c>
      <c r="E230" s="158" t="s">
        <v>2418</v>
      </c>
      <c r="F230" s="189" t="s">
        <v>2944</v>
      </c>
      <c r="G230" s="156" t="s">
        <v>2945</v>
      </c>
      <c r="H230" s="157" t="str">
        <f>IF(G230="","",VLOOKUP(G230,'附表8-合同明细采集底稿'!B:I,2,0))</f>
        <v>电气外网供货安装合同</v>
      </c>
      <c r="I230" s="165" t="str">
        <f>IF(G230="","",VLOOKUP(G230,'附表8-合同明细采集底稿'!B:I,3,0))</f>
        <v>其他合同</v>
      </c>
      <c r="J230" s="169" t="s">
        <v>2948</v>
      </c>
      <c r="K230" s="157" t="s">
        <v>2355</v>
      </c>
      <c r="L230" s="191">
        <v>6500193130</v>
      </c>
      <c r="M230" s="155" t="s">
        <v>2949</v>
      </c>
      <c r="N230" s="167">
        <v>124159.3</v>
      </c>
      <c r="O230" s="167">
        <v>140300.01</v>
      </c>
      <c r="P230" s="167">
        <v>124159.3</v>
      </c>
      <c r="Q230" s="167"/>
      <c r="R230" s="167">
        <f t="shared" si="21"/>
        <v>124159.3</v>
      </c>
      <c r="S230" s="178">
        <f>IFERROR(VLOOKUP(G230,'附表8-合同明细采集底稿'!B:N,12,0),100%)</f>
        <v>1</v>
      </c>
      <c r="T230" s="167">
        <f t="shared" si="19"/>
        <v>124159.3</v>
      </c>
      <c r="U230" s="157" t="s">
        <v>2344</v>
      </c>
      <c r="V230" s="179" t="s">
        <v>375</v>
      </c>
      <c r="W230" s="180">
        <f>IF('附表1-面积统计表'!$D$29=0,"",IF(AND(V230="共同成本费用",Z230="总建筑面积法"),ROUND(T230/'附表1-面积统计表'!$D$29*'附表1-面积统计表'!$D$5,2),IF(AND(V230="共同成本费用",Z230="可售建筑面积法"),ROUND(T230/'附表1-面积统计表'!$F$29*'附表1-面积统计表'!$F$5,2),"请手工填写")))</f>
        <v>60150.6</v>
      </c>
      <c r="X230" s="180">
        <f>IF(SUM('附表1-面积统计表'!$D$6)=0,"",SUM(T230)-SUM(W230)-SUM(Y230))</f>
        <v>39797.29</v>
      </c>
      <c r="Y230" s="180">
        <f>IF(SUM('附表1-面积统计表'!$D$6)=0,SUM(T230)-SUM(W230),IF('附表1-面积统计表'!$D$29=0,"",IF(AND(V230="共同成本费用",Z230="总建筑面积法"),ROUND(T230/'附表1-面积统计表'!$D$29*'附表1-面积统计表'!$D$7,2),IF(AND(V230="共同成本费用",Z230="可售建筑面积法"),ROUND(T230/'附表1-面积统计表'!$F$29*'附表1-面积统计表'!$F$7,2),"请手工填写"))))</f>
        <v>24211.41</v>
      </c>
      <c r="Z230" s="183" t="s">
        <v>351</v>
      </c>
      <c r="AA230" s="157"/>
      <c r="AB230" s="184" t="s">
        <v>2319</v>
      </c>
      <c r="AC230" s="132">
        <f t="shared" si="18"/>
        <v>0</v>
      </c>
    </row>
    <row r="231" s="132" customFormat="1" ht="24" customHeight="1" spans="1:29">
      <c r="A231" s="150">
        <v>225</v>
      </c>
      <c r="B231" s="166" t="s">
        <v>2936</v>
      </c>
      <c r="C231" s="166" t="s">
        <v>2950</v>
      </c>
      <c r="D231" s="157" t="s">
        <v>2533</v>
      </c>
      <c r="E231" s="158" t="s">
        <v>2564</v>
      </c>
      <c r="F231" s="189" t="s">
        <v>2951</v>
      </c>
      <c r="G231" s="156" t="s">
        <v>2952</v>
      </c>
      <c r="H231" s="157" t="str">
        <f>IF(G231="","",VLOOKUP(G231,'附表8-合同明细采集底稿'!B:I,2,0))</f>
        <v>承揽合同（铝合金窗28.29.30）</v>
      </c>
      <c r="I231" s="165" t="str">
        <f>IF(G231="","",VLOOKUP(G231,'附表8-合同明细采集底稿'!B:I,3,0))</f>
        <v>买卖合同</v>
      </c>
      <c r="J231" s="187" t="s">
        <v>2556</v>
      </c>
      <c r="K231" s="157" t="s">
        <v>2355</v>
      </c>
      <c r="L231" s="191">
        <v>6500192130</v>
      </c>
      <c r="M231" s="155" t="s">
        <v>2953</v>
      </c>
      <c r="N231" s="167">
        <v>169096.46</v>
      </c>
      <c r="O231" s="167">
        <v>191079</v>
      </c>
      <c r="P231" s="167">
        <v>169096.46</v>
      </c>
      <c r="Q231" s="167"/>
      <c r="R231" s="167">
        <f t="shared" si="21"/>
        <v>169096.46</v>
      </c>
      <c r="S231" s="178">
        <f>IFERROR(VLOOKUP(G231,'附表8-合同明细采集底稿'!B:N,12,0),100%)</f>
        <v>1</v>
      </c>
      <c r="T231" s="167">
        <f t="shared" si="19"/>
        <v>169096.46</v>
      </c>
      <c r="U231" s="157" t="s">
        <v>2416</v>
      </c>
      <c r="V231" s="179" t="s">
        <v>374</v>
      </c>
      <c r="W231" s="182">
        <f>ROUND(T231*成本分摊比例!$G$13/(成本分摊比例!$G$13+成本分摊比例!$H$13+成本分摊比例!$I$13),2)</f>
        <v>91363.12</v>
      </c>
      <c r="X231" s="182">
        <f>ROUND(T231*成本分摊比例!$H$13/(成本分摊比例!$G$13+成本分摊比例!$H$13+成本分摊比例!$I$13),2)</f>
        <v>60448.36</v>
      </c>
      <c r="Y231" s="182">
        <f t="shared" si="22"/>
        <v>17284.98</v>
      </c>
      <c r="Z231" s="183" t="s">
        <v>2406</v>
      </c>
      <c r="AA231" s="157"/>
      <c r="AB231" s="184" t="s">
        <v>2319</v>
      </c>
      <c r="AC231" s="132">
        <f t="shared" si="18"/>
        <v>0</v>
      </c>
    </row>
    <row r="232" s="132" customFormat="1" ht="24" customHeight="1" spans="1:29">
      <c r="A232" s="150">
        <v>226</v>
      </c>
      <c r="B232" s="166" t="s">
        <v>2936</v>
      </c>
      <c r="C232" s="166" t="s">
        <v>2925</v>
      </c>
      <c r="D232" s="157" t="s">
        <v>2533</v>
      </c>
      <c r="E232" s="158" t="s">
        <v>2564</v>
      </c>
      <c r="F232" s="189" t="s">
        <v>2954</v>
      </c>
      <c r="G232" s="156" t="s">
        <v>2919</v>
      </c>
      <c r="H232" s="157" t="str">
        <f>IF(G232="","",VLOOKUP(G232,'附表8-合同明细采集底稿'!B:I,2,0))</f>
        <v>1#19#20#-34#35#)室外</v>
      </c>
      <c r="I232" s="165" t="str">
        <f>IF(G232="","",VLOOKUP(G232,'附表8-合同明细采集底稿'!B:I,3,0))</f>
        <v>其他合同</v>
      </c>
      <c r="J232" s="187" t="s">
        <v>2920</v>
      </c>
      <c r="K232" s="157" t="s">
        <v>2355</v>
      </c>
      <c r="L232" s="166">
        <v>6500193130</v>
      </c>
      <c r="M232" s="555" t="s">
        <v>2955</v>
      </c>
      <c r="N232" s="167">
        <v>619266.06</v>
      </c>
      <c r="O232" s="167">
        <v>675000</v>
      </c>
      <c r="P232" s="167">
        <v>619266.06</v>
      </c>
      <c r="Q232" s="167"/>
      <c r="R232" s="167">
        <f t="shared" si="21"/>
        <v>619266.06</v>
      </c>
      <c r="S232" s="178">
        <f>IFERROR(VLOOKUP(G232,'附表8-合同明细采集底稿'!B:N,12,0),100%)</f>
        <v>1</v>
      </c>
      <c r="T232" s="167">
        <f t="shared" si="19"/>
        <v>619266.06</v>
      </c>
      <c r="U232" s="157" t="s">
        <v>2416</v>
      </c>
      <c r="V232" s="179" t="s">
        <v>374</v>
      </c>
      <c r="W232" s="182">
        <f>ROUND(T232*成本分摊比例!$G$13/(成本分摊比例!$G$13+成本分摊比例!$H$13+成本分摊比例!$I$13),2)</f>
        <v>334590.55</v>
      </c>
      <c r="X232" s="182">
        <f>ROUND(T232*成本分摊比例!$H$13/(成本分摊比例!$G$13+成本分摊比例!$H$13+成本分摊比例!$I$13),2)</f>
        <v>221374.33</v>
      </c>
      <c r="Y232" s="182">
        <f t="shared" si="22"/>
        <v>63301.1800000001</v>
      </c>
      <c r="Z232" s="183" t="s">
        <v>2406</v>
      </c>
      <c r="AA232" s="157"/>
      <c r="AB232" s="184" t="s">
        <v>2319</v>
      </c>
      <c r="AC232" s="132">
        <f t="shared" si="18"/>
        <v>0</v>
      </c>
    </row>
    <row r="233" s="132" customFormat="1" ht="24" customHeight="1" spans="1:29">
      <c r="A233" s="150">
        <v>227</v>
      </c>
      <c r="B233" s="166" t="s">
        <v>2936</v>
      </c>
      <c r="C233" s="166" t="s">
        <v>2956</v>
      </c>
      <c r="D233" s="157" t="s">
        <v>2533</v>
      </c>
      <c r="E233" s="158" t="s">
        <v>2564</v>
      </c>
      <c r="F233" s="189" t="s">
        <v>2957</v>
      </c>
      <c r="G233" s="156" t="s">
        <v>2958</v>
      </c>
      <c r="H233" s="157" t="str">
        <f>IF(G233="","",VLOOKUP(G233,'附表8-合同明细采集底稿'!B:I,2,0))</f>
        <v>25#26#27#34#断桥铝合金窗工程</v>
      </c>
      <c r="I233" s="165" t="str">
        <f>IF(G233="","",VLOOKUP(G233,'附表8-合同明细采集底稿'!B:I,3,0))</f>
        <v>买卖合同</v>
      </c>
      <c r="J233" s="187" t="s">
        <v>2596</v>
      </c>
      <c r="K233" s="157" t="s">
        <v>2355</v>
      </c>
      <c r="L233" s="191">
        <v>6500193130</v>
      </c>
      <c r="M233" s="155" t="s">
        <v>2959</v>
      </c>
      <c r="N233" s="167">
        <v>277006.73</v>
      </c>
      <c r="O233" s="167">
        <v>313017.6</v>
      </c>
      <c r="P233" s="167">
        <v>277006.73</v>
      </c>
      <c r="Q233" s="167"/>
      <c r="R233" s="167">
        <f t="shared" si="21"/>
        <v>277006.73</v>
      </c>
      <c r="S233" s="178">
        <f>IFERROR(VLOOKUP(G233,'附表8-合同明细采集底稿'!B:N,12,0),100%)</f>
        <v>1</v>
      </c>
      <c r="T233" s="167">
        <f t="shared" si="19"/>
        <v>277006.73</v>
      </c>
      <c r="U233" s="157" t="s">
        <v>2416</v>
      </c>
      <c r="V233" s="179" t="s">
        <v>374</v>
      </c>
      <c r="W233" s="182">
        <f>ROUND(T233*成本分摊比例!$G$13/(成本分摊比例!$G$13+成本分摊比例!$H$13+成本分摊比例!$I$13),2)</f>
        <v>149667.23</v>
      </c>
      <c r="X233" s="182">
        <f>ROUND(T233*成本分摊比例!$H$13/(成本分摊比例!$G$13+成本分摊比例!$H$13+成本分摊比例!$I$13),2)</f>
        <v>99023.96</v>
      </c>
      <c r="Y233" s="182">
        <f t="shared" si="22"/>
        <v>28315.54</v>
      </c>
      <c r="Z233" s="183" t="s">
        <v>2406</v>
      </c>
      <c r="AA233" s="157"/>
      <c r="AB233" s="184" t="s">
        <v>2319</v>
      </c>
      <c r="AC233" s="132">
        <f t="shared" si="18"/>
        <v>0</v>
      </c>
    </row>
    <row r="234" s="132" customFormat="1" ht="24" customHeight="1" spans="1:29">
      <c r="A234" s="150">
        <v>228</v>
      </c>
      <c r="B234" s="166" t="s">
        <v>2936</v>
      </c>
      <c r="C234" s="166" t="s">
        <v>2960</v>
      </c>
      <c r="D234" s="157" t="s">
        <v>2346</v>
      </c>
      <c r="E234" s="158" t="s">
        <v>2418</v>
      </c>
      <c r="F234" s="189" t="s">
        <v>2961</v>
      </c>
      <c r="G234" s="156" t="s">
        <v>2962</v>
      </c>
      <c r="H234" s="157" t="str">
        <f>IF(G234="","",VLOOKUP(G234,'附表8-合同明细采集底稿'!B:I,2,0))</f>
        <v>电缆采购合同-一期</v>
      </c>
      <c r="I234" s="165" t="str">
        <f>IF(G234="","",VLOOKUP(G234,'附表8-合同明细采集底稿'!B:I,3,0))</f>
        <v>其他合同</v>
      </c>
      <c r="J234" s="169" t="s">
        <v>2963</v>
      </c>
      <c r="K234" s="157" t="s">
        <v>2355</v>
      </c>
      <c r="L234" s="166">
        <v>1300192130</v>
      </c>
      <c r="M234" s="166">
        <v>12040479</v>
      </c>
      <c r="N234" s="167">
        <v>834125.16</v>
      </c>
      <c r="O234" s="167">
        <v>942561.43</v>
      </c>
      <c r="P234" s="167">
        <v>834125.16</v>
      </c>
      <c r="Q234" s="167"/>
      <c r="R234" s="167">
        <f t="shared" si="21"/>
        <v>834125.16</v>
      </c>
      <c r="S234" s="178">
        <f>IFERROR(VLOOKUP(G234,'附表8-合同明细采集底稿'!B:N,12,0),100%)</f>
        <v>1</v>
      </c>
      <c r="T234" s="167">
        <f t="shared" si="19"/>
        <v>834125.16</v>
      </c>
      <c r="U234" s="157" t="s">
        <v>2416</v>
      </c>
      <c r="V234" s="179" t="s">
        <v>374</v>
      </c>
      <c r="W234" s="182">
        <f>ROUND(T234*成本分摊比例!$G$13/(成本分摊比例!$G$13+成本分摊比例!$H$13+成本分摊比例!$I$13),2)</f>
        <v>450679.31</v>
      </c>
      <c r="X234" s="182">
        <f>ROUND(T234*成本分摊比例!$H$13/(成本分摊比例!$G$13+成本分摊比例!$H$13+成本分摊比例!$I$13),2)</f>
        <v>298181.84</v>
      </c>
      <c r="Y234" s="182">
        <f t="shared" si="22"/>
        <v>85264.01</v>
      </c>
      <c r="Z234" s="183" t="s">
        <v>2406</v>
      </c>
      <c r="AA234" s="157"/>
      <c r="AB234" s="184" t="s">
        <v>2319</v>
      </c>
      <c r="AC234" s="132">
        <f t="shared" si="18"/>
        <v>0</v>
      </c>
    </row>
    <row r="235" s="132" customFormat="1" ht="24" customHeight="1" spans="1:29">
      <c r="A235" s="150">
        <v>229</v>
      </c>
      <c r="B235" s="166" t="s">
        <v>2936</v>
      </c>
      <c r="C235" s="166" t="s">
        <v>2964</v>
      </c>
      <c r="D235" s="157" t="s">
        <v>2339</v>
      </c>
      <c r="E235" s="158" t="s">
        <v>2523</v>
      </c>
      <c r="F235" s="189" t="s">
        <v>2965</v>
      </c>
      <c r="G235" s="156" t="s">
        <v>2907</v>
      </c>
      <c r="H235" s="157" t="str">
        <f>IF(G235="","",VLOOKUP(G235,'附表8-合同明细采集底稿'!B:I,2,0))</f>
        <v>何银昌（土方拉运）</v>
      </c>
      <c r="I235" s="165" t="str">
        <f>IF(G235="","",VLOOKUP(G235,'附表8-合同明细采集底稿'!B:I,3,0))</f>
        <v>运输合同</v>
      </c>
      <c r="J235" s="187" t="s">
        <v>2908</v>
      </c>
      <c r="K235" s="157" t="s">
        <v>2335</v>
      </c>
      <c r="L235" s="168" t="s">
        <v>2336</v>
      </c>
      <c r="M235" s="155" t="s">
        <v>2966</v>
      </c>
      <c r="N235" s="167">
        <v>10000</v>
      </c>
      <c r="O235" s="167">
        <v>10000</v>
      </c>
      <c r="P235" s="167">
        <v>10000</v>
      </c>
      <c r="Q235" s="167"/>
      <c r="R235" s="167">
        <f t="shared" si="21"/>
        <v>10000</v>
      </c>
      <c r="S235" s="178">
        <f>IFERROR(VLOOKUP(G235,'附表8-合同明细采集底稿'!B:N,12,0),100%)</f>
        <v>1</v>
      </c>
      <c r="T235" s="167">
        <f t="shared" si="19"/>
        <v>10000</v>
      </c>
      <c r="U235" s="157" t="s">
        <v>2344</v>
      </c>
      <c r="V235" s="179" t="s">
        <v>375</v>
      </c>
      <c r="W235" s="180">
        <f>IF('附表1-面积统计表'!$D$29=0,"",IF(AND(V235="共同成本费用",Z235="总建筑面积法"),ROUND(T235/'附表1-面积统计表'!$D$29*'附表1-面积统计表'!$D$5,2),IF(AND(V235="共同成本费用",Z235="可售建筑面积法"),ROUND(T235/'附表1-面积统计表'!$F$29*'附表1-面积统计表'!$F$5,2),"请手工填写")))</f>
        <v>4844.63</v>
      </c>
      <c r="X235" s="180">
        <f>IF(SUM('附表1-面积统计表'!$D$6)=0,"",SUM(T235)-SUM(W235)-SUM(Y235))</f>
        <v>3205.34</v>
      </c>
      <c r="Y235" s="180">
        <f>IF(SUM('附表1-面积统计表'!$D$6)=0,SUM(T235)-SUM(W235),IF('附表1-面积统计表'!$D$29=0,"",IF(AND(V235="共同成本费用",Z235="总建筑面积法"),ROUND(T235/'附表1-面积统计表'!$D$29*'附表1-面积统计表'!$D$7,2),IF(AND(V235="共同成本费用",Z235="可售建筑面积法"),ROUND(T235/'附表1-面积统计表'!$F$29*'附表1-面积统计表'!$F$7,2),"请手工填写"))))</f>
        <v>1950.03</v>
      </c>
      <c r="Z235" s="183" t="s">
        <v>351</v>
      </c>
      <c r="AA235" s="157"/>
      <c r="AB235" s="184" t="s">
        <v>2319</v>
      </c>
      <c r="AC235" s="132">
        <f t="shared" si="18"/>
        <v>0</v>
      </c>
    </row>
    <row r="236" s="132" customFormat="1" ht="24" customHeight="1" spans="1:29">
      <c r="A236" s="150">
        <v>230</v>
      </c>
      <c r="B236" s="166" t="s">
        <v>2936</v>
      </c>
      <c r="C236" s="166" t="s">
        <v>2967</v>
      </c>
      <c r="D236" s="157" t="s">
        <v>2533</v>
      </c>
      <c r="E236" s="158" t="s">
        <v>2564</v>
      </c>
      <c r="F236" s="189" t="s">
        <v>2968</v>
      </c>
      <c r="G236" s="156" t="s">
        <v>2900</v>
      </c>
      <c r="H236" s="157" t="str">
        <f>IF(G236="","",VLOOKUP(G236,'附表8-合同明细采集底稿'!B:I,2,0))</f>
        <v>沁春锦苑25、26、28#施工协议</v>
      </c>
      <c r="I236" s="165" t="str">
        <f>IF(G236="","",VLOOKUP(G236,'附表8-合同明细采集底稿'!B:I,3,0))</f>
        <v>建设工程合同</v>
      </c>
      <c r="J236" s="187" t="s">
        <v>144</v>
      </c>
      <c r="K236" s="157" t="s">
        <v>2355</v>
      </c>
      <c r="L236" s="166">
        <v>6500193130</v>
      </c>
      <c r="M236" s="555" t="s">
        <v>2969</v>
      </c>
      <c r="N236" s="167">
        <v>917431.19</v>
      </c>
      <c r="O236" s="167">
        <v>1000000</v>
      </c>
      <c r="P236" s="167">
        <v>917431.19</v>
      </c>
      <c r="Q236" s="167"/>
      <c r="R236" s="167">
        <f t="shared" si="21"/>
        <v>917431.19</v>
      </c>
      <c r="S236" s="178">
        <f>IFERROR(VLOOKUP(G236,'附表8-合同明细采集底稿'!B:N,12,0),100%)</f>
        <v>1</v>
      </c>
      <c r="T236" s="167">
        <f t="shared" si="19"/>
        <v>917431.19</v>
      </c>
      <c r="U236" s="157" t="s">
        <v>2405</v>
      </c>
      <c r="V236" s="179" t="s">
        <v>374</v>
      </c>
      <c r="W236" s="182">
        <v>0</v>
      </c>
      <c r="X236" s="182">
        <v>0</v>
      </c>
      <c r="Y236" s="182">
        <v>917431.19</v>
      </c>
      <c r="Z236" s="183" t="s">
        <v>2406</v>
      </c>
      <c r="AA236" s="157"/>
      <c r="AB236" s="184" t="s">
        <v>2319</v>
      </c>
      <c r="AC236" s="132">
        <f t="shared" si="18"/>
        <v>0</v>
      </c>
    </row>
    <row r="237" s="132" customFormat="1" ht="24" customHeight="1" spans="1:29">
      <c r="A237" s="150">
        <v>231</v>
      </c>
      <c r="B237" s="166" t="s">
        <v>2936</v>
      </c>
      <c r="C237" s="166" t="s">
        <v>2970</v>
      </c>
      <c r="D237" s="157" t="s">
        <v>2346</v>
      </c>
      <c r="E237" s="158" t="s">
        <v>2418</v>
      </c>
      <c r="F237" s="189" t="s">
        <v>2971</v>
      </c>
      <c r="G237" s="156" t="s">
        <v>2945</v>
      </c>
      <c r="H237" s="157" t="str">
        <f>IF(G237="","",VLOOKUP(G237,'附表8-合同明细采集底稿'!B:I,2,0))</f>
        <v>电气外网供货安装合同</v>
      </c>
      <c r="I237" s="165" t="str">
        <f>IF(G237="","",VLOOKUP(G237,'附表8-合同明细采集底稿'!B:I,3,0))</f>
        <v>其他合同</v>
      </c>
      <c r="J237" s="169" t="s">
        <v>2946</v>
      </c>
      <c r="K237" s="157" t="s">
        <v>2355</v>
      </c>
      <c r="L237" s="166">
        <v>6500193130</v>
      </c>
      <c r="M237" s="555" t="s">
        <v>2972</v>
      </c>
      <c r="N237" s="167">
        <v>71467.89</v>
      </c>
      <c r="O237" s="167">
        <v>77900</v>
      </c>
      <c r="P237" s="167">
        <v>71467.89</v>
      </c>
      <c r="Q237" s="167"/>
      <c r="R237" s="167">
        <f t="shared" si="21"/>
        <v>71467.89</v>
      </c>
      <c r="S237" s="178">
        <f>IFERROR(VLOOKUP(G237,'附表8-合同明细采集底稿'!B:N,12,0),100%)</f>
        <v>1</v>
      </c>
      <c r="T237" s="167">
        <f t="shared" si="19"/>
        <v>71467.89</v>
      </c>
      <c r="U237" s="157" t="s">
        <v>2344</v>
      </c>
      <c r="V237" s="179" t="s">
        <v>375</v>
      </c>
      <c r="W237" s="180">
        <f>IF('附表1-面积统计表'!$D$29=0,"",IF(AND(V237="共同成本费用",Z237="总建筑面积法"),ROUND(T237/'附表1-面积统计表'!$D$29*'附表1-面积统计表'!$D$5,2),IF(AND(V237="共同成本费用",Z237="可售建筑面积法"),ROUND(T237/'附表1-面积统计表'!$F$29*'附表1-面积统计表'!$F$5,2),"请手工填写")))</f>
        <v>34623.55</v>
      </c>
      <c r="X237" s="180">
        <f>IF(SUM('附表1-面积统计表'!$D$6)=0,"",SUM(T237)-SUM(W237)-SUM(Y237))</f>
        <v>22907.9</v>
      </c>
      <c r="Y237" s="180">
        <f>IF(SUM('附表1-面积统计表'!$D$6)=0,SUM(T237)-SUM(W237),IF('附表1-面积统计表'!$D$29=0,"",IF(AND(V237="共同成本费用",Z237="总建筑面积法"),ROUND(T237/'附表1-面积统计表'!$D$29*'附表1-面积统计表'!$D$7,2),IF(AND(V237="共同成本费用",Z237="可售建筑面积法"),ROUND(T237/'附表1-面积统计表'!$F$29*'附表1-面积统计表'!$F$7,2),"请手工填写"))))</f>
        <v>13936.44</v>
      </c>
      <c r="Z237" s="183" t="s">
        <v>351</v>
      </c>
      <c r="AA237" s="157"/>
      <c r="AB237" s="184" t="s">
        <v>2319</v>
      </c>
      <c r="AC237" s="132">
        <f t="shared" si="18"/>
        <v>0</v>
      </c>
    </row>
    <row r="238" s="132" customFormat="1" ht="24" customHeight="1" spans="1:29">
      <c r="A238" s="150">
        <v>232</v>
      </c>
      <c r="B238" s="166" t="s">
        <v>2936</v>
      </c>
      <c r="C238" s="166" t="s">
        <v>2973</v>
      </c>
      <c r="D238" s="157" t="s">
        <v>2533</v>
      </c>
      <c r="E238" s="158" t="s">
        <v>2788</v>
      </c>
      <c r="F238" s="189" t="s">
        <v>2974</v>
      </c>
      <c r="G238" s="156" t="s">
        <v>2790</v>
      </c>
      <c r="H238" s="157" t="str">
        <f>IF(G238="","",VLOOKUP(G238,'附表8-合同明细采集底稿'!B:I,2,0))</f>
        <v>沁春锦苑35#楼一楼装修合同+沙盘底座（27000）</v>
      </c>
      <c r="I238" s="165" t="str">
        <f>IF(G238="","",VLOOKUP(G238,'附表8-合同明细采集底稿'!B:I,3,0))</f>
        <v>建设工程合同</v>
      </c>
      <c r="J238" s="187" t="s">
        <v>2791</v>
      </c>
      <c r="K238" s="157" t="s">
        <v>2355</v>
      </c>
      <c r="L238" s="166">
        <v>6500193130</v>
      </c>
      <c r="M238" s="155" t="s">
        <v>2975</v>
      </c>
      <c r="N238" s="167">
        <v>1287128.7</v>
      </c>
      <c r="O238" s="167">
        <v>1300000</v>
      </c>
      <c r="P238" s="167">
        <v>1287128.7</v>
      </c>
      <c r="Q238" s="167">
        <v>-1168069.28</v>
      </c>
      <c r="R238" s="167">
        <f t="shared" si="21"/>
        <v>119059.42</v>
      </c>
      <c r="S238" s="178">
        <f>IFERROR(VLOOKUP(G238,'附表8-合同明细采集底稿'!B:N,12,0),100%)</f>
        <v>1</v>
      </c>
      <c r="T238" s="167">
        <f t="shared" si="19"/>
        <v>119059.42</v>
      </c>
      <c r="U238" s="157" t="s">
        <v>2405</v>
      </c>
      <c r="V238" s="179" t="s">
        <v>374</v>
      </c>
      <c r="W238" s="181">
        <v>0</v>
      </c>
      <c r="X238" s="181">
        <v>0</v>
      </c>
      <c r="Y238" s="181">
        <f>T238</f>
        <v>119059.42</v>
      </c>
      <c r="Z238" s="183" t="s">
        <v>2406</v>
      </c>
      <c r="AA238" s="157"/>
      <c r="AB238" s="184" t="s">
        <v>2319</v>
      </c>
      <c r="AC238" s="132">
        <f t="shared" si="18"/>
        <v>0</v>
      </c>
    </row>
    <row r="239" s="132" customFormat="1" ht="24" customHeight="1" spans="1:29">
      <c r="A239" s="150">
        <v>233</v>
      </c>
      <c r="B239" s="166" t="s">
        <v>2936</v>
      </c>
      <c r="C239" s="166" t="s">
        <v>2976</v>
      </c>
      <c r="D239" s="157" t="s">
        <v>2346</v>
      </c>
      <c r="E239" s="158" t="s">
        <v>2656</v>
      </c>
      <c r="F239" s="189" t="s">
        <v>2977</v>
      </c>
      <c r="G239" s="156" t="s">
        <v>2945</v>
      </c>
      <c r="H239" s="157" t="str">
        <f>IF(G239="","",VLOOKUP(G239,'附表8-合同明细采集底稿'!B:I,2,0))</f>
        <v>电气外网供货安装合同</v>
      </c>
      <c r="I239" s="165" t="str">
        <f>IF(G239="","",VLOOKUP(G239,'附表8-合同明细采集底稿'!B:I,3,0))</f>
        <v>其他合同</v>
      </c>
      <c r="J239" s="169" t="s">
        <v>2948</v>
      </c>
      <c r="K239" s="157" t="s">
        <v>2355</v>
      </c>
      <c r="L239" s="191">
        <v>6500193130</v>
      </c>
      <c r="M239" s="155" t="s">
        <v>2978</v>
      </c>
      <c r="N239" s="167">
        <v>174946.02</v>
      </c>
      <c r="O239" s="167">
        <v>197689</v>
      </c>
      <c r="P239" s="167">
        <v>174946.02</v>
      </c>
      <c r="Q239" s="167"/>
      <c r="R239" s="167">
        <f t="shared" si="21"/>
        <v>174946.02</v>
      </c>
      <c r="S239" s="178">
        <f>IFERROR(VLOOKUP(G239,'附表8-合同明细采集底稿'!B:N,12,0),100%)</f>
        <v>1</v>
      </c>
      <c r="T239" s="167">
        <f t="shared" si="19"/>
        <v>174946.02</v>
      </c>
      <c r="U239" s="157" t="s">
        <v>2344</v>
      </c>
      <c r="V239" s="179" t="s">
        <v>375</v>
      </c>
      <c r="W239" s="180">
        <f>IF('附表1-面积统计表'!$D$29=0,"",IF(AND(V239="共同成本费用",Z239="总建筑面积法"),ROUND(T239/'附表1-面积统计表'!$D$29*'附表1-面积统计表'!$D$5,2),IF(AND(V239="共同成本费用",Z239="可售建筑面积法"),ROUND(T239/'附表1-面积统计表'!$F$29*'附表1-面积统计表'!$F$5,2),"请手工填写")))</f>
        <v>84754.89</v>
      </c>
      <c r="X239" s="180">
        <f>IF(SUM('附表1-面积统计表'!$D$6)=0,"",SUM(T239)-SUM(W239)-SUM(Y239))</f>
        <v>56076.16</v>
      </c>
      <c r="Y239" s="180">
        <f>IF(SUM('附表1-面积统计表'!$D$6)=0,SUM(T239)-SUM(W239),IF('附表1-面积统计表'!$D$29=0,"",IF(AND(V239="共同成本费用",Z239="总建筑面积法"),ROUND(T239/'附表1-面积统计表'!$D$29*'附表1-面积统计表'!$D$7,2),IF(AND(V239="共同成本费用",Z239="可售建筑面积法"),ROUND(T239/'附表1-面积统计表'!$F$29*'附表1-面积统计表'!$F$7,2),"请手工填写"))))</f>
        <v>34114.97</v>
      </c>
      <c r="Z239" s="183" t="s">
        <v>351</v>
      </c>
      <c r="AA239" s="157"/>
      <c r="AB239" s="184" t="s">
        <v>2319</v>
      </c>
      <c r="AC239" s="132">
        <f t="shared" si="18"/>
        <v>0</v>
      </c>
    </row>
    <row r="240" s="132" customFormat="1" ht="24" customHeight="1" spans="1:29">
      <c r="A240" s="150">
        <v>234</v>
      </c>
      <c r="B240" s="166" t="s">
        <v>2936</v>
      </c>
      <c r="C240" s="166" t="s">
        <v>2979</v>
      </c>
      <c r="D240" s="157" t="s">
        <v>2339</v>
      </c>
      <c r="E240" s="158" t="s">
        <v>2351</v>
      </c>
      <c r="F240" s="189" t="s">
        <v>2980</v>
      </c>
      <c r="G240" s="156" t="s">
        <v>2645</v>
      </c>
      <c r="H240" s="157" t="str">
        <f>IF(G240="","",VLOOKUP(G240,'附表8-合同明细采集底稿'!B:I,2,0))</f>
        <v>专业建设工程设计合同</v>
      </c>
      <c r="I240" s="165" t="str">
        <f>IF(G240="","",VLOOKUP(G240,'附表8-合同明细采集底稿'!B:I,3,0))</f>
        <v>技术合同</v>
      </c>
      <c r="J240" s="187" t="s">
        <v>2498</v>
      </c>
      <c r="K240" s="157" t="s">
        <v>2355</v>
      </c>
      <c r="L240" s="166">
        <v>6500192130</v>
      </c>
      <c r="M240" s="555" t="s">
        <v>2981</v>
      </c>
      <c r="N240" s="167">
        <v>63758.42</v>
      </c>
      <c r="O240" s="167">
        <v>64396</v>
      </c>
      <c r="P240" s="167">
        <v>63758.42</v>
      </c>
      <c r="Q240" s="167"/>
      <c r="R240" s="167">
        <f t="shared" si="21"/>
        <v>63758.42</v>
      </c>
      <c r="S240" s="178">
        <f>IFERROR(VLOOKUP(G240,'附表8-合同明细采集底稿'!B:N,12,0),100%)</f>
        <v>0.338555832480367</v>
      </c>
      <c r="T240" s="167">
        <f t="shared" si="19"/>
        <v>21585.78</v>
      </c>
      <c r="U240" s="157" t="s">
        <v>2318</v>
      </c>
      <c r="V240" s="179" t="s">
        <v>375</v>
      </c>
      <c r="W240" s="180">
        <f>IF('附表1-面积统计表'!$D$29=0,"",IF(AND(V240="共同成本费用",Z240="总建筑面积法"),ROUND(T240/'附表1-面积统计表'!$D$29*'附表1-面积统计表'!$D$5,2),IF(AND(V240="共同成本费用",Z240="可售建筑面积法"),ROUND(T240/'附表1-面积统计表'!$F$29*'附表1-面积统计表'!$F$5,2),"请手工填写")))</f>
        <v>10457.51</v>
      </c>
      <c r="X240" s="180">
        <f>IF(SUM('附表1-面积统计表'!$D$6)=0,"",SUM(T240)-SUM(W240)-SUM(Y240))</f>
        <v>6918.98</v>
      </c>
      <c r="Y240" s="180">
        <f>IF(SUM('附表1-面积统计表'!$D$6)=0,SUM(T240)-SUM(W240),IF('附表1-面积统计表'!$D$29=0,"",IF(AND(V240="共同成本费用",Z240="总建筑面积法"),ROUND(T240/'附表1-面积统计表'!$D$29*'附表1-面积统计表'!$D$7,2),IF(AND(V240="共同成本费用",Z240="可售建筑面积法"),ROUND(T240/'附表1-面积统计表'!$F$29*'附表1-面积统计表'!$F$7,2),"请手工填写"))))</f>
        <v>4209.29</v>
      </c>
      <c r="Z240" s="183" t="s">
        <v>351</v>
      </c>
      <c r="AA240" s="157"/>
      <c r="AB240" s="184" t="s">
        <v>2319</v>
      </c>
      <c r="AC240" s="132">
        <f t="shared" si="18"/>
        <v>0</v>
      </c>
    </row>
    <row r="241" s="132" customFormat="1" ht="24" customHeight="1" spans="1:31">
      <c r="A241" s="150">
        <v>235</v>
      </c>
      <c r="B241" s="166" t="s">
        <v>2936</v>
      </c>
      <c r="C241" s="166" t="s">
        <v>2982</v>
      </c>
      <c r="D241" s="157" t="s">
        <v>2533</v>
      </c>
      <c r="E241" s="158" t="s">
        <v>2534</v>
      </c>
      <c r="F241" s="189" t="s">
        <v>2983</v>
      </c>
      <c r="G241" s="156" t="s">
        <v>2984</v>
      </c>
      <c r="H241" s="157" t="str">
        <f>IF(G241="","",VLOOKUP(G241,'附表8-合同明细采集底稿'!B:I,2,0))</f>
        <v>沁春锦苑样板房（20-1-702）装修</v>
      </c>
      <c r="I241" s="165" t="str">
        <f>IF(G241="","",VLOOKUP(G241,'附表8-合同明细采集底稿'!B:I,3,0))</f>
        <v>建设工程合同</v>
      </c>
      <c r="J241" s="154" t="s">
        <v>2985</v>
      </c>
      <c r="K241" s="157" t="s">
        <v>2355</v>
      </c>
      <c r="L241" s="166">
        <v>6500191160</v>
      </c>
      <c r="M241" s="555" t="s">
        <v>2986</v>
      </c>
      <c r="N241" s="167">
        <v>215726.06</v>
      </c>
      <c r="O241" s="167">
        <v>217883.32</v>
      </c>
      <c r="P241" s="167">
        <v>215726.06</v>
      </c>
      <c r="Q241" s="167">
        <v>-15935.29</v>
      </c>
      <c r="R241" s="167">
        <f t="shared" si="21"/>
        <v>199790.77</v>
      </c>
      <c r="S241" s="178">
        <f>IFERROR(VLOOKUP(G241,'附表8-合同明细采集底稿'!B:N,12,0),100%)</f>
        <v>1</v>
      </c>
      <c r="T241" s="167">
        <f t="shared" si="19"/>
        <v>199790.77</v>
      </c>
      <c r="U241" s="157" t="s">
        <v>2416</v>
      </c>
      <c r="V241" s="179" t="s">
        <v>374</v>
      </c>
      <c r="W241" s="192">
        <f>ROUND(T241*成本分摊比例!$G$13/(成本分摊比例!$G$13+成本分摊比例!$H$13+成本分摊比例!$I$13),2)-1.75</f>
        <v>107945.56</v>
      </c>
      <c r="X241" s="192">
        <f>ROUND(T241*成本分摊比例!$H$13/(成本分摊比例!$G$13+成本分摊比例!$H$13+成本分摊比例!$I$13),2)+19.93</f>
        <v>71440.84</v>
      </c>
      <c r="Y241" s="192">
        <f>T241-W241-X241</f>
        <v>20404.37</v>
      </c>
      <c r="Z241" s="183" t="s">
        <v>2406</v>
      </c>
      <c r="AA241" s="157"/>
      <c r="AB241" s="184" t="s">
        <v>2319</v>
      </c>
      <c r="AC241" s="132">
        <f>W4-AC4</f>
        <v>564.540000021458</v>
      </c>
      <c r="AD241" s="132">
        <f>X4-AD4</f>
        <v>373.500000007451</v>
      </c>
      <c r="AE241" s="132">
        <f>Y4-AE4</f>
        <v>227.499999996275</v>
      </c>
    </row>
    <row r="242" s="132" customFormat="1" ht="24" customHeight="1" spans="1:29">
      <c r="A242" s="150">
        <v>236</v>
      </c>
      <c r="B242" s="166" t="s">
        <v>2987</v>
      </c>
      <c r="C242" s="166" t="s">
        <v>2988</v>
      </c>
      <c r="D242" s="157" t="s">
        <v>2533</v>
      </c>
      <c r="E242" s="158" t="s">
        <v>2564</v>
      </c>
      <c r="F242" s="189" t="s">
        <v>2989</v>
      </c>
      <c r="G242" s="156" t="s">
        <v>2900</v>
      </c>
      <c r="H242" s="157" t="str">
        <f>IF(G242="","",VLOOKUP(G242,'附表8-合同明细采集底稿'!B:I,2,0))</f>
        <v>沁春锦苑25、26、28#施工协议</v>
      </c>
      <c r="I242" s="165" t="str">
        <f>IF(G242="","",VLOOKUP(G242,'附表8-合同明细采集底稿'!B:I,3,0))</f>
        <v>建设工程合同</v>
      </c>
      <c r="J242" s="187" t="s">
        <v>144</v>
      </c>
      <c r="K242" s="157" t="s">
        <v>2355</v>
      </c>
      <c r="L242" s="166">
        <v>6500193130</v>
      </c>
      <c r="M242" s="555" t="s">
        <v>2990</v>
      </c>
      <c r="N242" s="167">
        <v>605504.59</v>
      </c>
      <c r="O242" s="167">
        <v>660000</v>
      </c>
      <c r="P242" s="167">
        <v>605504.59</v>
      </c>
      <c r="Q242" s="167"/>
      <c r="R242" s="167">
        <f t="shared" si="21"/>
        <v>605504.59</v>
      </c>
      <c r="S242" s="178">
        <f>IFERROR(VLOOKUP(G242,'附表8-合同明细采集底稿'!B:N,12,0),100%)</f>
        <v>1</v>
      </c>
      <c r="T242" s="167">
        <f t="shared" si="19"/>
        <v>605504.59</v>
      </c>
      <c r="U242" s="157" t="s">
        <v>2416</v>
      </c>
      <c r="V242" s="179" t="s">
        <v>374</v>
      </c>
      <c r="W242" s="182">
        <f>ROUND(T242*成本分摊比例!$G$13/(成本分摊比例!$G$13+成本分摊比例!$H$13+成本分摊比例!$I$13),2)</f>
        <v>327155.21</v>
      </c>
      <c r="X242" s="182">
        <f>ROUND(T242*成本分摊比例!$H$13/(成本分摊比例!$G$13+成本分摊比例!$H$13+成本分摊比例!$I$13),2)</f>
        <v>216454.89</v>
      </c>
      <c r="Y242" s="182">
        <f t="shared" ref="Y241:Y244" si="23">T242-W242-X242</f>
        <v>61894.4899999999</v>
      </c>
      <c r="Z242" s="183" t="s">
        <v>2406</v>
      </c>
      <c r="AA242" s="157"/>
      <c r="AB242" s="184" t="s">
        <v>2319</v>
      </c>
      <c r="AC242" s="132">
        <f t="shared" si="18"/>
        <v>0</v>
      </c>
    </row>
    <row r="243" s="132" customFormat="1" ht="24" customHeight="1" spans="1:29">
      <c r="A243" s="150">
        <v>237</v>
      </c>
      <c r="B243" s="166" t="s">
        <v>2987</v>
      </c>
      <c r="C243" s="166" t="s">
        <v>2991</v>
      </c>
      <c r="D243" s="157" t="s">
        <v>2346</v>
      </c>
      <c r="E243" s="158" t="s">
        <v>2938</v>
      </c>
      <c r="F243" s="189" t="s">
        <v>2992</v>
      </c>
      <c r="G243" s="156" t="s">
        <v>2993</v>
      </c>
      <c r="H243" s="157" t="str">
        <f>IF(G243="","",VLOOKUP(G243,'附表8-合同明细采集底稿'!B:I,2,0))</f>
        <v>沁春锦苑19#20#23#24#楼可视对讲系统安装</v>
      </c>
      <c r="I243" s="165" t="str">
        <f>IF(G243="","",VLOOKUP(G243,'附表8-合同明细采集底稿'!B:I,3,0))</f>
        <v>其他合同</v>
      </c>
      <c r="J243" s="169" t="s">
        <v>2994</v>
      </c>
      <c r="K243" s="157" t="s">
        <v>2355</v>
      </c>
      <c r="L243" s="166">
        <v>6500193130</v>
      </c>
      <c r="M243" s="555" t="s">
        <v>2995</v>
      </c>
      <c r="N243" s="167">
        <v>85810.48</v>
      </c>
      <c r="O243" s="167">
        <v>96965.83</v>
      </c>
      <c r="P243" s="167">
        <v>85810.48</v>
      </c>
      <c r="Q243" s="167">
        <v>-17241.9</v>
      </c>
      <c r="R243" s="167">
        <f t="shared" si="21"/>
        <v>68568.58</v>
      </c>
      <c r="S243" s="178">
        <f>IFERROR(VLOOKUP(G243,'附表8-合同明细采集底稿'!B:N,12,0),100%)</f>
        <v>1</v>
      </c>
      <c r="T243" s="167">
        <f t="shared" si="19"/>
        <v>68568.58</v>
      </c>
      <c r="U243" s="157" t="s">
        <v>2416</v>
      </c>
      <c r="V243" s="179" t="s">
        <v>374</v>
      </c>
      <c r="W243" s="182">
        <f>ROUND(T243*成本分摊比例!$G$13/(成本分摊比例!$G$13+成本分摊比例!$H$13+成本分摊比例!$I$13),2)</f>
        <v>37047.73</v>
      </c>
      <c r="X243" s="182">
        <f>ROUND(T243*成本分摊比例!$H$13/(成本分摊比例!$G$13+成本分摊比例!$H$13+成本分摊比例!$I$13),2)</f>
        <v>24511.8</v>
      </c>
      <c r="Y243" s="182">
        <f t="shared" si="23"/>
        <v>7009.05</v>
      </c>
      <c r="Z243" s="183" t="s">
        <v>2406</v>
      </c>
      <c r="AA243" s="157"/>
      <c r="AB243" s="184" t="s">
        <v>2319</v>
      </c>
      <c r="AC243" s="132">
        <f t="shared" si="18"/>
        <v>0</v>
      </c>
    </row>
    <row r="244" s="132" customFormat="1" ht="24" customHeight="1" spans="1:29">
      <c r="A244" s="150">
        <v>238</v>
      </c>
      <c r="B244" s="166" t="s">
        <v>2996</v>
      </c>
      <c r="C244" s="166" t="s">
        <v>2997</v>
      </c>
      <c r="D244" s="157" t="s">
        <v>2533</v>
      </c>
      <c r="E244" s="158" t="s">
        <v>2690</v>
      </c>
      <c r="F244" s="189" t="s">
        <v>2998</v>
      </c>
      <c r="G244" s="156" t="s">
        <v>2895</v>
      </c>
      <c r="H244" s="157" t="str">
        <f>IF(G244="","",VLOOKUP(G244,'附表8-合同明细采集底稿'!B:I,2,0))</f>
        <v>电梯销售安装合同19-24#</v>
      </c>
      <c r="I244" s="165" t="str">
        <f>IF(G244="","",VLOOKUP(G244,'附表8-合同明细采集底稿'!B:I,3,0))</f>
        <v>买卖合同</v>
      </c>
      <c r="J244" s="187" t="s">
        <v>2999</v>
      </c>
      <c r="K244" s="157" t="s">
        <v>2355</v>
      </c>
      <c r="L244" s="191">
        <v>6500192130</v>
      </c>
      <c r="M244" s="555" t="s">
        <v>3000</v>
      </c>
      <c r="N244" s="167">
        <v>341456.32</v>
      </c>
      <c r="O244" s="167">
        <v>342260.2</v>
      </c>
      <c r="P244" s="167">
        <v>341456.32</v>
      </c>
      <c r="Q244" s="167"/>
      <c r="R244" s="167">
        <f t="shared" si="21"/>
        <v>341456.32</v>
      </c>
      <c r="S244" s="178">
        <f>IFERROR(VLOOKUP(G244,'附表8-合同明细采集底稿'!B:N,12,0),100%)</f>
        <v>1</v>
      </c>
      <c r="T244" s="167">
        <f t="shared" si="19"/>
        <v>341456.32</v>
      </c>
      <c r="U244" s="157" t="s">
        <v>2416</v>
      </c>
      <c r="V244" s="179" t="s">
        <v>374</v>
      </c>
      <c r="W244" s="182">
        <f>ROUND(T244*成本分摊比例!$G$13/(成本分摊比例!$G$13+成本分摊比例!$H$13+成本分摊比例!$I$13),2)</f>
        <v>184489.46</v>
      </c>
      <c r="X244" s="182">
        <f>ROUND(T244*成本分摊比例!$H$13/(成本分摊比例!$G$13+成本分摊比例!$H$13+成本分摊比例!$I$13),2)</f>
        <v>122063.31</v>
      </c>
      <c r="Y244" s="182">
        <f t="shared" si="23"/>
        <v>34903.55</v>
      </c>
      <c r="Z244" s="183" t="s">
        <v>2406</v>
      </c>
      <c r="AA244" s="157"/>
      <c r="AB244" s="184" t="s">
        <v>2319</v>
      </c>
      <c r="AC244" s="132">
        <f t="shared" si="18"/>
        <v>0</v>
      </c>
    </row>
    <row r="245" s="132" customFormat="1" ht="24" customHeight="1" spans="1:29">
      <c r="A245" s="150">
        <v>239</v>
      </c>
      <c r="B245" s="166" t="s">
        <v>3001</v>
      </c>
      <c r="C245" s="166" t="s">
        <v>3002</v>
      </c>
      <c r="D245" s="157" t="s">
        <v>2470</v>
      </c>
      <c r="E245" s="158" t="s">
        <v>2471</v>
      </c>
      <c r="F245" s="189" t="s">
        <v>3003</v>
      </c>
      <c r="G245" s="156" t="s">
        <v>3004</v>
      </c>
      <c r="H245" s="157" t="str">
        <f>IF(G245="","",VLOOKUP(G245,'附表8-合同明细采集底稿'!B:I,2,0))</f>
        <v>建设工程监理合同</v>
      </c>
      <c r="I245" s="165" t="str">
        <f>IF(G245="","",VLOOKUP(G245,'附表8-合同明细采集底稿'!B:I,3,0))</f>
        <v>技术合同</v>
      </c>
      <c r="J245" s="187" t="s">
        <v>3005</v>
      </c>
      <c r="K245" s="157" t="s">
        <v>2355</v>
      </c>
      <c r="L245" s="166">
        <v>6500193160</v>
      </c>
      <c r="M245" s="555" t="s">
        <v>3006</v>
      </c>
      <c r="N245" s="167">
        <v>68044.55</v>
      </c>
      <c r="O245" s="167">
        <v>68725</v>
      </c>
      <c r="P245" s="167">
        <v>68044.55</v>
      </c>
      <c r="Q245" s="167"/>
      <c r="R245" s="167">
        <f t="shared" si="21"/>
        <v>68044.55</v>
      </c>
      <c r="S245" s="178">
        <f>IFERROR(VLOOKUP(G245,'附表8-合同明细采集底稿'!B:N,12,0),100%)</f>
        <v>1</v>
      </c>
      <c r="T245" s="167">
        <f t="shared" si="19"/>
        <v>68044.55</v>
      </c>
      <c r="U245" s="157" t="s">
        <v>2344</v>
      </c>
      <c r="V245" s="179" t="s">
        <v>375</v>
      </c>
      <c r="W245" s="180">
        <f>IF('附表1-面积统计表'!$D$29=0,"",IF(AND(V245="共同成本费用",Z245="总建筑面积法"),ROUND(T245/'附表1-面积统计表'!$D$29*'附表1-面积统计表'!$D$5,2),IF(AND(V245="共同成本费用",Z245="可售建筑面积法"),ROUND(T245/'附表1-面积统计表'!$F$29*'附表1-面积统计表'!$F$5,2),"请手工填写")))</f>
        <v>32965.07</v>
      </c>
      <c r="X245" s="180">
        <f>IF(SUM('附表1-面积统计表'!$D$6)=0,"",SUM(T245)-SUM(W245)-SUM(Y245))</f>
        <v>21810.6</v>
      </c>
      <c r="Y245" s="180">
        <f>IF(SUM('附表1-面积统计表'!$D$6)=0,SUM(T245)-SUM(W245),IF('附表1-面积统计表'!$D$29=0,"",IF(AND(V245="共同成本费用",Z245="总建筑面积法"),ROUND(T245/'附表1-面积统计表'!$D$29*'附表1-面积统计表'!$D$7,2),IF(AND(V245="共同成本费用",Z245="可售建筑面积法"),ROUND(T245/'附表1-面积统计表'!$F$29*'附表1-面积统计表'!$F$7,2),"请手工填写"))))</f>
        <v>13268.88</v>
      </c>
      <c r="Z245" s="183" t="s">
        <v>351</v>
      </c>
      <c r="AA245" s="157"/>
      <c r="AB245" s="184" t="s">
        <v>2319</v>
      </c>
      <c r="AC245" s="132">
        <f t="shared" si="18"/>
        <v>0</v>
      </c>
    </row>
    <row r="246" s="132" customFormat="1" ht="24" customHeight="1" spans="1:29">
      <c r="A246" s="150">
        <v>240</v>
      </c>
      <c r="B246" s="166" t="s">
        <v>3001</v>
      </c>
      <c r="C246" s="166" t="s">
        <v>3007</v>
      </c>
      <c r="D246" s="157" t="s">
        <v>2533</v>
      </c>
      <c r="E246" s="158" t="s">
        <v>2690</v>
      </c>
      <c r="F246" s="189" t="s">
        <v>3008</v>
      </c>
      <c r="G246" s="156" t="s">
        <v>3009</v>
      </c>
      <c r="H246" s="157" t="str">
        <f>IF(G246="","",VLOOKUP(G246,'附表8-合同明细采集底稿'!B:I,2,0))</f>
        <v>25#-30#电梯销售安装合同</v>
      </c>
      <c r="I246" s="165" t="str">
        <f>IF(G246="","",VLOOKUP(G246,'附表8-合同明细采集底稿'!B:I,3,0))</f>
        <v>买卖合同</v>
      </c>
      <c r="J246" s="187" t="s">
        <v>2999</v>
      </c>
      <c r="K246" s="157" t="s">
        <v>2355</v>
      </c>
      <c r="L246" s="166">
        <v>6500192130</v>
      </c>
      <c r="M246" s="555" t="s">
        <v>3010</v>
      </c>
      <c r="N246" s="167">
        <v>840707.96</v>
      </c>
      <c r="O246" s="167">
        <v>950000</v>
      </c>
      <c r="P246" s="167">
        <v>840707.96</v>
      </c>
      <c r="Q246" s="167"/>
      <c r="R246" s="167">
        <f t="shared" si="21"/>
        <v>840707.96</v>
      </c>
      <c r="S246" s="178">
        <f>IFERROR(VLOOKUP(G246,'附表8-合同明细采集底稿'!B:N,12,0),100%)</f>
        <v>1</v>
      </c>
      <c r="T246" s="167">
        <f t="shared" si="19"/>
        <v>840707.96</v>
      </c>
      <c r="U246" s="157" t="s">
        <v>2416</v>
      </c>
      <c r="V246" s="179" t="s">
        <v>374</v>
      </c>
      <c r="W246" s="182">
        <f>ROUND(T246*成本分摊比例!$G$13/(成本分摊比例!$G$13+成本分摊比例!$H$13+成本分摊比例!$I$13),2)</f>
        <v>454236</v>
      </c>
      <c r="X246" s="182">
        <f>ROUND(T246*成本分摊比例!$H$13/(成本分摊比例!$G$13+成本分摊比例!$H$13+成本分摊比例!$I$13),2)</f>
        <v>300535.05</v>
      </c>
      <c r="Y246" s="182">
        <f t="shared" ref="Y246:Y249" si="24">T246-W246-X246</f>
        <v>85936.91</v>
      </c>
      <c r="Z246" s="183" t="s">
        <v>2406</v>
      </c>
      <c r="AA246" s="157"/>
      <c r="AB246" s="184" t="s">
        <v>2319</v>
      </c>
      <c r="AC246" s="132">
        <f t="shared" si="18"/>
        <v>0</v>
      </c>
    </row>
    <row r="247" s="132" customFormat="1" ht="24" customHeight="1" spans="1:29">
      <c r="A247" s="150">
        <v>241</v>
      </c>
      <c r="B247" s="166" t="s">
        <v>3001</v>
      </c>
      <c r="C247" s="166" t="s">
        <v>2933</v>
      </c>
      <c r="D247" s="157" t="s">
        <v>2339</v>
      </c>
      <c r="E247" s="158" t="s">
        <v>2523</v>
      </c>
      <c r="F247" s="189" t="s">
        <v>3011</v>
      </c>
      <c r="G247" s="156" t="s">
        <v>2907</v>
      </c>
      <c r="H247" s="157" t="str">
        <f>IF(G247="","",VLOOKUP(G247,'附表8-合同明细采集底稿'!B:I,2,0))</f>
        <v>何银昌（土方拉运）</v>
      </c>
      <c r="I247" s="165" t="str">
        <f>IF(G247="","",VLOOKUP(G247,'附表8-合同明细采集底稿'!B:I,3,0))</f>
        <v>运输合同</v>
      </c>
      <c r="J247" s="187" t="s">
        <v>3012</v>
      </c>
      <c r="K247" s="157" t="s">
        <v>2335</v>
      </c>
      <c r="L247" s="168" t="s">
        <v>2336</v>
      </c>
      <c r="M247" s="166" t="s">
        <v>3013</v>
      </c>
      <c r="N247" s="167">
        <v>49600</v>
      </c>
      <c r="O247" s="167">
        <v>49600</v>
      </c>
      <c r="P247" s="167">
        <v>49600</v>
      </c>
      <c r="Q247" s="167">
        <v>-640</v>
      </c>
      <c r="R247" s="167">
        <f t="shared" si="21"/>
        <v>48960</v>
      </c>
      <c r="S247" s="178">
        <f>IFERROR(VLOOKUP(G247,'附表8-合同明细采集底稿'!B:N,12,0),100%)</f>
        <v>1</v>
      </c>
      <c r="T247" s="167">
        <f t="shared" si="19"/>
        <v>48960</v>
      </c>
      <c r="U247" s="157" t="s">
        <v>2344</v>
      </c>
      <c r="V247" s="179" t="s">
        <v>375</v>
      </c>
      <c r="W247" s="180">
        <f>IF('附表1-面积统计表'!$D$29=0,"",IF(AND(V247="共同成本费用",Z247="总建筑面积法"),ROUND(T247/'附表1-面积统计表'!$D$29*'附表1-面积统计表'!$D$5,2),IF(AND(V247="共同成本费用",Z247="可售建筑面积法"),ROUND(T247/'附表1-面积统计表'!$F$29*'附表1-面积统计表'!$F$5,2),"请手工填写")))</f>
        <v>23719.31</v>
      </c>
      <c r="X247" s="180">
        <f>IF(SUM('附表1-面积统计表'!$D$6)=0,"",SUM(T247)-SUM(W247)-SUM(Y247))</f>
        <v>15693.35</v>
      </c>
      <c r="Y247" s="180">
        <f>IF(SUM('附表1-面积统计表'!$D$6)=0,SUM(T247)-SUM(W247),IF('附表1-面积统计表'!$D$29=0,"",IF(AND(V247="共同成本费用",Z247="总建筑面积法"),ROUND(T247/'附表1-面积统计表'!$D$29*'附表1-面积统计表'!$D$7,2),IF(AND(V247="共同成本费用",Z247="可售建筑面积法"),ROUND(T247/'附表1-面积统计表'!$F$29*'附表1-面积统计表'!$F$7,2),"请手工填写"))))</f>
        <v>9547.34</v>
      </c>
      <c r="Z247" s="183" t="s">
        <v>351</v>
      </c>
      <c r="AA247" s="157"/>
      <c r="AB247" s="184" t="s">
        <v>2319</v>
      </c>
      <c r="AC247" s="132">
        <f t="shared" si="18"/>
        <v>0</v>
      </c>
    </row>
    <row r="248" s="132" customFormat="1" ht="24" customHeight="1" spans="1:29">
      <c r="A248" s="150">
        <v>242</v>
      </c>
      <c r="B248" s="166" t="s">
        <v>3014</v>
      </c>
      <c r="C248" s="166" t="s">
        <v>3015</v>
      </c>
      <c r="D248" s="157" t="s">
        <v>2533</v>
      </c>
      <c r="E248" s="158" t="s">
        <v>2690</v>
      </c>
      <c r="F248" s="189" t="s">
        <v>3016</v>
      </c>
      <c r="G248" s="156" t="s">
        <v>3017</v>
      </c>
      <c r="H248" s="157" t="str">
        <f>IF(G248="","",VLOOKUP(G248,'附表8-合同明细采集底稿'!B:I,2,0))</f>
        <v>沁春锦苑25#-30#号楼防火防盗门</v>
      </c>
      <c r="I248" s="165" t="str">
        <f>IF(G248="","",VLOOKUP(G248,'附表8-合同明细采集底稿'!B:I,3,0))</f>
        <v>买卖合同</v>
      </c>
      <c r="J248" s="187" t="s">
        <v>3018</v>
      </c>
      <c r="K248" s="157" t="s">
        <v>2355</v>
      </c>
      <c r="L248" s="191">
        <v>6500191130</v>
      </c>
      <c r="M248" s="166" t="s">
        <v>3019</v>
      </c>
      <c r="N248" s="167">
        <v>318159.28</v>
      </c>
      <c r="O248" s="167">
        <v>359520</v>
      </c>
      <c r="P248" s="167">
        <v>318159.28</v>
      </c>
      <c r="Q248" s="167"/>
      <c r="R248" s="167">
        <f t="shared" si="21"/>
        <v>318159.28</v>
      </c>
      <c r="S248" s="178">
        <f>IFERROR(VLOOKUP(G248,'附表8-合同明细采集底稿'!B:N,12,0),100%)</f>
        <v>1</v>
      </c>
      <c r="T248" s="167">
        <f t="shared" si="19"/>
        <v>318159.28</v>
      </c>
      <c r="U248" s="157" t="s">
        <v>2416</v>
      </c>
      <c r="V248" s="179" t="s">
        <v>374</v>
      </c>
      <c r="W248" s="182">
        <f>ROUND(T248*成本分摊比例!$G$13/(成本分摊比例!$G$13+成本分摊比例!$H$13+成本分摊比例!$I$13),2)</f>
        <v>171902.02</v>
      </c>
      <c r="X248" s="182">
        <f>ROUND(T248*成本分摊比例!$H$13/(成本分摊比例!$G$13+成本分摊比例!$H$13+成本分摊比例!$I$13),2)</f>
        <v>113735.11</v>
      </c>
      <c r="Y248" s="182">
        <f t="shared" si="24"/>
        <v>32522.15</v>
      </c>
      <c r="Z248" s="183" t="s">
        <v>2406</v>
      </c>
      <c r="AA248" s="157"/>
      <c r="AB248" s="184" t="s">
        <v>2319</v>
      </c>
      <c r="AC248" s="132">
        <f t="shared" si="18"/>
        <v>0</v>
      </c>
    </row>
    <row r="249" s="132" customFormat="1" ht="24" customHeight="1" spans="1:29">
      <c r="A249" s="150">
        <v>243</v>
      </c>
      <c r="B249" s="166" t="s">
        <v>3020</v>
      </c>
      <c r="C249" s="166" t="s">
        <v>3021</v>
      </c>
      <c r="D249" s="157" t="s">
        <v>2533</v>
      </c>
      <c r="E249" s="158" t="s">
        <v>2690</v>
      </c>
      <c r="F249" s="189" t="s">
        <v>3022</v>
      </c>
      <c r="G249" s="156" t="s">
        <v>2984</v>
      </c>
      <c r="H249" s="157" t="str">
        <f>IF(G249="","",VLOOKUP(G249,'附表8-合同明细采集底稿'!B:I,2,0))</f>
        <v>沁春锦苑样板房（20-1-702）装修</v>
      </c>
      <c r="I249" s="165" t="str">
        <f>IF(G249="","",VLOOKUP(G249,'附表8-合同明细采集底稿'!B:I,3,0))</f>
        <v>建设工程合同</v>
      </c>
      <c r="J249" s="154" t="s">
        <v>2985</v>
      </c>
      <c r="K249" s="157" t="s">
        <v>2355</v>
      </c>
      <c r="L249" s="166">
        <v>6500193160</v>
      </c>
      <c r="M249" s="555" t="s">
        <v>3023</v>
      </c>
      <c r="N249" s="167">
        <v>215726.06</v>
      </c>
      <c r="O249" s="167">
        <v>217883.32</v>
      </c>
      <c r="P249" s="167">
        <v>215726.06</v>
      </c>
      <c r="Q249" s="167"/>
      <c r="R249" s="167">
        <f t="shared" si="21"/>
        <v>215726.06</v>
      </c>
      <c r="S249" s="178">
        <f>IFERROR(VLOOKUP(G249,'附表8-合同明细采集底稿'!B:N,12,0),100%)</f>
        <v>1</v>
      </c>
      <c r="T249" s="167">
        <f t="shared" si="19"/>
        <v>215726.06</v>
      </c>
      <c r="U249" s="157" t="s">
        <v>2416</v>
      </c>
      <c r="V249" s="179" t="s">
        <v>374</v>
      </c>
      <c r="W249" s="182">
        <f>ROUND(T249*成本分摊比例!$G$13/(成本分摊比例!$G$13+成本分摊比例!$H$13+成本分摊比例!$I$13),2)</f>
        <v>116557.17</v>
      </c>
      <c r="X249" s="182">
        <f>ROUND(T249*成本分摊比例!$H$13/(成本分摊比例!$G$13+成本分摊比例!$H$13+成本分摊比例!$I$13),2)</f>
        <v>77117.44</v>
      </c>
      <c r="Y249" s="182">
        <f t="shared" si="24"/>
        <v>22051.45</v>
      </c>
      <c r="Z249" s="183" t="s">
        <v>2406</v>
      </c>
      <c r="AA249" s="157"/>
      <c r="AB249" s="184" t="s">
        <v>2319</v>
      </c>
      <c r="AC249" s="132">
        <f t="shared" si="18"/>
        <v>0</v>
      </c>
    </row>
    <row r="250" s="132" customFormat="1" ht="24" customHeight="1" spans="1:29">
      <c r="A250" s="150">
        <v>244</v>
      </c>
      <c r="B250" s="166" t="s">
        <v>3020</v>
      </c>
      <c r="C250" s="166" t="s">
        <v>3024</v>
      </c>
      <c r="D250" s="157" t="s">
        <v>2346</v>
      </c>
      <c r="E250" s="158" t="s">
        <v>2347</v>
      </c>
      <c r="F250" s="189" t="s">
        <v>3025</v>
      </c>
      <c r="G250" s="156"/>
      <c r="H250" s="157" t="str">
        <f>IF(G250="","",VLOOKUP(G250,'附表8-合同明细采集底稿'!B:I,2,0))</f>
        <v/>
      </c>
      <c r="I250" s="165" t="str">
        <f>IF(G250="","",VLOOKUP(G250,'附表8-合同明细采集底稿'!B:I,3,0))</f>
        <v/>
      </c>
      <c r="J250" s="169" t="s">
        <v>2420</v>
      </c>
      <c r="K250" s="157" t="s">
        <v>2355</v>
      </c>
      <c r="L250" s="166">
        <v>6500192130</v>
      </c>
      <c r="M250" s="555" t="s">
        <v>3026</v>
      </c>
      <c r="N250" s="167">
        <v>15841.58</v>
      </c>
      <c r="O250" s="167">
        <v>16000</v>
      </c>
      <c r="P250" s="167">
        <v>15841.58</v>
      </c>
      <c r="Q250" s="167">
        <v>-15841.58</v>
      </c>
      <c r="R250" s="167">
        <f t="shared" si="21"/>
        <v>0</v>
      </c>
      <c r="S250" s="178">
        <v>1</v>
      </c>
      <c r="T250" s="167">
        <f t="shared" si="19"/>
        <v>0</v>
      </c>
      <c r="U250" s="157" t="s">
        <v>3027</v>
      </c>
      <c r="V250" s="179" t="s">
        <v>375</v>
      </c>
      <c r="W250" s="180">
        <f>IF('附表1-面积统计表'!$D$29=0,"",IF(AND(V250="共同成本费用",Z250="总建筑面积法"),ROUND(T250/'附表1-面积统计表'!$D$29*'附表1-面积统计表'!$D$5,2),IF(AND(V250="共同成本费用",Z250="可售建筑面积法"),ROUND(T250/'附表1-面积统计表'!$F$29*'附表1-面积统计表'!$F$5,2),"请手工填写")))</f>
        <v>0</v>
      </c>
      <c r="X250" s="180">
        <f>IF(SUM('附表1-面积统计表'!$D$6)=0,"",SUM(T250)-SUM(W250)-SUM(Y250))</f>
        <v>0</v>
      </c>
      <c r="Y250" s="180">
        <f>IF(SUM('附表1-面积统计表'!$D$6)=0,SUM(T250)-SUM(W250),IF('附表1-面积统计表'!$D$29=0,"",IF(AND(V250="共同成本费用",Z250="总建筑面积法"),ROUND(T250/'附表1-面积统计表'!$D$29*'附表1-面积统计表'!$D$7,2),IF(AND(V250="共同成本费用",Z250="可售建筑面积法"),ROUND(T250/'附表1-面积统计表'!$F$29*'附表1-面积统计表'!$F$7,2),"请手工填写"))))</f>
        <v>0</v>
      </c>
      <c r="Z250" s="183" t="s">
        <v>351</v>
      </c>
      <c r="AA250" s="157"/>
      <c r="AB250" s="184" t="s">
        <v>2319</v>
      </c>
      <c r="AC250" s="132">
        <f t="shared" si="18"/>
        <v>0</v>
      </c>
    </row>
    <row r="251" s="132" customFormat="1" ht="24" customHeight="1" spans="1:29">
      <c r="A251" s="150">
        <v>245</v>
      </c>
      <c r="B251" s="166" t="s">
        <v>3028</v>
      </c>
      <c r="C251" s="166" t="s">
        <v>3029</v>
      </c>
      <c r="D251" s="157" t="s">
        <v>2346</v>
      </c>
      <c r="E251" s="158" t="s">
        <v>2506</v>
      </c>
      <c r="F251" s="189" t="s">
        <v>3030</v>
      </c>
      <c r="G251" s="156"/>
      <c r="H251" s="157" t="str">
        <f>IF(G251="","",VLOOKUP(G251,'附表8-合同明细采集底稿'!B:I,2,0))</f>
        <v/>
      </c>
      <c r="I251" s="165" t="str">
        <f>IF(G251="","",VLOOKUP(G251,'附表8-合同明细采集底稿'!B:I,3,0))</f>
        <v/>
      </c>
      <c r="J251" s="169" t="s">
        <v>3031</v>
      </c>
      <c r="K251" s="157" t="s">
        <v>2355</v>
      </c>
      <c r="L251" s="166">
        <v>6500193130</v>
      </c>
      <c r="M251" s="555" t="s">
        <v>3032</v>
      </c>
      <c r="N251" s="167">
        <v>153.1</v>
      </c>
      <c r="O251" s="167">
        <v>173</v>
      </c>
      <c r="P251" s="167">
        <v>153.1</v>
      </c>
      <c r="Q251" s="167">
        <v>-153.1</v>
      </c>
      <c r="R251" s="167">
        <f t="shared" si="21"/>
        <v>0</v>
      </c>
      <c r="S251" s="178">
        <v>1</v>
      </c>
      <c r="T251" s="167">
        <f t="shared" si="19"/>
        <v>0</v>
      </c>
      <c r="U251" s="157" t="s">
        <v>2344</v>
      </c>
      <c r="V251" s="179" t="s">
        <v>375</v>
      </c>
      <c r="W251" s="180">
        <f>IF('附表1-面积统计表'!$D$29=0,"",IF(AND(V251="共同成本费用",Z251="总建筑面积法"),ROUND(T251/'附表1-面积统计表'!$D$29*'附表1-面积统计表'!$D$5,2),IF(AND(V251="共同成本费用",Z251="可售建筑面积法"),ROUND(T251/'附表1-面积统计表'!$F$29*'附表1-面积统计表'!$F$5,2),"请手工填写")))</f>
        <v>0</v>
      </c>
      <c r="X251" s="180">
        <f>IF(SUM('附表1-面积统计表'!$D$6)=0,"",SUM(T251)-SUM(W251)-SUM(Y251))</f>
        <v>0</v>
      </c>
      <c r="Y251" s="180">
        <f>IF(SUM('附表1-面积统计表'!$D$6)=0,SUM(T251)-SUM(W251),IF('附表1-面积统计表'!$D$29=0,"",IF(AND(V251="共同成本费用",Z251="总建筑面积法"),ROUND(T251/'附表1-面积统计表'!$D$29*'附表1-面积统计表'!$D$7,2),IF(AND(V251="共同成本费用",Z251="可售建筑面积法"),ROUND(T251/'附表1-面积统计表'!$F$29*'附表1-面积统计表'!$F$7,2),"请手工填写"))))</f>
        <v>0</v>
      </c>
      <c r="Z251" s="183" t="s">
        <v>351</v>
      </c>
      <c r="AA251" s="157"/>
      <c r="AB251" s="184" t="s">
        <v>2319</v>
      </c>
      <c r="AC251" s="132">
        <f t="shared" si="18"/>
        <v>0</v>
      </c>
    </row>
    <row r="252" s="132" customFormat="1" ht="24" customHeight="1" spans="1:29">
      <c r="A252" s="150">
        <v>246</v>
      </c>
      <c r="B252" s="166" t="s">
        <v>3033</v>
      </c>
      <c r="C252" s="166" t="s">
        <v>3034</v>
      </c>
      <c r="D252" s="157" t="s">
        <v>2533</v>
      </c>
      <c r="E252" s="158" t="s">
        <v>2690</v>
      </c>
      <c r="F252" s="189" t="s">
        <v>3035</v>
      </c>
      <c r="G252" s="156" t="s">
        <v>2600</v>
      </c>
      <c r="H252" s="157" t="str">
        <f>IF(G252="","",VLOOKUP(G252,'附表8-合同明细采集底稿'!B:I,2,0))</f>
        <v>装饰装修工程承包合同</v>
      </c>
      <c r="I252" s="165" t="str">
        <f>IF(G252="","",VLOOKUP(G252,'附表8-合同明细采集底稿'!B:I,3,0))</f>
        <v>建设工程合同</v>
      </c>
      <c r="J252" s="187" t="s">
        <v>2601</v>
      </c>
      <c r="K252" s="157" t="s">
        <v>2355</v>
      </c>
      <c r="L252" s="191">
        <v>6500193130</v>
      </c>
      <c r="M252" s="155" t="s">
        <v>3036</v>
      </c>
      <c r="N252" s="167">
        <v>105309.73</v>
      </c>
      <c r="O252" s="167">
        <v>119000</v>
      </c>
      <c r="P252" s="167">
        <v>105309.73</v>
      </c>
      <c r="Q252" s="167">
        <v>-105309.73</v>
      </c>
      <c r="R252" s="167">
        <f t="shared" si="21"/>
        <v>0</v>
      </c>
      <c r="S252" s="178">
        <f>IFERROR(VLOOKUP(G252,'附表8-合同明细采集底稿'!B:N,12,0),100%)</f>
        <v>1</v>
      </c>
      <c r="T252" s="167">
        <f t="shared" si="19"/>
        <v>0</v>
      </c>
      <c r="U252" s="157" t="s">
        <v>2405</v>
      </c>
      <c r="V252" s="179" t="s">
        <v>374</v>
      </c>
      <c r="W252" s="181">
        <v>0</v>
      </c>
      <c r="X252" s="181">
        <v>0</v>
      </c>
      <c r="Y252" s="181">
        <v>0</v>
      </c>
      <c r="Z252" s="183" t="s">
        <v>2406</v>
      </c>
      <c r="AA252" s="157"/>
      <c r="AB252" s="184" t="s">
        <v>2319</v>
      </c>
      <c r="AC252" s="132">
        <f t="shared" si="18"/>
        <v>0</v>
      </c>
    </row>
    <row r="253" s="132" customFormat="1" ht="24" customHeight="1" spans="1:29">
      <c r="A253" s="150">
        <v>247</v>
      </c>
      <c r="B253" s="166" t="s">
        <v>3037</v>
      </c>
      <c r="C253" s="166" t="s">
        <v>3038</v>
      </c>
      <c r="D253" s="157" t="s">
        <v>2533</v>
      </c>
      <c r="E253" s="158" t="s">
        <v>2788</v>
      </c>
      <c r="F253" s="189" t="s">
        <v>3039</v>
      </c>
      <c r="G253" s="156" t="s">
        <v>3040</v>
      </c>
      <c r="H253" s="157" t="str">
        <f>IF(G253="","",VLOOKUP(G253,'附表8-合同明细采集底稿'!B:I,2,0))</f>
        <v>19#20#23、24楼中间干挂石材</v>
      </c>
      <c r="I253" s="165" t="str">
        <f>IF(G253="","",VLOOKUP(G253,'附表8-合同明细采集底稿'!B:I,3,0))</f>
        <v>其他合同</v>
      </c>
      <c r="J253" s="187" t="s">
        <v>3041</v>
      </c>
      <c r="K253" s="157" t="s">
        <v>2355</v>
      </c>
      <c r="L253" s="166">
        <v>6500193130</v>
      </c>
      <c r="M253" s="555" t="s">
        <v>3042</v>
      </c>
      <c r="N253" s="167">
        <v>7792.08</v>
      </c>
      <c r="O253" s="167">
        <v>7870</v>
      </c>
      <c r="P253" s="167">
        <v>7792.08</v>
      </c>
      <c r="Q253" s="167"/>
      <c r="R253" s="167">
        <f t="shared" si="21"/>
        <v>7792.08</v>
      </c>
      <c r="S253" s="178">
        <f>IFERROR(VLOOKUP(G253,'附表8-合同明细采集底稿'!B:N,12,0),100%)</f>
        <v>1</v>
      </c>
      <c r="T253" s="167">
        <f t="shared" si="19"/>
        <v>7792.08</v>
      </c>
      <c r="U253" s="157" t="s">
        <v>2416</v>
      </c>
      <c r="V253" s="179" t="s">
        <v>374</v>
      </c>
      <c r="W253" s="182">
        <f>ROUND(T253*成本分摊比例!$G$13/(成本分摊比例!$G$13+成本分摊比例!$H$13+成本分摊比例!$I$13),2)</f>
        <v>4210.07</v>
      </c>
      <c r="X253" s="182">
        <f>ROUND(T253*成本分摊比例!$H$13/(成本分摊比例!$G$13+成本分摊比例!$H$13+成本分摊比例!$I$13),2)</f>
        <v>2785.5</v>
      </c>
      <c r="Y253" s="182">
        <f t="shared" ref="Y253:Y255" si="25">T253-W253-X253</f>
        <v>796.51</v>
      </c>
      <c r="Z253" s="183" t="s">
        <v>2406</v>
      </c>
      <c r="AA253" s="157"/>
      <c r="AB253" s="184" t="s">
        <v>2319</v>
      </c>
      <c r="AC253" s="132">
        <f t="shared" si="18"/>
        <v>0</v>
      </c>
    </row>
    <row r="254" s="132" customFormat="1" ht="24" customHeight="1" spans="1:29">
      <c r="A254" s="150">
        <v>248</v>
      </c>
      <c r="B254" s="166" t="s">
        <v>3037</v>
      </c>
      <c r="C254" s="166" t="s">
        <v>3043</v>
      </c>
      <c r="D254" s="157" t="s">
        <v>2346</v>
      </c>
      <c r="E254" s="158" t="s">
        <v>2506</v>
      </c>
      <c r="F254" s="189" t="s">
        <v>3044</v>
      </c>
      <c r="G254" s="156" t="s">
        <v>3045</v>
      </c>
      <c r="H254" s="157" t="str">
        <f>IF(G254="","",VLOOKUP(G254,'附表8-合同明细采集底稿'!B:I,2,0))</f>
        <v>购PVC管等、井盖</v>
      </c>
      <c r="I254" s="165" t="str">
        <f>IF(G254="","",VLOOKUP(G254,'附表8-合同明细采集底稿'!B:I,3,0))</f>
        <v>其他合同</v>
      </c>
      <c r="J254" s="169" t="s">
        <v>3046</v>
      </c>
      <c r="K254" s="157" t="s">
        <v>2355</v>
      </c>
      <c r="L254" s="166">
        <v>6500193130</v>
      </c>
      <c r="M254" s="555" t="s">
        <v>3047</v>
      </c>
      <c r="N254" s="167">
        <v>1911.5</v>
      </c>
      <c r="O254" s="167">
        <v>2160</v>
      </c>
      <c r="P254" s="167">
        <v>1911.5</v>
      </c>
      <c r="Q254" s="167"/>
      <c r="R254" s="167">
        <f t="shared" si="21"/>
        <v>1911.5</v>
      </c>
      <c r="S254" s="178">
        <f>IFERROR(VLOOKUP(G254,'附表8-合同明细采集底稿'!B:N,12,0),100%)</f>
        <v>1</v>
      </c>
      <c r="T254" s="167">
        <f t="shared" si="19"/>
        <v>1911.5</v>
      </c>
      <c r="U254" s="157" t="s">
        <v>2416</v>
      </c>
      <c r="V254" s="179" t="s">
        <v>374</v>
      </c>
      <c r="W254" s="182">
        <f>ROUND(T254*成本分摊比例!$G$13/(成本分摊比例!$G$13+成本分摊比例!$H$13+成本分摊比例!$I$13),2)</f>
        <v>1032.79</v>
      </c>
      <c r="X254" s="182">
        <f>ROUND(T254*成本分摊比例!$H$13/(成本分摊比例!$G$13+成本分摊比例!$H$13+成本分摊比例!$I$13),2)</f>
        <v>683.32</v>
      </c>
      <c r="Y254" s="182">
        <f t="shared" si="25"/>
        <v>195.39</v>
      </c>
      <c r="Z254" s="183" t="s">
        <v>2406</v>
      </c>
      <c r="AA254" s="157"/>
      <c r="AB254" s="184" t="s">
        <v>2319</v>
      </c>
      <c r="AC254" s="132">
        <f t="shared" si="18"/>
        <v>0</v>
      </c>
    </row>
    <row r="255" s="132" customFormat="1" ht="24" customHeight="1" spans="1:29">
      <c r="A255" s="150">
        <v>249</v>
      </c>
      <c r="B255" s="166" t="s">
        <v>3037</v>
      </c>
      <c r="C255" s="166" t="s">
        <v>3048</v>
      </c>
      <c r="D255" s="157" t="s">
        <v>2346</v>
      </c>
      <c r="E255" s="158" t="s">
        <v>2506</v>
      </c>
      <c r="F255" s="189" t="s">
        <v>3049</v>
      </c>
      <c r="G255" s="156" t="s">
        <v>3045</v>
      </c>
      <c r="H255" s="157" t="str">
        <f>IF(G255="","",VLOOKUP(G255,'附表8-合同明细采集底稿'!B:I,2,0))</f>
        <v>购PVC管等、井盖</v>
      </c>
      <c r="I255" s="165" t="str">
        <f>IF(G255="","",VLOOKUP(G255,'附表8-合同明细采集底稿'!B:I,3,0))</f>
        <v>其他合同</v>
      </c>
      <c r="J255" s="169" t="s">
        <v>3046</v>
      </c>
      <c r="K255" s="157" t="s">
        <v>2355</v>
      </c>
      <c r="L255" s="166">
        <v>6500193130</v>
      </c>
      <c r="M255" s="555" t="s">
        <v>3050</v>
      </c>
      <c r="N255" s="167">
        <v>68389.38</v>
      </c>
      <c r="O255" s="167">
        <v>77280</v>
      </c>
      <c r="P255" s="167">
        <v>68389.38</v>
      </c>
      <c r="Q255" s="167"/>
      <c r="R255" s="167">
        <f t="shared" si="21"/>
        <v>68389.38</v>
      </c>
      <c r="S255" s="178">
        <f>IFERROR(VLOOKUP(G255,'附表8-合同明细采集底稿'!B:N,12,0),100%)</f>
        <v>1</v>
      </c>
      <c r="T255" s="167">
        <f t="shared" si="19"/>
        <v>68389.38</v>
      </c>
      <c r="U255" s="157" t="s">
        <v>2416</v>
      </c>
      <c r="V255" s="179" t="s">
        <v>374</v>
      </c>
      <c r="W255" s="182">
        <f>ROUND(T255*成本分摊比例!$G$13/(成本分摊比例!$G$13+成本分摊比例!$H$13+成本分摊比例!$I$13),2)</f>
        <v>36950.9</v>
      </c>
      <c r="X255" s="182">
        <f>ROUND(T255*成本分摊比例!$H$13/(成本分摊比例!$G$13+成本分摊比例!$H$13+成本分摊比例!$I$13),2)</f>
        <v>24447.74</v>
      </c>
      <c r="Y255" s="182">
        <f t="shared" si="25"/>
        <v>6990.74</v>
      </c>
      <c r="Z255" s="183" t="s">
        <v>2406</v>
      </c>
      <c r="AA255" s="157"/>
      <c r="AB255" s="184" t="s">
        <v>2319</v>
      </c>
      <c r="AC255" s="132">
        <f t="shared" si="18"/>
        <v>0</v>
      </c>
    </row>
    <row r="256" s="132" customFormat="1" ht="24" customHeight="1" spans="1:29">
      <c r="A256" s="150">
        <v>250</v>
      </c>
      <c r="B256" s="166" t="s">
        <v>3037</v>
      </c>
      <c r="C256" s="166" t="s">
        <v>3051</v>
      </c>
      <c r="D256" s="157" t="s">
        <v>2339</v>
      </c>
      <c r="E256" s="158" t="s">
        <v>2370</v>
      </c>
      <c r="F256" s="189" t="s">
        <v>3052</v>
      </c>
      <c r="G256" s="156" t="s">
        <v>3053</v>
      </c>
      <c r="H256" s="157" t="str">
        <f>IF(G256="","",VLOOKUP(G256,'附表8-合同明细采集底稿'!B:I,2,0))</f>
        <v>19#20#23#24#竣工测量</v>
      </c>
      <c r="I256" s="165" t="str">
        <f>IF(G256="","",VLOOKUP(G256,'附表8-合同明细采集底稿'!B:I,3,0))</f>
        <v>技术合同</v>
      </c>
      <c r="J256" s="187" t="s">
        <v>2830</v>
      </c>
      <c r="K256" s="157" t="s">
        <v>2355</v>
      </c>
      <c r="L256" s="166">
        <v>6500193130</v>
      </c>
      <c r="M256" s="555" t="s">
        <v>3054</v>
      </c>
      <c r="N256" s="167">
        <v>1300</v>
      </c>
      <c r="O256" s="167">
        <v>1378</v>
      </c>
      <c r="P256" s="167">
        <v>1300</v>
      </c>
      <c r="Q256" s="167"/>
      <c r="R256" s="167">
        <f t="shared" si="21"/>
        <v>1300</v>
      </c>
      <c r="S256" s="178">
        <f>IFERROR(VLOOKUP(G256,'附表8-合同明细采集底稿'!B:N,12,0),100%)</f>
        <v>1</v>
      </c>
      <c r="T256" s="167">
        <f t="shared" si="19"/>
        <v>1300</v>
      </c>
      <c r="U256" s="157" t="s">
        <v>2344</v>
      </c>
      <c r="V256" s="179" t="s">
        <v>375</v>
      </c>
      <c r="W256" s="180">
        <f>IF('附表1-面积统计表'!$D$29=0,"",IF(AND(V256="共同成本费用",Z256="总建筑面积法"),ROUND(T256/'附表1-面积统计表'!$D$29*'附表1-面积统计表'!$D$5,2),IF(AND(V256="共同成本费用",Z256="可售建筑面积法"),ROUND(T256/'附表1-面积统计表'!$F$29*'附表1-面积统计表'!$F$5,2),"请手工填写")))</f>
        <v>629.8</v>
      </c>
      <c r="X256" s="180">
        <f>IF(SUM('附表1-面积统计表'!$D$6)=0,"",SUM(T256)-SUM(W256)-SUM(Y256))</f>
        <v>416.7</v>
      </c>
      <c r="Y256" s="180">
        <f>IF(SUM('附表1-面积统计表'!$D$6)=0,SUM(T256)-SUM(W256),IF('附表1-面积统计表'!$D$29=0,"",IF(AND(V256="共同成本费用",Z256="总建筑面积法"),ROUND(T256/'附表1-面积统计表'!$D$29*'附表1-面积统计表'!$D$7,2),IF(AND(V256="共同成本费用",Z256="可售建筑面积法"),ROUND(T256/'附表1-面积统计表'!$F$29*'附表1-面积统计表'!$F$7,2),"请手工填写"))))</f>
        <v>253.5</v>
      </c>
      <c r="Z256" s="183" t="s">
        <v>351</v>
      </c>
      <c r="AA256" s="157"/>
      <c r="AB256" s="184" t="s">
        <v>2319</v>
      </c>
      <c r="AC256" s="132">
        <f t="shared" si="18"/>
        <v>0</v>
      </c>
    </row>
    <row r="257" s="132" customFormat="1" ht="24" customHeight="1" spans="1:29">
      <c r="A257" s="150">
        <v>251</v>
      </c>
      <c r="B257" s="166" t="s">
        <v>3037</v>
      </c>
      <c r="C257" s="166" t="s">
        <v>3055</v>
      </c>
      <c r="D257" s="157" t="s">
        <v>2339</v>
      </c>
      <c r="E257" s="158" t="s">
        <v>2363</v>
      </c>
      <c r="F257" s="189" t="s">
        <v>3056</v>
      </c>
      <c r="G257" s="156"/>
      <c r="H257" s="157" t="str">
        <f>IF(G257="","",VLOOKUP(G257,'附表8-合同明细采集底稿'!B:I,2,0))</f>
        <v/>
      </c>
      <c r="I257" s="165" t="str">
        <f>IF(G257="","",VLOOKUP(G257,'附表8-合同明细采集底稿'!B:I,3,0))</f>
        <v/>
      </c>
      <c r="J257" s="187" t="s">
        <v>3057</v>
      </c>
      <c r="K257" s="157" t="s">
        <v>2355</v>
      </c>
      <c r="L257" s="166">
        <v>6500193130</v>
      </c>
      <c r="M257" s="555" t="s">
        <v>3058</v>
      </c>
      <c r="N257" s="167">
        <v>4716.98</v>
      </c>
      <c r="O257" s="167">
        <v>5000</v>
      </c>
      <c r="P257" s="167">
        <v>4716.98</v>
      </c>
      <c r="Q257" s="167"/>
      <c r="R257" s="167">
        <f t="shared" si="21"/>
        <v>4716.98</v>
      </c>
      <c r="S257" s="178">
        <v>0.338555832480367</v>
      </c>
      <c r="T257" s="167">
        <f t="shared" si="19"/>
        <v>1596.96</v>
      </c>
      <c r="U257" s="157" t="s">
        <v>2318</v>
      </c>
      <c r="V257" s="179" t="s">
        <v>375</v>
      </c>
      <c r="W257" s="180">
        <f>IF('附表1-面积统计表'!$D$29=0,"",IF(AND(V257="共同成本费用",Z257="总建筑面积法"),ROUND(T257/'附表1-面积统计表'!$D$29*'附表1-面积统计表'!$D$5,2),IF(AND(V257="共同成本费用",Z257="可售建筑面积法"),ROUND(T257/'附表1-面积统计表'!$F$29*'附表1-面积统计表'!$F$5,2),"请手工填写")))</f>
        <v>773.67</v>
      </c>
      <c r="X257" s="180">
        <f>IF(SUM('附表1-面积统计表'!$D$6)=0,"",SUM(T257)-SUM(W257)-SUM(Y257))</f>
        <v>511.88</v>
      </c>
      <c r="Y257" s="180">
        <f>IF(SUM('附表1-面积统计表'!$D$6)=0,SUM(T257)-SUM(W257),IF('附表1-面积统计表'!$D$29=0,"",IF(AND(V257="共同成本费用",Z257="总建筑面积法"),ROUND(T257/'附表1-面积统计表'!$D$29*'附表1-面积统计表'!$D$7,2),IF(AND(V257="共同成本费用",Z257="可售建筑面积法"),ROUND(T257/'附表1-面积统计表'!$F$29*'附表1-面积统计表'!$F$7,2),"请手工填写"))))</f>
        <v>311.41</v>
      </c>
      <c r="Z257" s="183" t="s">
        <v>351</v>
      </c>
      <c r="AA257" s="157"/>
      <c r="AB257" s="184" t="s">
        <v>2319</v>
      </c>
      <c r="AC257" s="132">
        <f t="shared" si="18"/>
        <v>0</v>
      </c>
    </row>
    <row r="258" s="132" customFormat="1" ht="24" customHeight="1" spans="1:29">
      <c r="A258" s="150">
        <v>252</v>
      </c>
      <c r="B258" s="166" t="s">
        <v>3037</v>
      </c>
      <c r="C258" s="166" t="s">
        <v>3059</v>
      </c>
      <c r="D258" s="157" t="s">
        <v>2533</v>
      </c>
      <c r="E258" s="158" t="s">
        <v>2564</v>
      </c>
      <c r="F258" s="189" t="s">
        <v>3060</v>
      </c>
      <c r="G258" s="156" t="s">
        <v>2900</v>
      </c>
      <c r="H258" s="157" t="str">
        <f>IF(G258="","",VLOOKUP(G258,'附表8-合同明细采集底稿'!B:I,2,0))</f>
        <v>沁春锦苑25、26、28#施工协议</v>
      </c>
      <c r="I258" s="165" t="str">
        <f>IF(G258="","",VLOOKUP(G258,'附表8-合同明细采集底稿'!B:I,3,0))</f>
        <v>建设工程合同</v>
      </c>
      <c r="J258" s="187" t="s">
        <v>144</v>
      </c>
      <c r="K258" s="157" t="s">
        <v>2355</v>
      </c>
      <c r="L258" s="191">
        <v>6500193130</v>
      </c>
      <c r="M258" s="155" t="s">
        <v>3061</v>
      </c>
      <c r="N258" s="167">
        <v>1811929.45</v>
      </c>
      <c r="O258" s="167">
        <v>1975003.1</v>
      </c>
      <c r="P258" s="167">
        <v>1811929.45</v>
      </c>
      <c r="Q258" s="167"/>
      <c r="R258" s="167">
        <f t="shared" si="21"/>
        <v>1811929.45</v>
      </c>
      <c r="S258" s="178">
        <f>IFERROR(VLOOKUP(G258,'附表8-合同明细采集底稿'!B:N,12,0),100%)</f>
        <v>1</v>
      </c>
      <c r="T258" s="167">
        <f t="shared" si="19"/>
        <v>1811929.45</v>
      </c>
      <c r="U258" s="157" t="s">
        <v>2416</v>
      </c>
      <c r="V258" s="179" t="s">
        <v>374</v>
      </c>
      <c r="W258" s="182">
        <f>ROUND(T258*成本分摊比例!$G$13/(成本分摊比例!$G$13+成本分摊比例!$H$13+成本分摊比例!$I$13),2)</f>
        <v>978988.7</v>
      </c>
      <c r="X258" s="182">
        <f>ROUND(T258*成本分摊比例!$H$13/(成本分摊比例!$G$13+成本分摊比例!$H$13+成本分摊比例!$I$13),2)</f>
        <v>647725.89</v>
      </c>
      <c r="Y258" s="182">
        <f>T258-W258-X258</f>
        <v>185214.86</v>
      </c>
      <c r="Z258" s="183" t="s">
        <v>2406</v>
      </c>
      <c r="AA258" s="157"/>
      <c r="AB258" s="184" t="s">
        <v>2319</v>
      </c>
      <c r="AC258" s="132">
        <f t="shared" si="18"/>
        <v>0</v>
      </c>
    </row>
    <row r="259" s="132" customFormat="1" ht="24" customHeight="1" spans="1:29">
      <c r="A259" s="150">
        <v>253</v>
      </c>
      <c r="B259" s="166" t="s">
        <v>3037</v>
      </c>
      <c r="C259" s="166" t="s">
        <v>3062</v>
      </c>
      <c r="D259" s="157" t="s">
        <v>2533</v>
      </c>
      <c r="E259" s="158" t="s">
        <v>2534</v>
      </c>
      <c r="F259" s="189" t="s">
        <v>3063</v>
      </c>
      <c r="G259" s="156" t="s">
        <v>3064</v>
      </c>
      <c r="H259" s="157" t="str">
        <f>IF(G259="","",VLOOKUP(G259,'附表8-合同明细采集底稿'!B:I,2,0))</f>
        <v>沁春锦苑20#24#楼门斗装修</v>
      </c>
      <c r="I259" s="165" t="str">
        <f>IF(G259="","",VLOOKUP(G259,'附表8-合同明细采集底稿'!B:I,3,0))</f>
        <v>建设工程合同</v>
      </c>
      <c r="J259" s="187" t="s">
        <v>3065</v>
      </c>
      <c r="K259" s="157" t="s">
        <v>2355</v>
      </c>
      <c r="L259" s="191">
        <v>6500182130</v>
      </c>
      <c r="M259" s="555" t="s">
        <v>3066</v>
      </c>
      <c r="N259" s="167">
        <v>442455.44</v>
      </c>
      <c r="O259" s="167">
        <v>446880</v>
      </c>
      <c r="P259" s="167">
        <v>442455.44</v>
      </c>
      <c r="Q259" s="167"/>
      <c r="R259" s="167">
        <f t="shared" si="21"/>
        <v>442455.44</v>
      </c>
      <c r="S259" s="178">
        <f>IFERROR(VLOOKUP(G259,'附表8-合同明细采集底稿'!B:N,12,0),100%)</f>
        <v>1</v>
      </c>
      <c r="T259" s="167">
        <f t="shared" si="19"/>
        <v>442455.44</v>
      </c>
      <c r="U259" s="157" t="s">
        <v>2416</v>
      </c>
      <c r="V259" s="179" t="s">
        <v>374</v>
      </c>
      <c r="W259" s="182">
        <f>ROUND(T259*成本分摊比例!$G$13/(成本分摊比例!$G$13+成本分摊比例!$H$13+成本分摊比例!$I$13),2)</f>
        <v>239059.46</v>
      </c>
      <c r="X259" s="182">
        <f>ROUND(T259*成本分摊比例!$H$13/(成本分摊比例!$G$13+成本分摊比例!$H$13+成本分摊比例!$I$13),2)</f>
        <v>158168.32</v>
      </c>
      <c r="Y259" s="182">
        <f>T259-W259-X259</f>
        <v>45227.66</v>
      </c>
      <c r="Z259" s="183" t="s">
        <v>2406</v>
      </c>
      <c r="AA259" s="157"/>
      <c r="AB259" s="184" t="s">
        <v>2319</v>
      </c>
      <c r="AC259" s="132">
        <f t="shared" si="18"/>
        <v>0</v>
      </c>
    </row>
    <row r="260" s="132" customFormat="1" ht="24" customHeight="1" spans="1:29">
      <c r="A260" s="150">
        <v>254</v>
      </c>
      <c r="B260" s="166" t="s">
        <v>146</v>
      </c>
      <c r="C260" s="166" t="s">
        <v>3067</v>
      </c>
      <c r="D260" s="157" t="s">
        <v>2533</v>
      </c>
      <c r="E260" s="158" t="s">
        <v>2534</v>
      </c>
      <c r="F260" s="189" t="s">
        <v>3068</v>
      </c>
      <c r="G260" s="156" t="s">
        <v>3069</v>
      </c>
      <c r="H260" s="157" t="str">
        <f>IF(G260="","",VLOOKUP(G260,'附表8-合同明细采集底稿'!B:I,2,0))</f>
        <v>空调设备安装</v>
      </c>
      <c r="I260" s="165" t="str">
        <f>IF(G260="","",VLOOKUP(G260,'附表8-合同明细采集底稿'!B:I,3,0))</f>
        <v>其他合同</v>
      </c>
      <c r="J260" s="187" t="s">
        <v>3070</v>
      </c>
      <c r="K260" s="157" t="s">
        <v>2335</v>
      </c>
      <c r="L260" s="168" t="s">
        <v>2336</v>
      </c>
      <c r="M260" s="166" t="s">
        <v>3071</v>
      </c>
      <c r="N260" s="167">
        <v>56000</v>
      </c>
      <c r="O260" s="167">
        <v>56000</v>
      </c>
      <c r="P260" s="167">
        <v>56000</v>
      </c>
      <c r="Q260" s="167"/>
      <c r="R260" s="167">
        <f t="shared" si="21"/>
        <v>56000</v>
      </c>
      <c r="S260" s="178">
        <f>IFERROR(VLOOKUP(G260,'附表8-合同明细采集底稿'!B:N,12,0),100%)</f>
        <v>1</v>
      </c>
      <c r="T260" s="167">
        <f t="shared" si="19"/>
        <v>56000</v>
      </c>
      <c r="U260" s="157" t="s">
        <v>2405</v>
      </c>
      <c r="V260" s="179" t="s">
        <v>374</v>
      </c>
      <c r="W260" s="181">
        <v>0</v>
      </c>
      <c r="X260" s="181">
        <v>0</v>
      </c>
      <c r="Y260" s="181">
        <v>56000</v>
      </c>
      <c r="Z260" s="183" t="s">
        <v>2406</v>
      </c>
      <c r="AA260" s="157"/>
      <c r="AB260" s="184" t="s">
        <v>2319</v>
      </c>
      <c r="AC260" s="132">
        <f t="shared" si="18"/>
        <v>0</v>
      </c>
    </row>
    <row r="261" s="132" customFormat="1" ht="24" customHeight="1" spans="1:29">
      <c r="A261" s="150">
        <v>255</v>
      </c>
      <c r="B261" s="166" t="s">
        <v>3072</v>
      </c>
      <c r="C261" s="166" t="s">
        <v>3073</v>
      </c>
      <c r="D261" s="157" t="s">
        <v>2339</v>
      </c>
      <c r="E261" s="158" t="s">
        <v>2351</v>
      </c>
      <c r="F261" s="189" t="s">
        <v>3074</v>
      </c>
      <c r="G261" s="156" t="s">
        <v>3075</v>
      </c>
      <c r="H261" s="157" t="str">
        <f>IF(G261="","",VLOOKUP(G261,'附表8-合同明细采集底稿'!B:I,2,0))</f>
        <v>沁春锦苑2#楼临时路口封闭</v>
      </c>
      <c r="I261" s="165" t="str">
        <f>IF(G261="","",VLOOKUP(G261,'附表8-合同明细采集底稿'!B:I,3,0))</f>
        <v>其他合同</v>
      </c>
      <c r="J261" s="187" t="s">
        <v>3076</v>
      </c>
      <c r="K261" s="157" t="s">
        <v>2335</v>
      </c>
      <c r="L261" s="168" t="s">
        <v>2336</v>
      </c>
      <c r="M261" s="166">
        <v>17883258</v>
      </c>
      <c r="N261" s="167">
        <v>3000</v>
      </c>
      <c r="O261" s="167">
        <v>3000</v>
      </c>
      <c r="P261" s="167">
        <v>3000</v>
      </c>
      <c r="Q261" s="167">
        <v>-3000</v>
      </c>
      <c r="R261" s="167">
        <f t="shared" si="21"/>
        <v>0</v>
      </c>
      <c r="S261" s="178">
        <f>IFERROR(VLOOKUP(G261,'附表8-合同明细采集底稿'!B:N,12,0),100%)</f>
        <v>1</v>
      </c>
      <c r="T261" s="167">
        <f t="shared" si="19"/>
        <v>0</v>
      </c>
      <c r="U261" s="157" t="s">
        <v>3077</v>
      </c>
      <c r="V261" s="179" t="s">
        <v>375</v>
      </c>
      <c r="W261" s="180">
        <f>IF('附表1-面积统计表'!$D$29=0,"",IF(AND(V261="共同成本费用",Z261="总建筑面积法"),ROUND(T261/'附表1-面积统计表'!$D$29*'附表1-面积统计表'!$D$5,2),IF(AND(V261="共同成本费用",Z261="可售建筑面积法"),ROUND(T261/'附表1-面积统计表'!$F$29*'附表1-面积统计表'!$F$5,2),"请手工填写")))</f>
        <v>0</v>
      </c>
      <c r="X261" s="180">
        <f>IF(SUM('附表1-面积统计表'!$D$6)=0,"",SUM(T261)-SUM(W261)-SUM(Y261))</f>
        <v>0</v>
      </c>
      <c r="Y261" s="180">
        <f>IF(SUM('附表1-面积统计表'!$D$6)=0,SUM(T261)-SUM(W261),IF('附表1-面积统计表'!$D$29=0,"",IF(AND(V261="共同成本费用",Z261="总建筑面积法"),ROUND(T261/'附表1-面积统计表'!$D$29*'附表1-面积统计表'!$D$7,2),IF(AND(V261="共同成本费用",Z261="可售建筑面积法"),ROUND(T261/'附表1-面积统计表'!$F$29*'附表1-面积统计表'!$F$7,2),"请手工填写"))))</f>
        <v>0</v>
      </c>
      <c r="Z261" s="183" t="s">
        <v>351</v>
      </c>
      <c r="AA261" s="157"/>
      <c r="AB261" s="184" t="s">
        <v>2319</v>
      </c>
      <c r="AC261" s="132">
        <f t="shared" si="18"/>
        <v>0</v>
      </c>
    </row>
    <row r="262" s="132" customFormat="1" ht="24" customHeight="1" spans="1:29">
      <c r="A262" s="150">
        <v>256</v>
      </c>
      <c r="B262" s="166" t="s">
        <v>3078</v>
      </c>
      <c r="C262" s="166" t="s">
        <v>3079</v>
      </c>
      <c r="D262" s="157" t="s">
        <v>2533</v>
      </c>
      <c r="E262" s="158" t="s">
        <v>2534</v>
      </c>
      <c r="F262" s="189" t="s">
        <v>3080</v>
      </c>
      <c r="G262" s="156" t="s">
        <v>2600</v>
      </c>
      <c r="H262" s="157" t="str">
        <f>IF(G262="","",VLOOKUP(G262,'附表8-合同明细采集底稿'!B:I,2,0))</f>
        <v>装饰装修工程承包合同</v>
      </c>
      <c r="I262" s="165" t="str">
        <f>IF(G262="","",VLOOKUP(G262,'附表8-合同明细采集底稿'!B:I,3,0))</f>
        <v>建设工程合同</v>
      </c>
      <c r="J262" s="187" t="s">
        <v>2601</v>
      </c>
      <c r="K262" s="157" t="s">
        <v>2355</v>
      </c>
      <c r="L262" s="166">
        <v>6500193130</v>
      </c>
      <c r="M262" s="555" t="s">
        <v>3081</v>
      </c>
      <c r="N262" s="167">
        <v>119469.02</v>
      </c>
      <c r="O262" s="167">
        <v>135000</v>
      </c>
      <c r="P262" s="167">
        <v>119469.02</v>
      </c>
      <c r="Q262" s="167">
        <v>-119469.02</v>
      </c>
      <c r="R262" s="167">
        <f t="shared" si="21"/>
        <v>0</v>
      </c>
      <c r="S262" s="178">
        <f>IFERROR(VLOOKUP(G262,'附表8-合同明细采集底稿'!B:N,12,0),100%)</f>
        <v>1</v>
      </c>
      <c r="T262" s="167">
        <f t="shared" si="19"/>
        <v>0</v>
      </c>
      <c r="U262" s="157" t="s">
        <v>2405</v>
      </c>
      <c r="V262" s="179" t="s">
        <v>374</v>
      </c>
      <c r="W262" s="181">
        <v>0</v>
      </c>
      <c r="X262" s="181">
        <v>0</v>
      </c>
      <c r="Y262" s="181">
        <v>0</v>
      </c>
      <c r="Z262" s="183" t="s">
        <v>2406</v>
      </c>
      <c r="AA262" s="157"/>
      <c r="AB262" s="184" t="s">
        <v>2319</v>
      </c>
      <c r="AC262" s="132">
        <f t="shared" si="18"/>
        <v>0</v>
      </c>
    </row>
    <row r="263" s="132" customFormat="1" ht="24" customHeight="1" spans="1:29">
      <c r="A263" s="150">
        <v>257</v>
      </c>
      <c r="B263" s="166" t="s">
        <v>3078</v>
      </c>
      <c r="C263" s="166" t="s">
        <v>3024</v>
      </c>
      <c r="D263" s="157" t="s">
        <v>2339</v>
      </c>
      <c r="E263" s="158" t="s">
        <v>2523</v>
      </c>
      <c r="F263" s="189" t="s">
        <v>3082</v>
      </c>
      <c r="G263" s="156" t="s">
        <v>3083</v>
      </c>
      <c r="H263" s="157" t="str">
        <f>IF(G263="","",VLOOKUP(G263,'附表8-合同明细采集底稿'!B:I,2,0))</f>
        <v>场地平整零星工程</v>
      </c>
      <c r="I263" s="165" t="str">
        <f>IF(G263="","",VLOOKUP(G263,'附表8-合同明细采集底稿'!B:I,3,0))</f>
        <v>其他合同</v>
      </c>
      <c r="J263" s="187" t="s">
        <v>3084</v>
      </c>
      <c r="K263" s="157" t="s">
        <v>2335</v>
      </c>
      <c r="L263" s="168" t="s">
        <v>2336</v>
      </c>
      <c r="M263" s="166" t="s">
        <v>3085</v>
      </c>
      <c r="N263" s="167">
        <v>42300</v>
      </c>
      <c r="O263" s="167">
        <v>42300</v>
      </c>
      <c r="P263" s="167">
        <v>42300</v>
      </c>
      <c r="Q263" s="167"/>
      <c r="R263" s="167">
        <f t="shared" si="21"/>
        <v>42300</v>
      </c>
      <c r="S263" s="178">
        <f>IFERROR(VLOOKUP(G263,'附表8-合同明细采集底稿'!B:N,12,0),100%)</f>
        <v>1</v>
      </c>
      <c r="T263" s="167">
        <f t="shared" si="19"/>
        <v>42300</v>
      </c>
      <c r="U263" s="157" t="s">
        <v>2344</v>
      </c>
      <c r="V263" s="179" t="s">
        <v>375</v>
      </c>
      <c r="W263" s="180">
        <f>IF('附表1-面积统计表'!$D$29=0,"",IF(AND(V263="共同成本费用",Z263="总建筑面积法"),ROUND(T263/'附表1-面积统计表'!$D$29*'附表1-面积统计表'!$D$5,2),IF(AND(V263="共同成本费用",Z263="可售建筑面积法"),ROUND(T263/'附表1-面积统计表'!$F$29*'附表1-面积统计表'!$F$5,2),"请手工填写")))</f>
        <v>20492.79</v>
      </c>
      <c r="X263" s="180">
        <f>IF(SUM('附表1-面积统计表'!$D$6)=0,"",SUM(T263)-SUM(W263)-SUM(Y263))</f>
        <v>13558.59</v>
      </c>
      <c r="Y263" s="180">
        <f>IF(SUM('附表1-面积统计表'!$D$6)=0,SUM(T263)-SUM(W263),IF('附表1-面积统计表'!$D$29=0,"",IF(AND(V263="共同成本费用",Z263="总建筑面积法"),ROUND(T263/'附表1-面积统计表'!$D$29*'附表1-面积统计表'!$D$7,2),IF(AND(V263="共同成本费用",Z263="可售建筑面积法"),ROUND(T263/'附表1-面积统计表'!$F$29*'附表1-面积统计表'!$F$7,2),"请手工填写"))))</f>
        <v>8248.62</v>
      </c>
      <c r="Z263" s="183" t="s">
        <v>351</v>
      </c>
      <c r="AA263" s="157"/>
      <c r="AB263" s="184" t="s">
        <v>2319</v>
      </c>
      <c r="AC263" s="132">
        <f t="shared" si="18"/>
        <v>0</v>
      </c>
    </row>
    <row r="264" s="132" customFormat="1" ht="24" customHeight="1" spans="1:29">
      <c r="A264" s="150">
        <v>258</v>
      </c>
      <c r="B264" s="166" t="s">
        <v>3078</v>
      </c>
      <c r="C264" s="166" t="s">
        <v>3086</v>
      </c>
      <c r="D264" s="157" t="s">
        <v>2346</v>
      </c>
      <c r="E264" s="158" t="s">
        <v>2418</v>
      </c>
      <c r="F264" s="189" t="s">
        <v>3087</v>
      </c>
      <c r="G264" s="156" t="s">
        <v>2962</v>
      </c>
      <c r="H264" s="157" t="str">
        <f>IF(G264="","",VLOOKUP(G264,'附表8-合同明细采集底稿'!B:I,2,0))</f>
        <v>电缆采购合同-一期</v>
      </c>
      <c r="I264" s="165" t="str">
        <f>IF(G264="","",VLOOKUP(G264,'附表8-合同明细采集底稿'!B:I,3,0))</f>
        <v>其他合同</v>
      </c>
      <c r="J264" s="169" t="s">
        <v>2963</v>
      </c>
      <c r="K264" s="157" t="s">
        <v>2355</v>
      </c>
      <c r="L264" s="166">
        <v>1300192130</v>
      </c>
      <c r="M264" s="166">
        <v>12040905</v>
      </c>
      <c r="N264" s="167">
        <v>185123.05</v>
      </c>
      <c r="O264" s="167">
        <v>209189.05</v>
      </c>
      <c r="P264" s="167">
        <v>185123.05</v>
      </c>
      <c r="Q264" s="167"/>
      <c r="R264" s="167">
        <f t="shared" si="21"/>
        <v>185123.05</v>
      </c>
      <c r="S264" s="178">
        <f>IFERROR(VLOOKUP(G264,'附表8-合同明细采集底稿'!B:N,12,0),100%)</f>
        <v>1</v>
      </c>
      <c r="T264" s="167">
        <f t="shared" si="19"/>
        <v>185123.05</v>
      </c>
      <c r="U264" s="157" t="s">
        <v>2416</v>
      </c>
      <c r="V264" s="179" t="s">
        <v>374</v>
      </c>
      <c r="W264" s="182">
        <f>ROUND(T264*成本分摊比例!$G$13/(成本分摊比例!$G$13+成本分摊比例!$H$13+成本分摊比例!$I$13),2)</f>
        <v>100022.31</v>
      </c>
      <c r="X264" s="182">
        <f>ROUND(T264*成本分摊比例!$H$13/(成本分摊比例!$G$13+成本分摊比例!$H$13+成本分摊比例!$I$13),2)</f>
        <v>66177.52</v>
      </c>
      <c r="Y264" s="182">
        <f>T264-W264-X264</f>
        <v>18923.22</v>
      </c>
      <c r="Z264" s="183" t="s">
        <v>2406</v>
      </c>
      <c r="AA264" s="157"/>
      <c r="AB264" s="184" t="s">
        <v>2319</v>
      </c>
      <c r="AC264" s="132">
        <f t="shared" ref="AC264:AC327" si="26">T264-W264-X264-Y264</f>
        <v>0</v>
      </c>
    </row>
    <row r="265" s="132" customFormat="1" ht="24" customHeight="1" spans="1:29">
      <c r="A265" s="150">
        <v>259</v>
      </c>
      <c r="B265" s="166" t="s">
        <v>3078</v>
      </c>
      <c r="C265" s="166" t="s">
        <v>3088</v>
      </c>
      <c r="D265" s="157" t="s">
        <v>2339</v>
      </c>
      <c r="E265" s="158" t="s">
        <v>2351</v>
      </c>
      <c r="F265" s="189" t="s">
        <v>3089</v>
      </c>
      <c r="G265" s="156" t="s">
        <v>2377</v>
      </c>
      <c r="H265" s="157" t="str">
        <f>IF(G265="","",VLOOKUP(G265,'附表8-合同明细采集底稿'!B:I,2,0))</f>
        <v>建设工程设计合同（专业建设工程）</v>
      </c>
      <c r="I265" s="165" t="str">
        <f>IF(G265="","",VLOOKUP(G265,'附表8-合同明细采集底稿'!B:I,3,0))</f>
        <v>技术合同</v>
      </c>
      <c r="J265" s="187" t="s">
        <v>2378</v>
      </c>
      <c r="K265" s="157" t="s">
        <v>2355</v>
      </c>
      <c r="L265" s="166">
        <v>3400194130</v>
      </c>
      <c r="M265" s="166">
        <v>15984650</v>
      </c>
      <c r="N265" s="167">
        <v>0</v>
      </c>
      <c r="O265" s="167">
        <v>1698.11</v>
      </c>
      <c r="P265" s="167">
        <v>28301.89</v>
      </c>
      <c r="Q265" s="167">
        <v>-28301.89</v>
      </c>
      <c r="R265" s="167">
        <f t="shared" si="21"/>
        <v>0</v>
      </c>
      <c r="S265" s="178">
        <f>IFERROR(VLOOKUP(G265,'附表8-合同明细采集底稿'!B:N,12,0),100%)</f>
        <v>0.338555832480367</v>
      </c>
      <c r="T265" s="167">
        <f t="shared" si="19"/>
        <v>0</v>
      </c>
      <c r="U265" s="157" t="s">
        <v>2318</v>
      </c>
      <c r="V265" s="179" t="s">
        <v>375</v>
      </c>
      <c r="W265" s="180">
        <f>IF('附表1-面积统计表'!$D$29=0,"",IF(AND(V265="共同成本费用",Z265="总建筑面积法"),ROUND(T265/'附表1-面积统计表'!$D$29*'附表1-面积统计表'!$D$5,2),IF(AND(V265="共同成本费用",Z265="可售建筑面积法"),ROUND(T265/'附表1-面积统计表'!$F$29*'附表1-面积统计表'!$F$5,2),"请手工填写")))</f>
        <v>0</v>
      </c>
      <c r="X265" s="180">
        <f>IF(SUM('附表1-面积统计表'!$D$6)=0,"",SUM(T265)-SUM(W265)-SUM(Y265))</f>
        <v>0</v>
      </c>
      <c r="Y265" s="180">
        <f>IF(SUM('附表1-面积统计表'!$D$6)=0,SUM(T265)-SUM(W265),IF('附表1-面积统计表'!$D$29=0,"",IF(AND(V265="共同成本费用",Z265="总建筑面积法"),ROUND(T265/'附表1-面积统计表'!$D$29*'附表1-面积统计表'!$D$7,2),IF(AND(V265="共同成本费用",Z265="可售建筑面积法"),ROUND(T265/'附表1-面积统计表'!$F$29*'附表1-面积统计表'!$F$7,2),"请手工填写"))))</f>
        <v>0</v>
      </c>
      <c r="Z265" s="183" t="s">
        <v>351</v>
      </c>
      <c r="AA265" s="157"/>
      <c r="AB265" s="184" t="s">
        <v>2319</v>
      </c>
      <c r="AC265" s="132">
        <f t="shared" si="26"/>
        <v>0</v>
      </c>
    </row>
    <row r="266" s="132" customFormat="1" ht="24" customHeight="1" spans="1:29">
      <c r="A266" s="150">
        <v>260</v>
      </c>
      <c r="B266" s="166" t="s">
        <v>3090</v>
      </c>
      <c r="C266" s="166" t="s">
        <v>3091</v>
      </c>
      <c r="D266" s="157" t="s">
        <v>2346</v>
      </c>
      <c r="E266" s="158" t="s">
        <v>2453</v>
      </c>
      <c r="F266" s="189" t="s">
        <v>3092</v>
      </c>
      <c r="G266" s="156" t="s">
        <v>3040</v>
      </c>
      <c r="H266" s="157" t="str">
        <f>IF(G266="","",VLOOKUP(G266,'附表8-合同明细采集底稿'!B:I,2,0))</f>
        <v>19#20#23、24楼中间干挂石材</v>
      </c>
      <c r="I266" s="165" t="str">
        <f>IF(G266="","",VLOOKUP(G266,'附表8-合同明细采集底稿'!B:I,3,0))</f>
        <v>其他合同</v>
      </c>
      <c r="J266" s="169" t="s">
        <v>3041</v>
      </c>
      <c r="K266" s="157" t="s">
        <v>2355</v>
      </c>
      <c r="L266" s="166">
        <v>6500193130</v>
      </c>
      <c r="M266" s="555" t="s">
        <v>3093</v>
      </c>
      <c r="N266" s="167">
        <v>41089.11</v>
      </c>
      <c r="O266" s="167">
        <v>41500</v>
      </c>
      <c r="P266" s="167">
        <v>41089.11</v>
      </c>
      <c r="Q266" s="167"/>
      <c r="R266" s="167">
        <f t="shared" si="21"/>
        <v>41089.11</v>
      </c>
      <c r="S266" s="178">
        <f>IFERROR(VLOOKUP(G266,'附表8-合同明细采集底稿'!B:N,12,0),100%)</f>
        <v>1</v>
      </c>
      <c r="T266" s="167">
        <f t="shared" si="19"/>
        <v>41089.11</v>
      </c>
      <c r="U266" s="157" t="s">
        <v>2416</v>
      </c>
      <c r="V266" s="179" t="s">
        <v>374</v>
      </c>
      <c r="W266" s="182">
        <f>ROUND(T266*成本分摊比例!$G$13/(成本分摊比例!$G$13+成本分摊比例!$H$13+成本分摊比例!$I$13),2)</f>
        <v>22200.52</v>
      </c>
      <c r="X266" s="182">
        <f>ROUND(T266*成本分摊比例!$H$13/(成本分摊比例!$G$13+成本分摊比例!$H$13+成本分摊比例!$I$13),2)</f>
        <v>14688.47</v>
      </c>
      <c r="Y266" s="182">
        <f>T266-W266-X266</f>
        <v>4200.12</v>
      </c>
      <c r="Z266" s="183" t="s">
        <v>2406</v>
      </c>
      <c r="AA266" s="157"/>
      <c r="AB266" s="184" t="s">
        <v>2319</v>
      </c>
      <c r="AC266" s="132">
        <f t="shared" si="26"/>
        <v>0</v>
      </c>
    </row>
    <row r="267" s="132" customFormat="1" ht="24" customHeight="1" spans="1:29">
      <c r="A267" s="150">
        <v>261</v>
      </c>
      <c r="B267" s="166" t="s">
        <v>3090</v>
      </c>
      <c r="C267" s="166" t="s">
        <v>3094</v>
      </c>
      <c r="D267" s="157" t="s">
        <v>2331</v>
      </c>
      <c r="E267" s="158" t="s">
        <v>3095</v>
      </c>
      <c r="F267" s="189" t="s">
        <v>3096</v>
      </c>
      <c r="G267" s="156" t="s">
        <v>3097</v>
      </c>
      <c r="H267" s="157" t="str">
        <f>IF(G267="","",VLOOKUP(G267,'附表8-合同明细采集底稿'!B:I,2,0))</f>
        <v>沁春锦苑大门铝版合同</v>
      </c>
      <c r="I267" s="165" t="str">
        <f>IF(G267="","",VLOOKUP(G267,'附表8-合同明细采集底稿'!B:I,3,0))</f>
        <v>买卖合同</v>
      </c>
      <c r="J267" s="187" t="s">
        <v>3098</v>
      </c>
      <c r="K267" s="157" t="s">
        <v>2355</v>
      </c>
      <c r="L267" s="166">
        <v>4100193130</v>
      </c>
      <c r="M267" s="555" t="s">
        <v>3099</v>
      </c>
      <c r="N267" s="167">
        <v>5512.39</v>
      </c>
      <c r="O267" s="167">
        <v>6229</v>
      </c>
      <c r="P267" s="167">
        <v>5512.39</v>
      </c>
      <c r="Q267" s="167"/>
      <c r="R267" s="167">
        <f t="shared" si="21"/>
        <v>5512.39</v>
      </c>
      <c r="S267" s="178">
        <f>IFERROR(VLOOKUP(G267,'附表8-合同明细采集底稿'!B:N,12,0),100%)</f>
        <v>1</v>
      </c>
      <c r="T267" s="167">
        <f t="shared" si="19"/>
        <v>5512.39</v>
      </c>
      <c r="U267" s="157" t="s">
        <v>2344</v>
      </c>
      <c r="V267" s="179" t="s">
        <v>375</v>
      </c>
      <c r="W267" s="180">
        <f>IF('附表1-面积统计表'!$D$29=0,"",IF(AND(V267="共同成本费用",Z267="总建筑面积法"),ROUND(T267/'附表1-面积统计表'!$D$29*'附表1-面积统计表'!$D$5,2),IF(AND(V267="共同成本费用",Z267="可售建筑面积法"),ROUND(T267/'附表1-面积统计表'!$F$29*'附表1-面积统计表'!$F$5,2),"请手工填写")))</f>
        <v>2670.55</v>
      </c>
      <c r="X267" s="180">
        <f>IF(SUM('附表1-面积统计表'!$D$6)=0,"",SUM(T267)-SUM(W267)-SUM(Y267))</f>
        <v>1766.91</v>
      </c>
      <c r="Y267" s="180">
        <f>IF(SUM('附表1-面积统计表'!$D$6)=0,SUM(T267)-SUM(W267),IF('附表1-面积统计表'!$D$29=0,"",IF(AND(V267="共同成本费用",Z267="总建筑面积法"),ROUND(T267/'附表1-面积统计表'!$D$29*'附表1-面积统计表'!$D$7,2),IF(AND(V267="共同成本费用",Z267="可售建筑面积法"),ROUND(T267/'附表1-面积统计表'!$F$29*'附表1-面积统计表'!$F$7,2),"请手工填写"))))</f>
        <v>1074.93</v>
      </c>
      <c r="Z267" s="183" t="s">
        <v>351</v>
      </c>
      <c r="AA267" s="157"/>
      <c r="AB267" s="184" t="s">
        <v>2319</v>
      </c>
      <c r="AC267" s="132">
        <f t="shared" si="26"/>
        <v>0</v>
      </c>
    </row>
    <row r="268" s="132" customFormat="1" ht="24" customHeight="1" spans="1:29">
      <c r="A268" s="150">
        <v>262</v>
      </c>
      <c r="B268" s="166" t="s">
        <v>171</v>
      </c>
      <c r="C268" s="166" t="s">
        <v>3100</v>
      </c>
      <c r="D268" s="157" t="s">
        <v>2346</v>
      </c>
      <c r="E268" s="158" t="s">
        <v>2506</v>
      </c>
      <c r="F268" s="189" t="s">
        <v>3101</v>
      </c>
      <c r="G268" s="156" t="s">
        <v>2543</v>
      </c>
      <c r="H268" s="157" t="str">
        <f>IF(G268="","",VLOOKUP(G268,'附表8-合同明细采集底稿'!B:I,2,0))</f>
        <v>供水管道安装（自来水接口）</v>
      </c>
      <c r="I268" s="165" t="str">
        <f>IF(G268="","",VLOOKUP(G268,'附表8-合同明细采集底稿'!B:I,3,0))</f>
        <v>其他合同</v>
      </c>
      <c r="J268" s="169" t="s">
        <v>2544</v>
      </c>
      <c r="K268" s="157" t="s">
        <v>2355</v>
      </c>
      <c r="L268" s="166">
        <v>6500193130</v>
      </c>
      <c r="M268" s="555" t="s">
        <v>3102</v>
      </c>
      <c r="N268" s="167">
        <v>1865.27</v>
      </c>
      <c r="O268" s="167">
        <v>2033.14</v>
      </c>
      <c r="P268" s="167">
        <v>1865.27</v>
      </c>
      <c r="Q268" s="167">
        <v>-1865.27</v>
      </c>
      <c r="R268" s="167">
        <f t="shared" si="21"/>
        <v>0</v>
      </c>
      <c r="S268" s="178">
        <f>IFERROR(VLOOKUP(G268,'附表8-合同明细采集底稿'!B:N,12,0),100%)</f>
        <v>0.338555832480367</v>
      </c>
      <c r="T268" s="167">
        <f t="shared" si="19"/>
        <v>0</v>
      </c>
      <c r="U268" s="157" t="s">
        <v>2318</v>
      </c>
      <c r="V268" s="179" t="s">
        <v>375</v>
      </c>
      <c r="W268" s="180">
        <f>IF('附表1-面积统计表'!$D$29=0,"",IF(AND(V268="共同成本费用",Z268="总建筑面积法"),ROUND(T268/'附表1-面积统计表'!$D$29*'附表1-面积统计表'!$D$5,2),IF(AND(V268="共同成本费用",Z268="可售建筑面积法"),ROUND(T268/'附表1-面积统计表'!$F$29*'附表1-面积统计表'!$F$5,2),"请手工填写")))</f>
        <v>0</v>
      </c>
      <c r="X268" s="180">
        <f>IF(SUM('附表1-面积统计表'!$D$6)=0,"",SUM(T268)-SUM(W268)-SUM(Y268))</f>
        <v>0</v>
      </c>
      <c r="Y268" s="180">
        <f>IF(SUM('附表1-面积统计表'!$D$6)=0,SUM(T268)-SUM(W268),IF('附表1-面积统计表'!$D$29=0,"",IF(AND(V268="共同成本费用",Z268="总建筑面积法"),ROUND(T268/'附表1-面积统计表'!$D$29*'附表1-面积统计表'!$D$7,2),IF(AND(V268="共同成本费用",Z268="可售建筑面积法"),ROUND(T268/'附表1-面积统计表'!$F$29*'附表1-面积统计表'!$F$7,2),"请手工填写"))))</f>
        <v>0</v>
      </c>
      <c r="Z268" s="183" t="s">
        <v>351</v>
      </c>
      <c r="AA268" s="157"/>
      <c r="AB268" s="184" t="s">
        <v>2319</v>
      </c>
      <c r="AC268" s="132">
        <f t="shared" si="26"/>
        <v>0</v>
      </c>
    </row>
    <row r="269" s="132" customFormat="1" ht="24" customHeight="1" spans="1:29">
      <c r="A269" s="150">
        <v>263</v>
      </c>
      <c r="B269" s="166" t="s">
        <v>3103</v>
      </c>
      <c r="C269" s="166" t="s">
        <v>2937</v>
      </c>
      <c r="D269" s="157" t="s">
        <v>2533</v>
      </c>
      <c r="E269" s="158" t="s">
        <v>2564</v>
      </c>
      <c r="F269" s="189" t="s">
        <v>3104</v>
      </c>
      <c r="G269" s="156" t="s">
        <v>2900</v>
      </c>
      <c r="H269" s="157" t="str">
        <f>IF(G269="","",VLOOKUP(G269,'附表8-合同明细采集底稿'!B:I,2,0))</f>
        <v>沁春锦苑25、26、28#施工协议</v>
      </c>
      <c r="I269" s="165" t="str">
        <f>IF(G269="","",VLOOKUP(G269,'附表8-合同明细采集底稿'!B:I,3,0))</f>
        <v>建设工程合同</v>
      </c>
      <c r="J269" s="187" t="s">
        <v>144</v>
      </c>
      <c r="K269" s="157" t="s">
        <v>2355</v>
      </c>
      <c r="L269" s="191">
        <v>6500193130</v>
      </c>
      <c r="M269" s="155" t="s">
        <v>3105</v>
      </c>
      <c r="N269" s="167">
        <v>2295883.66</v>
      </c>
      <c r="O269" s="167">
        <v>2502513.2</v>
      </c>
      <c r="P269" s="167">
        <v>2295883.66</v>
      </c>
      <c r="Q269" s="167"/>
      <c r="R269" s="167">
        <f t="shared" si="21"/>
        <v>2295883.66</v>
      </c>
      <c r="S269" s="178">
        <f>IFERROR(VLOOKUP(G269,'附表8-合同明细采集底稿'!B:N,12,0),100%)</f>
        <v>1</v>
      </c>
      <c r="T269" s="167">
        <f t="shared" ref="T269:T277" si="27">ROUND(SUM(R269)*SUM(S269),2)</f>
        <v>2295883.66</v>
      </c>
      <c r="U269" s="157" t="s">
        <v>2416</v>
      </c>
      <c r="V269" s="179" t="s">
        <v>374</v>
      </c>
      <c r="W269" s="182">
        <f>ROUND(T269*成本分摊比例!$G$13/(成本分摊比例!$G$13+成本分摊比例!$H$13+成本分摊比例!$I$13),2)</f>
        <v>1240470.02</v>
      </c>
      <c r="X269" s="182">
        <f>ROUND(T269*成本分摊比例!$H$13/(成本分摊比例!$G$13+成本分摊比例!$H$13+成本分摊比例!$I$13),2)</f>
        <v>820729.13</v>
      </c>
      <c r="Y269" s="182">
        <f>T269-W269-X269</f>
        <v>234684.51</v>
      </c>
      <c r="Z269" s="183" t="s">
        <v>2406</v>
      </c>
      <c r="AA269" s="157"/>
      <c r="AB269" s="184" t="s">
        <v>2319</v>
      </c>
      <c r="AC269" s="132">
        <f t="shared" si="26"/>
        <v>0</v>
      </c>
    </row>
    <row r="270" s="132" customFormat="1" ht="24" customHeight="1" spans="1:29">
      <c r="A270" s="150">
        <v>264</v>
      </c>
      <c r="B270" s="166" t="s">
        <v>3106</v>
      </c>
      <c r="C270" s="166" t="s">
        <v>3107</v>
      </c>
      <c r="D270" s="157" t="s">
        <v>2339</v>
      </c>
      <c r="E270" s="158" t="s">
        <v>2363</v>
      </c>
      <c r="F270" s="189" t="s">
        <v>3108</v>
      </c>
      <c r="G270" s="156"/>
      <c r="H270" s="157" t="str">
        <f>IF(G270="","",VLOOKUP(G270,'附表8-合同明细采集底稿'!B:I,2,0))</f>
        <v/>
      </c>
      <c r="I270" s="165" t="str">
        <f>IF(G270="","",VLOOKUP(G270,'附表8-合同明细采集底稿'!B:I,3,0))</f>
        <v/>
      </c>
      <c r="J270" s="187" t="s">
        <v>2366</v>
      </c>
      <c r="K270" s="157" t="s">
        <v>2355</v>
      </c>
      <c r="L270" s="166">
        <v>6500193130</v>
      </c>
      <c r="M270" s="555" t="s">
        <v>3109</v>
      </c>
      <c r="N270" s="167">
        <v>1733.02</v>
      </c>
      <c r="O270" s="167">
        <v>1837</v>
      </c>
      <c r="P270" s="167">
        <v>1733.02</v>
      </c>
      <c r="Q270" s="167">
        <v>-1733.02</v>
      </c>
      <c r="R270" s="167">
        <f t="shared" si="21"/>
        <v>0</v>
      </c>
      <c r="S270" s="178">
        <v>1</v>
      </c>
      <c r="T270" s="167">
        <f t="shared" si="27"/>
        <v>0</v>
      </c>
      <c r="U270" s="157" t="s">
        <v>2344</v>
      </c>
      <c r="V270" s="179" t="s">
        <v>375</v>
      </c>
      <c r="W270" s="180">
        <f>IF('附表1-面积统计表'!$D$29=0,"",IF(AND(V270="共同成本费用",Z270="总建筑面积法"),ROUND(T270/'附表1-面积统计表'!$D$29*'附表1-面积统计表'!$D$5,2),IF(AND(V270="共同成本费用",Z270="可售建筑面积法"),ROUND(T270/'附表1-面积统计表'!$F$29*'附表1-面积统计表'!$F$5,2),"请手工填写")))</f>
        <v>0</v>
      </c>
      <c r="X270" s="180">
        <f>IF(SUM('附表1-面积统计表'!$D$6)=0,"",SUM(T270)-SUM(W270)-SUM(Y270))</f>
        <v>0</v>
      </c>
      <c r="Y270" s="180">
        <f>IF(SUM('附表1-面积统计表'!$D$6)=0,SUM(T270)-SUM(W270),IF('附表1-面积统计表'!$D$29=0,"",IF(AND(V270="共同成本费用",Z270="总建筑面积法"),ROUND(T270/'附表1-面积统计表'!$D$29*'附表1-面积统计表'!$D$7,2),IF(AND(V270="共同成本费用",Z270="可售建筑面积法"),ROUND(T270/'附表1-面积统计表'!$F$29*'附表1-面积统计表'!$F$7,2),"请手工填写"))))</f>
        <v>0</v>
      </c>
      <c r="Z270" s="183" t="s">
        <v>351</v>
      </c>
      <c r="AA270" s="157"/>
      <c r="AB270" s="184" t="s">
        <v>2319</v>
      </c>
      <c r="AC270" s="132">
        <f t="shared" si="26"/>
        <v>0</v>
      </c>
    </row>
    <row r="271" s="132" customFormat="1" ht="24" customHeight="1" spans="1:29">
      <c r="A271" s="150">
        <v>265</v>
      </c>
      <c r="B271" s="166" t="s">
        <v>3106</v>
      </c>
      <c r="C271" s="166" t="s">
        <v>3110</v>
      </c>
      <c r="D271" s="157" t="s">
        <v>2331</v>
      </c>
      <c r="E271" s="158" t="s">
        <v>3111</v>
      </c>
      <c r="F271" s="189" t="s">
        <v>3112</v>
      </c>
      <c r="G271" s="156" t="s">
        <v>3113</v>
      </c>
      <c r="H271" s="157" t="str">
        <f>IF(G271="","",VLOOKUP(G271,'附表8-合同明细采集底稿'!B:I,2,0))</f>
        <v>建设工程设计合同（民用建设工程设计合同）</v>
      </c>
      <c r="I271" s="165" t="str">
        <f>IF(G271="","",VLOOKUP(G271,'附表8-合同明细采集底稿'!B:I,3,0))</f>
        <v>技术合同</v>
      </c>
      <c r="J271" s="187" t="s">
        <v>3114</v>
      </c>
      <c r="K271" s="157" t="s">
        <v>2355</v>
      </c>
      <c r="L271" s="166">
        <v>6500193130</v>
      </c>
      <c r="M271" s="555" t="s">
        <v>3115</v>
      </c>
      <c r="N271" s="167">
        <v>49900.99</v>
      </c>
      <c r="O271" s="167">
        <v>50400</v>
      </c>
      <c r="P271" s="167">
        <v>49900.99</v>
      </c>
      <c r="Q271" s="167"/>
      <c r="R271" s="167">
        <f t="shared" si="21"/>
        <v>49900.99</v>
      </c>
      <c r="S271" s="178">
        <f>IFERROR(VLOOKUP(G271,'附表8-合同明细采集底稿'!B:N,12,0),100%)</f>
        <v>0.109829243890136</v>
      </c>
      <c r="T271" s="167">
        <f t="shared" si="27"/>
        <v>5480.59</v>
      </c>
      <c r="U271" s="157" t="s">
        <v>3116</v>
      </c>
      <c r="V271" s="179" t="s">
        <v>374</v>
      </c>
      <c r="W271" s="181">
        <f>ROUND(T271*0.8162,2)</f>
        <v>4473.26</v>
      </c>
      <c r="X271" s="181">
        <v>0</v>
      </c>
      <c r="Y271" s="181">
        <f>T271-W271</f>
        <v>1007.33</v>
      </c>
      <c r="Z271" s="183" t="s">
        <v>2406</v>
      </c>
      <c r="AA271" s="157"/>
      <c r="AB271" s="184" t="s">
        <v>2319</v>
      </c>
      <c r="AC271" s="132">
        <f t="shared" si="26"/>
        <v>0</v>
      </c>
    </row>
    <row r="272" s="132" customFormat="1" ht="24" customHeight="1" spans="1:29">
      <c r="A272" s="150">
        <v>266</v>
      </c>
      <c r="B272" s="166" t="s">
        <v>3106</v>
      </c>
      <c r="C272" s="166" t="s">
        <v>3117</v>
      </c>
      <c r="D272" s="157" t="s">
        <v>2346</v>
      </c>
      <c r="E272" s="158" t="s">
        <v>2501</v>
      </c>
      <c r="F272" s="189" t="s">
        <v>3118</v>
      </c>
      <c r="G272" s="156" t="s">
        <v>3119</v>
      </c>
      <c r="H272" s="157" t="str">
        <f>IF(G272="","",VLOOKUP(G272,'附表8-合同明细采集底稿'!B:I,2,0))</f>
        <v>PE管300*117米、110*1434米、闸阀110*1个</v>
      </c>
      <c r="I272" s="165" t="str">
        <f>IF(G272="","",VLOOKUP(G272,'附表8-合同明细采集底稿'!B:I,3,0))</f>
        <v>其他合同</v>
      </c>
      <c r="J272" s="190" t="s">
        <v>3120</v>
      </c>
      <c r="K272" s="157" t="s">
        <v>2355</v>
      </c>
      <c r="L272" s="166">
        <v>6500192160</v>
      </c>
      <c r="M272" s="555" t="s">
        <v>3121</v>
      </c>
      <c r="N272" s="167">
        <v>17821.78</v>
      </c>
      <c r="O272" s="167">
        <v>18000</v>
      </c>
      <c r="P272" s="167">
        <v>17821.78</v>
      </c>
      <c r="Q272" s="167"/>
      <c r="R272" s="167">
        <f t="shared" si="21"/>
        <v>17821.78</v>
      </c>
      <c r="S272" s="178">
        <f>IFERROR(VLOOKUP(G272,'附表8-合同明细采集底稿'!B:N,12,0),100%)</f>
        <v>1</v>
      </c>
      <c r="T272" s="167">
        <f t="shared" si="27"/>
        <v>17821.78</v>
      </c>
      <c r="U272" s="157" t="s">
        <v>2344</v>
      </c>
      <c r="V272" s="179" t="s">
        <v>375</v>
      </c>
      <c r="W272" s="180">
        <f>IF('附表1-面积统计表'!$D$29=0,"",IF(AND(V272="共同成本费用",Z272="总建筑面积法"),ROUND(T272/'附表1-面积统计表'!$D$29*'附表1-面积统计表'!$D$5,2),IF(AND(V272="共同成本费用",Z272="可售建筑面积法"),ROUND(T272/'附表1-面积统计表'!$F$29*'附表1-面积统计表'!$F$5,2),"请手工填写")))</f>
        <v>8633.99</v>
      </c>
      <c r="X272" s="180">
        <f>IF(SUM('附表1-面积统计表'!$D$6)=0,"",SUM(T272)-SUM(W272)-SUM(Y272))</f>
        <v>5712.49</v>
      </c>
      <c r="Y272" s="180">
        <f>IF(SUM('附表1-面积统计表'!$D$6)=0,SUM(T272)-SUM(W272),IF('附表1-面积统计表'!$D$29=0,"",IF(AND(V272="共同成本费用",Z272="总建筑面积法"),ROUND(T272/'附表1-面积统计表'!$D$29*'附表1-面积统计表'!$D$7,2),IF(AND(V272="共同成本费用",Z272="可售建筑面积法"),ROUND(T272/'附表1-面积统计表'!$F$29*'附表1-面积统计表'!$F$7,2),"请手工填写"))))</f>
        <v>3475.3</v>
      </c>
      <c r="Z272" s="183" t="s">
        <v>351</v>
      </c>
      <c r="AA272" s="157"/>
      <c r="AB272" s="184" t="s">
        <v>2319</v>
      </c>
      <c r="AC272" s="132">
        <f t="shared" si="26"/>
        <v>0</v>
      </c>
    </row>
    <row r="273" s="132" customFormat="1" ht="24" customHeight="1" spans="1:29">
      <c r="A273" s="150">
        <v>267</v>
      </c>
      <c r="B273" s="166" t="s">
        <v>3106</v>
      </c>
      <c r="C273" s="166" t="s">
        <v>3122</v>
      </c>
      <c r="D273" s="157" t="s">
        <v>2533</v>
      </c>
      <c r="E273" s="158" t="s">
        <v>2564</v>
      </c>
      <c r="F273" s="189" t="s">
        <v>3123</v>
      </c>
      <c r="G273" s="156" t="s">
        <v>2900</v>
      </c>
      <c r="H273" s="157" t="str">
        <f>IF(G273="","",VLOOKUP(G273,'附表8-合同明细采集底稿'!B:I,2,0))</f>
        <v>沁春锦苑25、26、28#施工协议</v>
      </c>
      <c r="I273" s="165" t="str">
        <f>IF(G273="","",VLOOKUP(G273,'附表8-合同明细采集底稿'!B:I,3,0))</f>
        <v>建设工程合同</v>
      </c>
      <c r="J273" s="187" t="s">
        <v>144</v>
      </c>
      <c r="K273" s="157" t="s">
        <v>2355</v>
      </c>
      <c r="L273" s="166" t="s">
        <v>2367</v>
      </c>
      <c r="M273" s="155" t="s">
        <v>3124</v>
      </c>
      <c r="N273" s="167">
        <v>1834862.38</v>
      </c>
      <c r="O273" s="167">
        <v>2000000</v>
      </c>
      <c r="P273" s="167">
        <v>1834862.38</v>
      </c>
      <c r="Q273" s="167"/>
      <c r="R273" s="167">
        <f t="shared" si="21"/>
        <v>1834862.38</v>
      </c>
      <c r="S273" s="178">
        <f>IFERROR(VLOOKUP(G273,'附表8-合同明细采集底稿'!B:N,12,0),100%)</f>
        <v>1</v>
      </c>
      <c r="T273" s="167">
        <f t="shared" si="27"/>
        <v>1834862.38</v>
      </c>
      <c r="U273" s="157" t="s">
        <v>2416</v>
      </c>
      <c r="V273" s="179" t="s">
        <v>374</v>
      </c>
      <c r="W273" s="182">
        <f>ROUND(T273*成本分摊比例!$G$13/(成本分摊比例!$G$13+成本分摊比例!$H$13+成本分摊比例!$I$13),2)</f>
        <v>991379.4</v>
      </c>
      <c r="X273" s="182">
        <f>ROUND(T273*成本分摊比例!$H$13/(成本分摊比例!$G$13+成本分摊比例!$H$13+成本分摊比例!$I$13),2)</f>
        <v>655923.92</v>
      </c>
      <c r="Y273" s="182">
        <f>T273-W273-X273</f>
        <v>187559.06</v>
      </c>
      <c r="Z273" s="183" t="s">
        <v>2406</v>
      </c>
      <c r="AA273" s="157"/>
      <c r="AB273" s="184" t="s">
        <v>2319</v>
      </c>
      <c r="AC273" s="132">
        <f t="shared" si="26"/>
        <v>0</v>
      </c>
    </row>
    <row r="274" s="132" customFormat="1" ht="24" customHeight="1" spans="1:29">
      <c r="A274" s="150">
        <v>268</v>
      </c>
      <c r="B274" s="166" t="s">
        <v>3125</v>
      </c>
      <c r="C274" s="166" t="s">
        <v>3126</v>
      </c>
      <c r="D274" s="157" t="s">
        <v>2346</v>
      </c>
      <c r="E274" s="158" t="s">
        <v>2347</v>
      </c>
      <c r="F274" s="189" t="s">
        <v>3127</v>
      </c>
      <c r="G274" s="156" t="s">
        <v>3128</v>
      </c>
      <c r="H274" s="157" t="str">
        <f>IF(G274="","",VLOOKUP(G274,'附表8-合同明细采集底稿'!B:I,2,0))</f>
        <v> 20#-24#东侧围挡制作</v>
      </c>
      <c r="I274" s="165" t="str">
        <f>IF(G274="","",VLOOKUP(G274,'附表8-合同明细采集底稿'!B:I,3,0))</f>
        <v>其他合同</v>
      </c>
      <c r="J274" s="165" t="s">
        <v>3129</v>
      </c>
      <c r="K274" s="157" t="s">
        <v>2355</v>
      </c>
      <c r="L274" s="166">
        <v>6500193160</v>
      </c>
      <c r="M274" s="555" t="s">
        <v>3130</v>
      </c>
      <c r="N274" s="167">
        <v>43584.16</v>
      </c>
      <c r="O274" s="167">
        <v>44020</v>
      </c>
      <c r="P274" s="167">
        <v>43584.16</v>
      </c>
      <c r="Q274" s="167"/>
      <c r="R274" s="167">
        <f t="shared" si="21"/>
        <v>43584.16</v>
      </c>
      <c r="S274" s="178">
        <f>IFERROR(VLOOKUP(G274,'附表8-合同明细采集底稿'!B:N,12,0),100%)</f>
        <v>1</v>
      </c>
      <c r="T274" s="167">
        <f t="shared" si="27"/>
        <v>43584.16</v>
      </c>
      <c r="U274" s="157" t="s">
        <v>2344</v>
      </c>
      <c r="V274" s="179" t="s">
        <v>375</v>
      </c>
      <c r="W274" s="180">
        <f>IF('附表1-面积统计表'!$D$29=0,"",IF(AND(V274="共同成本费用",Z274="总建筑面积法"),ROUND(T274/'附表1-面积统计表'!$D$29*'附表1-面积统计表'!$D$5,2),IF(AND(V274="共同成本费用",Z274="可售建筑面积法"),ROUND(T274/'附表1-面积统计表'!$F$29*'附表1-面积统计表'!$F$5,2),"请手工填写")))</f>
        <v>21114.92</v>
      </c>
      <c r="X274" s="180">
        <f>IF(SUM('附表1-面积统计表'!$D$6)=0,"",SUM(T274)-SUM(W274)-SUM(Y274))</f>
        <v>13970.21</v>
      </c>
      <c r="Y274" s="180">
        <f>IF(SUM('附表1-面积统计表'!$D$6)=0,SUM(T274)-SUM(W274),IF('附表1-面积统计表'!$D$29=0,"",IF(AND(V274="共同成本费用",Z274="总建筑面积法"),ROUND(T274/'附表1-面积统计表'!$D$29*'附表1-面积统计表'!$D$7,2),IF(AND(V274="共同成本费用",Z274="可售建筑面积法"),ROUND(T274/'附表1-面积统计表'!$F$29*'附表1-面积统计表'!$F$7,2),"请手工填写"))))</f>
        <v>8499.03</v>
      </c>
      <c r="Z274" s="183" t="s">
        <v>351</v>
      </c>
      <c r="AA274" s="157"/>
      <c r="AB274" s="184" t="s">
        <v>2319</v>
      </c>
      <c r="AC274" s="132">
        <f t="shared" si="26"/>
        <v>0</v>
      </c>
    </row>
    <row r="275" s="132" customFormat="1" ht="24" customHeight="1" spans="1:29">
      <c r="A275" s="150">
        <v>269</v>
      </c>
      <c r="B275" s="166" t="s">
        <v>3131</v>
      </c>
      <c r="C275" s="166" t="s">
        <v>3055</v>
      </c>
      <c r="D275" s="157" t="s">
        <v>2346</v>
      </c>
      <c r="E275" s="158" t="s">
        <v>2453</v>
      </c>
      <c r="F275" s="189" t="s">
        <v>3132</v>
      </c>
      <c r="G275" s="156" t="s">
        <v>3040</v>
      </c>
      <c r="H275" s="157" t="str">
        <f>IF(G275="","",VLOOKUP(G275,'附表8-合同明细采集底稿'!B:I,2,0))</f>
        <v>19#20#23、24楼中间干挂石材</v>
      </c>
      <c r="I275" s="165" t="str">
        <f>IF(G275="","",VLOOKUP(G275,'附表8-合同明细采集底稿'!B:I,3,0))</f>
        <v>其他合同</v>
      </c>
      <c r="J275" s="169" t="s">
        <v>3041</v>
      </c>
      <c r="K275" s="157" t="s">
        <v>2355</v>
      </c>
      <c r="L275" s="166">
        <v>6500193130</v>
      </c>
      <c r="M275" s="555" t="s">
        <v>3133</v>
      </c>
      <c r="N275" s="167">
        <v>9155.05</v>
      </c>
      <c r="O275" s="167">
        <v>9246.6</v>
      </c>
      <c r="P275" s="167">
        <v>9155.05</v>
      </c>
      <c r="Q275" s="167"/>
      <c r="R275" s="167">
        <f t="shared" si="21"/>
        <v>9155.05</v>
      </c>
      <c r="S275" s="178">
        <f>IFERROR(VLOOKUP(G275,'附表8-合同明细采集底稿'!B:N,12,0),100%)</f>
        <v>1</v>
      </c>
      <c r="T275" s="167">
        <f t="shared" si="27"/>
        <v>9155.05</v>
      </c>
      <c r="U275" s="157" t="s">
        <v>2416</v>
      </c>
      <c r="V275" s="179" t="s">
        <v>374</v>
      </c>
      <c r="W275" s="182">
        <f>ROUND(T275*成本分摊比例!$G$13/(成本分摊比例!$G$13+成本分摊比例!$H$13+成本分摊比例!$I$13),2)</f>
        <v>4946.49</v>
      </c>
      <c r="X275" s="182">
        <f>ROUND(T275*成本分摊比例!$H$13/(成本分摊比例!$G$13+成本分摊比例!$H$13+成本分摊比例!$I$13),2)</f>
        <v>3272.73</v>
      </c>
      <c r="Y275" s="182">
        <f>T275-W275-X275</f>
        <v>935.829999999999</v>
      </c>
      <c r="Z275" s="183" t="s">
        <v>2406</v>
      </c>
      <c r="AA275" s="157"/>
      <c r="AB275" s="184" t="s">
        <v>2319</v>
      </c>
      <c r="AC275" s="132">
        <f t="shared" si="26"/>
        <v>0</v>
      </c>
    </row>
    <row r="276" s="132" customFormat="1" ht="24" customHeight="1" spans="1:29">
      <c r="A276" s="150">
        <v>270</v>
      </c>
      <c r="B276" s="166" t="s">
        <v>3131</v>
      </c>
      <c r="C276" s="166" t="s">
        <v>3134</v>
      </c>
      <c r="D276" s="157" t="s">
        <v>2346</v>
      </c>
      <c r="E276" s="158" t="s">
        <v>3135</v>
      </c>
      <c r="F276" s="189" t="s">
        <v>3136</v>
      </c>
      <c r="G276" s="156" t="s">
        <v>3137</v>
      </c>
      <c r="H276" s="157" t="str">
        <f>IF(G276="","",VLOOKUP(G276,'附表8-合同明细采集底稿'!B:I,2,0))</f>
        <v>一体化预制泵站加工定作合同</v>
      </c>
      <c r="I276" s="165" t="str">
        <f>IF(G276="","",VLOOKUP(G276,'附表8-合同明细采集底稿'!B:I,3,0))</f>
        <v>其他合同</v>
      </c>
      <c r="J276" s="169" t="s">
        <v>3138</v>
      </c>
      <c r="K276" s="157" t="s">
        <v>2355</v>
      </c>
      <c r="L276" s="166">
        <v>1300193130</v>
      </c>
      <c r="M276" s="166">
        <v>16879747</v>
      </c>
      <c r="N276" s="167">
        <v>88495.58</v>
      </c>
      <c r="O276" s="167">
        <v>100000</v>
      </c>
      <c r="P276" s="167">
        <v>88495.58</v>
      </c>
      <c r="Q276" s="167"/>
      <c r="R276" s="167">
        <f t="shared" si="21"/>
        <v>88495.58</v>
      </c>
      <c r="S276" s="178">
        <f>IFERROR(VLOOKUP(G276,'附表8-合同明细采集底稿'!B:N,12,0),100%)</f>
        <v>0.338555832480367</v>
      </c>
      <c r="T276" s="167">
        <f t="shared" si="27"/>
        <v>29960.69</v>
      </c>
      <c r="U276" s="157" t="s">
        <v>2318</v>
      </c>
      <c r="V276" s="179" t="s">
        <v>375</v>
      </c>
      <c r="W276" s="180">
        <f>IF('附表1-面积统计表'!$D$29=0,"",IF(AND(V276="共同成本费用",Z276="总建筑面积法"),ROUND(T276/'附表1-面积统计表'!$D$29*'附表1-面积统计表'!$D$5,2),IF(AND(V276="共同成本费用",Z276="可售建筑面积法"),ROUND(T276/'附表1-面积统计表'!$F$29*'附表1-面积统计表'!$F$5,2),"请手工填写")))</f>
        <v>14514.85</v>
      </c>
      <c r="X276" s="180">
        <f>IF(SUM('附表1-面积统计表'!$D$6)=0,"",SUM(T276)-SUM(W276)-SUM(Y276))</f>
        <v>9603.42</v>
      </c>
      <c r="Y276" s="180">
        <f>IF(SUM('附表1-面积统计表'!$D$6)=0,SUM(T276)-SUM(W276),IF('附表1-面积统计表'!$D$29=0,"",IF(AND(V276="共同成本费用",Z276="总建筑面积法"),ROUND(T276/'附表1-面积统计表'!$D$29*'附表1-面积统计表'!$D$7,2),IF(AND(V276="共同成本费用",Z276="可售建筑面积法"),ROUND(T276/'附表1-面积统计表'!$F$29*'附表1-面积统计表'!$F$7,2),"请手工填写"))))</f>
        <v>5842.42</v>
      </c>
      <c r="Z276" s="183" t="s">
        <v>351</v>
      </c>
      <c r="AA276" s="157"/>
      <c r="AB276" s="184" t="s">
        <v>2319</v>
      </c>
      <c r="AC276" s="132">
        <f t="shared" si="26"/>
        <v>0</v>
      </c>
    </row>
    <row r="277" s="132" customFormat="1" ht="24" customHeight="1" spans="1:29">
      <c r="A277" s="150">
        <v>271</v>
      </c>
      <c r="B277" s="166" t="s">
        <v>3139</v>
      </c>
      <c r="C277" s="166" t="s">
        <v>3140</v>
      </c>
      <c r="D277" s="157" t="s">
        <v>2533</v>
      </c>
      <c r="E277" s="158" t="s">
        <v>2564</v>
      </c>
      <c r="F277" s="189" t="s">
        <v>3141</v>
      </c>
      <c r="G277" s="156" t="s">
        <v>2900</v>
      </c>
      <c r="H277" s="157" t="str">
        <f>IF(G277="","",VLOOKUP(G277,'附表8-合同明细采集底稿'!B:I,2,0))</f>
        <v>沁春锦苑25、26、28#施工协议</v>
      </c>
      <c r="I277" s="165" t="str">
        <f>IF(G277="","",VLOOKUP(G277,'附表8-合同明细采集底稿'!B:I,3,0))</f>
        <v>建设工程合同</v>
      </c>
      <c r="J277" s="187" t="s">
        <v>144</v>
      </c>
      <c r="K277" s="157" t="s">
        <v>2355</v>
      </c>
      <c r="L277" s="166">
        <v>6500193130</v>
      </c>
      <c r="M277" s="555" t="s">
        <v>3142</v>
      </c>
      <c r="N277" s="167">
        <v>591649.27</v>
      </c>
      <c r="O277" s="167">
        <v>644897.7</v>
      </c>
      <c r="P277" s="167">
        <v>591649.27</v>
      </c>
      <c r="Q277" s="167"/>
      <c r="R277" s="167">
        <f t="shared" si="21"/>
        <v>591649.27</v>
      </c>
      <c r="S277" s="178">
        <f>IFERROR(VLOOKUP(G277,'附表8-合同明细采集底稿'!B:N,12,0),100%)</f>
        <v>1</v>
      </c>
      <c r="T277" s="167">
        <f t="shared" si="27"/>
        <v>591649.27</v>
      </c>
      <c r="U277" s="157" t="s">
        <v>2416</v>
      </c>
      <c r="V277" s="179" t="s">
        <v>374</v>
      </c>
      <c r="W277" s="182">
        <f>ROUND(T277*成本分摊比例!$G$13/(成本分摊比例!$G$13+成本分摊比例!$H$13+成本分摊比例!$I$13),2)</f>
        <v>319669.15</v>
      </c>
      <c r="X277" s="182">
        <f>ROUND(T277*成本分摊比例!$H$13/(成本分摊比例!$G$13+成本分摊比例!$H$13+成本分摊比例!$I$13),2)</f>
        <v>211501.92</v>
      </c>
      <c r="Y277" s="182">
        <f>T277-W277-X277</f>
        <v>60478.2</v>
      </c>
      <c r="Z277" s="183" t="s">
        <v>2406</v>
      </c>
      <c r="AA277" s="157"/>
      <c r="AB277" s="184" t="s">
        <v>2319</v>
      </c>
      <c r="AC277" s="132">
        <f t="shared" si="26"/>
        <v>0</v>
      </c>
    </row>
    <row r="278" s="132" customFormat="1" ht="24" customHeight="1" spans="1:29">
      <c r="A278" s="150">
        <v>272</v>
      </c>
      <c r="B278" s="166" t="s">
        <v>3143</v>
      </c>
      <c r="C278" s="166" t="s">
        <v>3144</v>
      </c>
      <c r="D278" s="157" t="s">
        <v>2346</v>
      </c>
      <c r="E278" s="158" t="s">
        <v>2501</v>
      </c>
      <c r="F278" s="189" t="s">
        <v>3145</v>
      </c>
      <c r="G278" s="156" t="s">
        <v>3146</v>
      </c>
      <c r="H278" s="157" t="str">
        <f>IF(G278="","",VLOOKUP(G278,'附表8-合同明细采集底稿'!B:I,2,0))</f>
        <v>钢塑管</v>
      </c>
      <c r="I278" s="165" t="str">
        <f>IF(G278="","",VLOOKUP(G278,'附表8-合同明细采集底稿'!B:I,3,0))</f>
        <v>其他合同</v>
      </c>
      <c r="J278" s="169" t="s">
        <v>3147</v>
      </c>
      <c r="K278" s="157" t="s">
        <v>2335</v>
      </c>
      <c r="L278" s="168" t="s">
        <v>2336</v>
      </c>
      <c r="M278" s="166">
        <v>75453616</v>
      </c>
      <c r="N278" s="167">
        <v>13000</v>
      </c>
      <c r="O278" s="167">
        <v>13128.76</v>
      </c>
      <c r="P278" s="167">
        <v>13000</v>
      </c>
      <c r="Q278" s="167"/>
      <c r="R278" s="167">
        <f t="shared" si="21"/>
        <v>13000</v>
      </c>
      <c r="S278" s="178">
        <f>IFERROR(VLOOKUP(G278,'附表8-合同明细采集底稿'!B:N,12,0),100%)</f>
        <v>1</v>
      </c>
      <c r="T278" s="167">
        <f t="shared" ref="T278:T312" si="28">ROUND(SUM(R278)*SUM(S278),2)</f>
        <v>13000</v>
      </c>
      <c r="U278" s="157" t="s">
        <v>2344</v>
      </c>
      <c r="V278" s="179" t="s">
        <v>375</v>
      </c>
      <c r="W278" s="180">
        <f>IF('附表1-面积统计表'!$D$29=0,"",IF(AND(V278="共同成本费用",Z278="总建筑面积法"),ROUND(T278/'附表1-面积统计表'!$D$29*'附表1-面积统计表'!$D$5,2),IF(AND(V278="共同成本费用",Z278="可售建筑面积法"),ROUND(T278/'附表1-面积统计表'!$F$29*'附表1-面积统计表'!$F$5,2),"请手工填写")))</f>
        <v>6298.02</v>
      </c>
      <c r="X278" s="180">
        <f>IF(SUM('附表1-面积统计表'!$D$6)=0,"",SUM(T278)-SUM(W278)-SUM(Y278))</f>
        <v>4166.94</v>
      </c>
      <c r="Y278" s="180">
        <f>IF(SUM('附表1-面积统计表'!$D$6)=0,SUM(T278)-SUM(W278),IF('附表1-面积统计表'!$D$29=0,"",IF(AND(V278="共同成本费用",Z278="总建筑面积法"),ROUND(T278/'附表1-面积统计表'!$D$29*'附表1-面积统计表'!$D$7,2),IF(AND(V278="共同成本费用",Z278="可售建筑面积法"),ROUND(T278/'附表1-面积统计表'!$F$29*'附表1-面积统计表'!$F$7,2),"请手工填写"))))</f>
        <v>2535.04</v>
      </c>
      <c r="Z278" s="183" t="s">
        <v>351</v>
      </c>
      <c r="AA278" s="157"/>
      <c r="AB278" s="184" t="s">
        <v>2319</v>
      </c>
      <c r="AC278" s="132">
        <f t="shared" si="26"/>
        <v>0</v>
      </c>
    </row>
    <row r="279" s="132" customFormat="1" ht="24" customHeight="1" spans="1:29">
      <c r="A279" s="150">
        <v>273</v>
      </c>
      <c r="B279" s="166" t="s">
        <v>3143</v>
      </c>
      <c r="C279" s="166" t="s">
        <v>2933</v>
      </c>
      <c r="D279" s="157" t="s">
        <v>2346</v>
      </c>
      <c r="E279" s="158" t="s">
        <v>2453</v>
      </c>
      <c r="F279" s="189" t="s">
        <v>3148</v>
      </c>
      <c r="G279" s="156" t="s">
        <v>3149</v>
      </c>
      <c r="H279" s="157" t="str">
        <f>IF(G279="","",VLOOKUP(G279,'附表8-合同明细采集底稿'!B:I,2,0))</f>
        <v>沁春景苑喷雾造景采购合同</v>
      </c>
      <c r="I279" s="165" t="str">
        <f>IF(G279="","",VLOOKUP(G279,'附表8-合同明细采集底稿'!B:I,3,0))</f>
        <v>其他合同</v>
      </c>
      <c r="J279" s="169" t="s">
        <v>3150</v>
      </c>
      <c r="K279" s="157" t="s">
        <v>2355</v>
      </c>
      <c r="L279" s="166">
        <v>5100194130</v>
      </c>
      <c r="M279" s="555" t="s">
        <v>3151</v>
      </c>
      <c r="N279" s="167">
        <v>58407.08</v>
      </c>
      <c r="O279" s="167">
        <v>66000</v>
      </c>
      <c r="P279" s="167">
        <v>58407.08</v>
      </c>
      <c r="Q279" s="167"/>
      <c r="R279" s="167">
        <f t="shared" si="21"/>
        <v>58407.08</v>
      </c>
      <c r="S279" s="178">
        <f>IFERROR(VLOOKUP(G279,'附表8-合同明细采集底稿'!B:N,12,0),100%)</f>
        <v>0.338555832480367</v>
      </c>
      <c r="T279" s="167">
        <f t="shared" si="28"/>
        <v>19774.06</v>
      </c>
      <c r="U279" s="157" t="s">
        <v>2318</v>
      </c>
      <c r="V279" s="179" t="s">
        <v>375</v>
      </c>
      <c r="W279" s="180">
        <f>IF('附表1-面积统计表'!$D$29=0,"",IF(AND(V279="共同成本费用",Z279="总建筑面积法"),ROUND(T279/'附表1-面积统计表'!$D$29*'附表1-面积统计表'!$D$5,2),IF(AND(V279="共同成本费用",Z279="可售建筑面积法"),ROUND(T279/'附表1-面积统计表'!$F$29*'附表1-面积统计表'!$F$5,2),"请手工填写")))</f>
        <v>9579.8</v>
      </c>
      <c r="X279" s="180">
        <f>IF(SUM('附表1-面积统计表'!$D$6)=0,"",SUM(T279)-SUM(W279)-SUM(Y279))</f>
        <v>6338.26</v>
      </c>
      <c r="Y279" s="180">
        <f>IF(SUM('附表1-面积统计表'!$D$6)=0,SUM(T279)-SUM(W279),IF('附表1-面积统计表'!$D$29=0,"",IF(AND(V279="共同成本费用",Z279="总建筑面积法"),ROUND(T279/'附表1-面积统计表'!$D$29*'附表1-面积统计表'!$D$7,2),IF(AND(V279="共同成本费用",Z279="可售建筑面积法"),ROUND(T279/'附表1-面积统计表'!$F$29*'附表1-面积统计表'!$F$7,2),"请手工填写"))))</f>
        <v>3856</v>
      </c>
      <c r="Z279" s="183" t="s">
        <v>351</v>
      </c>
      <c r="AA279" s="157"/>
      <c r="AB279" s="184" t="s">
        <v>2319</v>
      </c>
      <c r="AC279" s="132">
        <f t="shared" si="26"/>
        <v>0</v>
      </c>
    </row>
    <row r="280" s="132" customFormat="1" ht="24" customHeight="1" spans="1:29">
      <c r="A280" s="150">
        <v>274</v>
      </c>
      <c r="B280" s="166" t="s">
        <v>3143</v>
      </c>
      <c r="C280" s="166" t="s">
        <v>2910</v>
      </c>
      <c r="D280" s="157" t="s">
        <v>2533</v>
      </c>
      <c r="E280" s="158" t="s">
        <v>2564</v>
      </c>
      <c r="F280" s="189" t="s">
        <v>3152</v>
      </c>
      <c r="G280" s="156" t="s">
        <v>3153</v>
      </c>
      <c r="H280" s="157" t="str">
        <f>IF(G280="","",VLOOKUP(G280,'附表8-合同明细采集底稿'!B:I,2,0))</f>
        <v>安装服务</v>
      </c>
      <c r="I280" s="165" t="str">
        <f>IF(G280="","",VLOOKUP(G280,'附表8-合同明细采集底稿'!B:I,3,0))</f>
        <v>其他合同</v>
      </c>
      <c r="J280" s="187" t="s">
        <v>3154</v>
      </c>
      <c r="K280" s="157" t="s">
        <v>2335</v>
      </c>
      <c r="L280" s="168" t="s">
        <v>2336</v>
      </c>
      <c r="M280" s="155" t="s">
        <v>3155</v>
      </c>
      <c r="N280" s="167">
        <v>210000</v>
      </c>
      <c r="O280" s="167">
        <v>210000</v>
      </c>
      <c r="P280" s="167">
        <v>210000</v>
      </c>
      <c r="Q280" s="167"/>
      <c r="R280" s="167">
        <f t="shared" si="21"/>
        <v>210000</v>
      </c>
      <c r="S280" s="178">
        <f>IFERROR(VLOOKUP(G280,'附表8-合同明细采集底稿'!B:N,12,0),100%)</f>
        <v>1</v>
      </c>
      <c r="T280" s="167">
        <f t="shared" si="28"/>
        <v>210000</v>
      </c>
      <c r="U280" s="157" t="s">
        <v>2344</v>
      </c>
      <c r="V280" s="179" t="s">
        <v>375</v>
      </c>
      <c r="W280" s="180">
        <f>IF('附表1-面积统计表'!$D$29=0,"",IF(AND(V280="共同成本费用",Z280="总建筑面积法"),ROUND(T280/'附表1-面积统计表'!$D$29*'附表1-面积统计表'!$D$5,2),IF(AND(V280="共同成本费用",Z280="可售建筑面积法"),ROUND(T280/'附表1-面积统计表'!$F$29*'附表1-面积统计表'!$F$5,2),"请手工填写")))</f>
        <v>101737.25</v>
      </c>
      <c r="X280" s="180">
        <f>IF(SUM('附表1-面积统计表'!$D$6)=0,"",SUM(T280)-SUM(W280)-SUM(Y280))</f>
        <v>67312.16</v>
      </c>
      <c r="Y280" s="180">
        <f>IF(SUM('附表1-面积统计表'!$D$6)=0,SUM(T280)-SUM(W280),IF('附表1-面积统计表'!$D$29=0,"",IF(AND(V280="共同成本费用",Z280="总建筑面积法"),ROUND(T280/'附表1-面积统计表'!$D$29*'附表1-面积统计表'!$D$7,2),IF(AND(V280="共同成本费用",Z280="可售建筑面积法"),ROUND(T280/'附表1-面积统计表'!$F$29*'附表1-面积统计表'!$F$7,2),"请手工填写"))))</f>
        <v>40950.59</v>
      </c>
      <c r="Z280" s="183" t="s">
        <v>351</v>
      </c>
      <c r="AA280" s="157"/>
      <c r="AB280" s="184" t="s">
        <v>2319</v>
      </c>
      <c r="AC280" s="132">
        <f t="shared" si="26"/>
        <v>0</v>
      </c>
    </row>
    <row r="281" s="132" customFormat="1" ht="24" customHeight="1" spans="1:29">
      <c r="A281" s="150">
        <v>275</v>
      </c>
      <c r="B281" s="166" t="s">
        <v>3143</v>
      </c>
      <c r="C281" s="166" t="s">
        <v>3156</v>
      </c>
      <c r="D281" s="157" t="s">
        <v>2346</v>
      </c>
      <c r="E281" s="158" t="s">
        <v>2347</v>
      </c>
      <c r="F281" s="189" t="s">
        <v>3157</v>
      </c>
      <c r="G281" s="156" t="s">
        <v>3158</v>
      </c>
      <c r="H281" s="157" t="str">
        <f>IF(G281="","",VLOOKUP(G281,'附表8-合同明细采集底稿'!B:I,2,0))</f>
        <v>沁春锦苑大门钢结构工程</v>
      </c>
      <c r="I281" s="165" t="str">
        <f>IF(G281="","",VLOOKUP(G281,'附表8-合同明细采集底稿'!B:I,3,0))</f>
        <v>买卖合同</v>
      </c>
      <c r="J281" s="169" t="s">
        <v>2556</v>
      </c>
      <c r="K281" s="157" t="s">
        <v>2355</v>
      </c>
      <c r="L281" s="166">
        <v>6500193130</v>
      </c>
      <c r="M281" s="555" t="s">
        <v>3159</v>
      </c>
      <c r="N281" s="167">
        <v>106194.7</v>
      </c>
      <c r="O281" s="167">
        <v>120000</v>
      </c>
      <c r="P281" s="167">
        <v>106194.7</v>
      </c>
      <c r="Q281" s="167"/>
      <c r="R281" s="167">
        <f t="shared" si="21"/>
        <v>106194.7</v>
      </c>
      <c r="S281" s="178">
        <f>IFERROR(VLOOKUP(G281,'附表8-合同明细采集底稿'!B:N,12,0),100%)</f>
        <v>0.338555832480367</v>
      </c>
      <c r="T281" s="167">
        <f t="shared" si="28"/>
        <v>35952.84</v>
      </c>
      <c r="U281" s="157" t="s">
        <v>2318</v>
      </c>
      <c r="V281" s="179" t="s">
        <v>375</v>
      </c>
      <c r="W281" s="180">
        <f>IF('附表1-面积统计表'!$D$29=0,"",IF(AND(V281="共同成本费用",Z281="总建筑面积法"),ROUND(T281/'附表1-面积统计表'!$D$29*'附表1-面积统计表'!$D$5,2),IF(AND(V281="共同成本费用",Z281="可售建筑面积法"),ROUND(T281/'附表1-面积统计表'!$F$29*'附表1-面积统计表'!$F$5,2),"请手工填写")))</f>
        <v>17417.82</v>
      </c>
      <c r="X281" s="180">
        <f>IF(SUM('附表1-面积统计表'!$D$6)=0,"",SUM(T281)-SUM(W281)-SUM(Y281))</f>
        <v>11524.11</v>
      </c>
      <c r="Y281" s="180">
        <f>IF(SUM('附表1-面积统计表'!$D$6)=0,SUM(T281)-SUM(W281),IF('附表1-面积统计表'!$D$29=0,"",IF(AND(V281="共同成本费用",Z281="总建筑面积法"),ROUND(T281/'附表1-面积统计表'!$D$29*'附表1-面积统计表'!$D$7,2),IF(AND(V281="共同成本费用",Z281="可售建筑面积法"),ROUND(T281/'附表1-面积统计表'!$F$29*'附表1-面积统计表'!$F$7,2),"请手工填写"))))</f>
        <v>7010.91</v>
      </c>
      <c r="Z281" s="183" t="s">
        <v>351</v>
      </c>
      <c r="AA281" s="157"/>
      <c r="AB281" s="184" t="s">
        <v>2319</v>
      </c>
      <c r="AC281" s="132">
        <f t="shared" si="26"/>
        <v>0</v>
      </c>
    </row>
    <row r="282" s="132" customFormat="1" ht="24" customHeight="1" spans="1:29">
      <c r="A282" s="150">
        <v>276</v>
      </c>
      <c r="B282" s="166" t="s">
        <v>3160</v>
      </c>
      <c r="C282" s="166" t="s">
        <v>3161</v>
      </c>
      <c r="D282" s="157" t="s">
        <v>2339</v>
      </c>
      <c r="E282" s="158" t="s">
        <v>2363</v>
      </c>
      <c r="F282" s="189" t="s">
        <v>3162</v>
      </c>
      <c r="G282" s="156" t="s">
        <v>3163</v>
      </c>
      <c r="H282" s="157" t="str">
        <f>IF(G282="","",VLOOKUP(G282,'附表8-合同明细采集底稿'!B:I,2,0))</f>
        <v>建设工程造价咨询合同</v>
      </c>
      <c r="I282" s="165" t="str">
        <f>IF(G282="","",VLOOKUP(G282,'附表8-合同明细采集底稿'!B:I,3,0))</f>
        <v>技术合同</v>
      </c>
      <c r="J282" s="187" t="s">
        <v>3164</v>
      </c>
      <c r="K282" s="157" t="s">
        <v>2335</v>
      </c>
      <c r="L282" s="168" t="s">
        <v>2336</v>
      </c>
      <c r="M282" s="166" t="s">
        <v>3165</v>
      </c>
      <c r="N282" s="167">
        <v>40000</v>
      </c>
      <c r="O282" s="167">
        <v>40000</v>
      </c>
      <c r="P282" s="167">
        <v>40000</v>
      </c>
      <c r="Q282" s="167"/>
      <c r="R282" s="167">
        <f t="shared" ref="R282:R345" si="29">P282+Q282</f>
        <v>40000</v>
      </c>
      <c r="S282" s="178">
        <f>IFERROR(VLOOKUP(G282,'附表8-合同明细采集底稿'!B:N,12,0),100%)</f>
        <v>1</v>
      </c>
      <c r="T282" s="167">
        <f t="shared" si="28"/>
        <v>40000</v>
      </c>
      <c r="U282" s="157" t="s">
        <v>2344</v>
      </c>
      <c r="V282" s="179" t="s">
        <v>375</v>
      </c>
      <c r="W282" s="180">
        <f>IF('附表1-面积统计表'!$D$29=0,"",IF(AND(V282="共同成本费用",Z282="总建筑面积法"),ROUND(T282/'附表1-面积统计表'!$D$29*'附表1-面积统计表'!$D$5,2),IF(AND(V282="共同成本费用",Z282="可售建筑面积法"),ROUND(T282/'附表1-面积统计表'!$F$29*'附表1-面积统计表'!$F$5,2),"请手工填写")))</f>
        <v>19378.52</v>
      </c>
      <c r="X282" s="180">
        <f>IF(SUM('附表1-面积统计表'!$D$6)=0,"",SUM(T282)-SUM(W282)-SUM(Y282))</f>
        <v>12821.37</v>
      </c>
      <c r="Y282" s="180">
        <f>IF(SUM('附表1-面积统计表'!$D$6)=0,SUM(T282)-SUM(W282),IF('附表1-面积统计表'!$D$29=0,"",IF(AND(V282="共同成本费用",Z282="总建筑面积法"),ROUND(T282/'附表1-面积统计表'!$D$29*'附表1-面积统计表'!$D$7,2),IF(AND(V282="共同成本费用",Z282="可售建筑面积法"),ROUND(T282/'附表1-面积统计表'!$F$29*'附表1-面积统计表'!$F$7,2),"请手工填写"))))</f>
        <v>7800.11</v>
      </c>
      <c r="Z282" s="183" t="s">
        <v>351</v>
      </c>
      <c r="AA282" s="157"/>
      <c r="AB282" s="184" t="s">
        <v>2319</v>
      </c>
      <c r="AC282" s="132">
        <f t="shared" si="26"/>
        <v>0</v>
      </c>
    </row>
    <row r="283" s="132" customFormat="1" ht="24" customHeight="1" spans="1:29">
      <c r="A283" s="150">
        <v>277</v>
      </c>
      <c r="B283" s="166" t="s">
        <v>3160</v>
      </c>
      <c r="C283" s="166" t="s">
        <v>3166</v>
      </c>
      <c r="D283" s="157" t="s">
        <v>2346</v>
      </c>
      <c r="E283" s="158" t="s">
        <v>2453</v>
      </c>
      <c r="F283" s="189" t="s">
        <v>3167</v>
      </c>
      <c r="G283" s="156" t="s">
        <v>3168</v>
      </c>
      <c r="H283" s="157" t="str">
        <f>IF(G283="","",VLOOKUP(G283,'附表8-合同明细采集底稿'!B:I,2,0))</f>
        <v>沁春锦苑塑木条</v>
      </c>
      <c r="I283" s="165" t="str">
        <f>IF(G283="","",VLOOKUP(G283,'附表8-合同明细采集底稿'!B:I,3,0))</f>
        <v>其他合同</v>
      </c>
      <c r="J283" s="169" t="s">
        <v>3169</v>
      </c>
      <c r="K283" s="157" t="s">
        <v>2355</v>
      </c>
      <c r="L283" s="166" t="s">
        <v>2367</v>
      </c>
      <c r="M283" s="166">
        <v>14885917</v>
      </c>
      <c r="N283" s="167">
        <v>1188</v>
      </c>
      <c r="O283" s="167">
        <v>1188</v>
      </c>
      <c r="P283" s="167">
        <v>1188</v>
      </c>
      <c r="Q283" s="167">
        <v>-1188</v>
      </c>
      <c r="R283" s="167">
        <f t="shared" si="29"/>
        <v>0</v>
      </c>
      <c r="S283" s="178">
        <f>IFERROR(VLOOKUP(G283,'附表8-合同明细采集底稿'!B:N,12,0),100%)</f>
        <v>0.338555832480367</v>
      </c>
      <c r="T283" s="167">
        <f t="shared" si="28"/>
        <v>0</v>
      </c>
      <c r="U283" s="157" t="s">
        <v>2318</v>
      </c>
      <c r="V283" s="179" t="s">
        <v>375</v>
      </c>
      <c r="W283" s="180">
        <f>IF('附表1-面积统计表'!$D$29=0,"",IF(AND(V283="共同成本费用",Z283="总建筑面积法"),ROUND(T283/'附表1-面积统计表'!$D$29*'附表1-面积统计表'!$D$5,2),IF(AND(V283="共同成本费用",Z283="可售建筑面积法"),ROUND(T283/'附表1-面积统计表'!$F$29*'附表1-面积统计表'!$F$5,2),"请手工填写")))</f>
        <v>0</v>
      </c>
      <c r="X283" s="180">
        <f>IF(SUM('附表1-面积统计表'!$D$6)=0,"",SUM(T283)-SUM(W283)-SUM(Y283))</f>
        <v>0</v>
      </c>
      <c r="Y283" s="180">
        <f>IF(SUM('附表1-面积统计表'!$D$6)=0,SUM(T283)-SUM(W283),IF('附表1-面积统计表'!$D$29=0,"",IF(AND(V283="共同成本费用",Z283="总建筑面积法"),ROUND(T283/'附表1-面积统计表'!$D$29*'附表1-面积统计表'!$D$7,2),IF(AND(V283="共同成本费用",Z283="可售建筑面积法"),ROUND(T283/'附表1-面积统计表'!$F$29*'附表1-面积统计表'!$F$7,2),"请手工填写"))))</f>
        <v>0</v>
      </c>
      <c r="Z283" s="183" t="s">
        <v>351</v>
      </c>
      <c r="AA283" s="157"/>
      <c r="AB283" s="184" t="s">
        <v>2319</v>
      </c>
      <c r="AC283" s="132">
        <f t="shared" si="26"/>
        <v>0</v>
      </c>
    </row>
    <row r="284" s="132" customFormat="1" ht="24" customHeight="1" spans="1:29">
      <c r="A284" s="150">
        <v>278</v>
      </c>
      <c r="B284" s="166" t="s">
        <v>3160</v>
      </c>
      <c r="C284" s="166" t="s">
        <v>3170</v>
      </c>
      <c r="D284" s="157" t="s">
        <v>2533</v>
      </c>
      <c r="E284" s="158" t="s">
        <v>2564</v>
      </c>
      <c r="F284" s="189" t="s">
        <v>3171</v>
      </c>
      <c r="G284" s="156" t="s">
        <v>2952</v>
      </c>
      <c r="H284" s="157" t="str">
        <f>IF(G284="","",VLOOKUP(G284,'附表8-合同明细采集底稿'!B:I,2,0))</f>
        <v>承揽合同（铝合金窗28.29.30）</v>
      </c>
      <c r="I284" s="165" t="str">
        <f>IF(G284="","",VLOOKUP(G284,'附表8-合同明细采集底稿'!B:I,3,0))</f>
        <v>买卖合同</v>
      </c>
      <c r="J284" s="187" t="s">
        <v>2556</v>
      </c>
      <c r="K284" s="157" t="s">
        <v>2355</v>
      </c>
      <c r="L284" s="191">
        <v>6500193130</v>
      </c>
      <c r="M284" s="155" t="s">
        <v>3172</v>
      </c>
      <c r="N284" s="167">
        <v>112730.98</v>
      </c>
      <c r="O284" s="167">
        <v>127386</v>
      </c>
      <c r="P284" s="167">
        <v>112730.98</v>
      </c>
      <c r="Q284" s="167"/>
      <c r="R284" s="167">
        <f t="shared" si="29"/>
        <v>112730.98</v>
      </c>
      <c r="S284" s="178">
        <f>IFERROR(VLOOKUP(G284,'附表8-合同明细采集底稿'!B:N,12,0),100%)</f>
        <v>1</v>
      </c>
      <c r="T284" s="167">
        <f t="shared" si="28"/>
        <v>112730.98</v>
      </c>
      <c r="U284" s="157" t="s">
        <v>2416</v>
      </c>
      <c r="V284" s="179" t="s">
        <v>374</v>
      </c>
      <c r="W284" s="182">
        <f>ROUND(T284*成本分摊比例!$G$13/(成本分摊比例!$G$13+成本分摊比例!$H$13+成本分摊比例!$I$13),2)</f>
        <v>60908.75</v>
      </c>
      <c r="X284" s="182">
        <f>ROUND(T284*成本分摊比例!$H$13/(成本分摊比例!$G$13+成本分摊比例!$H$13+成本分摊比例!$I$13),2)</f>
        <v>40298.91</v>
      </c>
      <c r="Y284" s="182">
        <f>T284-W284-X284</f>
        <v>11523.32</v>
      </c>
      <c r="Z284" s="183" t="s">
        <v>2406</v>
      </c>
      <c r="AA284" s="157"/>
      <c r="AB284" s="184" t="s">
        <v>2319</v>
      </c>
      <c r="AC284" s="132">
        <f t="shared" si="26"/>
        <v>0</v>
      </c>
    </row>
    <row r="285" s="132" customFormat="1" ht="24" customHeight="1" spans="1:29">
      <c r="A285" s="150">
        <v>279</v>
      </c>
      <c r="B285" s="166" t="s">
        <v>3173</v>
      </c>
      <c r="C285" s="166" t="s">
        <v>3174</v>
      </c>
      <c r="D285" s="157" t="s">
        <v>2346</v>
      </c>
      <c r="E285" s="158" t="s">
        <v>2501</v>
      </c>
      <c r="F285" s="189" t="s">
        <v>3175</v>
      </c>
      <c r="G285" s="156" t="s">
        <v>2652</v>
      </c>
      <c r="H285" s="157" t="str">
        <f>IF(G285="","",VLOOKUP(G285,'附表8-合同明细采集底稿'!B:I,2,0))</f>
        <v>钢槽等</v>
      </c>
      <c r="I285" s="165" t="str">
        <f>IF(G285="","",VLOOKUP(G285,'附表8-合同明细采集底稿'!B:I,3,0))</f>
        <v>其他合同</v>
      </c>
      <c r="J285" s="169" t="s">
        <v>2653</v>
      </c>
      <c r="K285" s="157" t="s">
        <v>2355</v>
      </c>
      <c r="L285" s="166">
        <v>6500193130</v>
      </c>
      <c r="M285" s="555" t="s">
        <v>3176</v>
      </c>
      <c r="N285" s="167">
        <v>30407.09</v>
      </c>
      <c r="O285" s="167">
        <v>34360</v>
      </c>
      <c r="P285" s="167">
        <v>30407.09</v>
      </c>
      <c r="Q285" s="167"/>
      <c r="R285" s="167">
        <f t="shared" si="29"/>
        <v>30407.09</v>
      </c>
      <c r="S285" s="178">
        <f>IFERROR(VLOOKUP(G285,'附表8-合同明细采集底稿'!B:N,12,0),100%)</f>
        <v>1</v>
      </c>
      <c r="T285" s="167">
        <f t="shared" si="28"/>
        <v>30407.09</v>
      </c>
      <c r="U285" s="157" t="s">
        <v>2344</v>
      </c>
      <c r="V285" s="179" t="s">
        <v>375</v>
      </c>
      <c r="W285" s="180">
        <f>IF('附表1-面积统计表'!$D$29=0,"",IF(AND(V285="共同成本费用",Z285="总建筑面积法"),ROUND(T285/'附表1-面积统计表'!$D$29*'附表1-面积统计表'!$D$5,2),IF(AND(V285="共同成本费用",Z285="可售建筑面积法"),ROUND(T285/'附表1-面积统计表'!$F$29*'附表1-面积统计表'!$F$5,2),"请手工填写")))</f>
        <v>14731.11</v>
      </c>
      <c r="X285" s="180">
        <f>IF(SUM('附表1-面积统计表'!$D$6)=0,"",SUM(T285)-SUM(W285)-SUM(Y285))</f>
        <v>9746.51</v>
      </c>
      <c r="Y285" s="180">
        <f>IF(SUM('附表1-面积统计表'!$D$6)=0,SUM(T285)-SUM(W285),IF('附表1-面积统计表'!$D$29=0,"",IF(AND(V285="共同成本费用",Z285="总建筑面积法"),ROUND(T285/'附表1-面积统计表'!$D$29*'附表1-面积统计表'!$D$7,2),IF(AND(V285="共同成本费用",Z285="可售建筑面积法"),ROUND(T285/'附表1-面积统计表'!$F$29*'附表1-面积统计表'!$F$7,2),"请手工填写"))))</f>
        <v>5929.47</v>
      </c>
      <c r="Z285" s="183" t="s">
        <v>351</v>
      </c>
      <c r="AA285" s="157"/>
      <c r="AB285" s="184" t="s">
        <v>2319</v>
      </c>
      <c r="AC285" s="132">
        <f t="shared" si="26"/>
        <v>0</v>
      </c>
    </row>
    <row r="286" s="132" customFormat="1" ht="24" customHeight="1" spans="1:29">
      <c r="A286" s="150">
        <v>280</v>
      </c>
      <c r="B286" s="166" t="s">
        <v>3177</v>
      </c>
      <c r="C286" s="166" t="s">
        <v>3178</v>
      </c>
      <c r="D286" s="157" t="s">
        <v>2346</v>
      </c>
      <c r="E286" s="158" t="s">
        <v>2347</v>
      </c>
      <c r="F286" s="189" t="s">
        <v>3179</v>
      </c>
      <c r="G286" s="156" t="s">
        <v>3180</v>
      </c>
      <c r="H286" s="157" t="str">
        <f>IF(G286="","",VLOOKUP(G286,'附表8-合同明细采集底稿'!B:I,2,0))</f>
        <v>沁春锦苑一期、二期电梯监控及五方对讲安装工程合同</v>
      </c>
      <c r="I286" s="165" t="str">
        <f>IF(G286="","",VLOOKUP(G286,'附表8-合同明细采集底稿'!B:I,3,0))</f>
        <v>其他合同</v>
      </c>
      <c r="J286" s="169" t="s">
        <v>2420</v>
      </c>
      <c r="K286" s="157" t="s">
        <v>2355</v>
      </c>
      <c r="L286" s="166">
        <v>6500192130</v>
      </c>
      <c r="M286" s="555" t="s">
        <v>3181</v>
      </c>
      <c r="N286" s="167">
        <v>59405.94</v>
      </c>
      <c r="O286" s="167">
        <v>60000</v>
      </c>
      <c r="P286" s="167">
        <v>59405.94</v>
      </c>
      <c r="Q286" s="167"/>
      <c r="R286" s="167">
        <f t="shared" si="29"/>
        <v>59405.94</v>
      </c>
      <c r="S286" s="178">
        <f>IFERROR(VLOOKUP(G286,'附表8-合同明细采集底稿'!B:N,12,0),100%)</f>
        <v>1</v>
      </c>
      <c r="T286" s="167">
        <f t="shared" si="28"/>
        <v>59405.94</v>
      </c>
      <c r="U286" s="157" t="s">
        <v>2344</v>
      </c>
      <c r="V286" s="179" t="s">
        <v>375</v>
      </c>
      <c r="W286" s="180">
        <f>IF('附表1-面积统计表'!$D$29=0,"",IF(AND(V286="共同成本费用",Z286="总建筑面积法"),ROUND(T286/'附表1-面积统计表'!$D$29*'附表1-面积统计表'!$D$5,2),IF(AND(V286="共同成本费用",Z286="可售建筑面积法"),ROUND(T286/'附表1-面积统计表'!$F$29*'附表1-面积统计表'!$F$5,2),"请手工填写")))</f>
        <v>28779.98</v>
      </c>
      <c r="X286" s="180">
        <f>IF(SUM('附表1-面积统计表'!$D$6)=0,"",SUM(T286)-SUM(W286)-SUM(Y286))</f>
        <v>19041.63</v>
      </c>
      <c r="Y286" s="180">
        <f>IF(SUM('附表1-面积统计表'!$D$6)=0,SUM(T286)-SUM(W286),IF('附表1-面积统计表'!$D$29=0,"",IF(AND(V286="共同成本费用",Z286="总建筑面积法"),ROUND(T286/'附表1-面积统计表'!$D$29*'附表1-面积统计表'!$D$7,2),IF(AND(V286="共同成本费用",Z286="可售建筑面积法"),ROUND(T286/'附表1-面积统计表'!$F$29*'附表1-面积统计表'!$F$7,2),"请手工填写"))))</f>
        <v>11584.33</v>
      </c>
      <c r="Z286" s="183" t="s">
        <v>351</v>
      </c>
      <c r="AA286" s="157"/>
      <c r="AB286" s="184" t="s">
        <v>2319</v>
      </c>
      <c r="AC286" s="132">
        <f t="shared" si="26"/>
        <v>0</v>
      </c>
    </row>
    <row r="287" s="132" customFormat="1" ht="24" customHeight="1" spans="1:29">
      <c r="A287" s="150">
        <v>281</v>
      </c>
      <c r="B287" s="166" t="s">
        <v>3182</v>
      </c>
      <c r="C287" s="166" t="s">
        <v>2937</v>
      </c>
      <c r="D287" s="157" t="s">
        <v>2346</v>
      </c>
      <c r="E287" s="158" t="s">
        <v>2418</v>
      </c>
      <c r="F287" s="189" t="s">
        <v>3183</v>
      </c>
      <c r="G287" s="156" t="s">
        <v>3184</v>
      </c>
      <c r="H287" s="157" t="str">
        <f>IF(G287="","",VLOOKUP(G287,'附表8-合同明细采集底稿'!B:I,2,0))</f>
        <v>35#楼电缆维修</v>
      </c>
      <c r="I287" s="165" t="str">
        <f>IF(G287="","",VLOOKUP(G287,'附表8-合同明细采集底稿'!B:I,3,0))</f>
        <v>其他合同</v>
      </c>
      <c r="J287" s="169" t="s">
        <v>3185</v>
      </c>
      <c r="K287" s="157" t="s">
        <v>2355</v>
      </c>
      <c r="L287" s="191">
        <v>6500193130</v>
      </c>
      <c r="M287" s="556" t="s">
        <v>3186</v>
      </c>
      <c r="N287" s="167">
        <v>15929.2</v>
      </c>
      <c r="O287" s="167">
        <v>18000</v>
      </c>
      <c r="P287" s="167">
        <v>15929.2</v>
      </c>
      <c r="Q287" s="167">
        <v>-15929.2</v>
      </c>
      <c r="R287" s="167">
        <f t="shared" si="29"/>
        <v>0</v>
      </c>
      <c r="S287" s="178">
        <f>IFERROR(VLOOKUP(G287,'附表8-合同明细采集底稿'!B:N,12,0),100%)</f>
        <v>1</v>
      </c>
      <c r="T287" s="167">
        <f t="shared" si="28"/>
        <v>0</v>
      </c>
      <c r="U287" s="157" t="s">
        <v>2405</v>
      </c>
      <c r="V287" s="179" t="s">
        <v>374</v>
      </c>
      <c r="W287" s="181">
        <v>0</v>
      </c>
      <c r="X287" s="181">
        <v>0</v>
      </c>
      <c r="Y287" s="181"/>
      <c r="Z287" s="183" t="s">
        <v>2406</v>
      </c>
      <c r="AA287" s="157"/>
      <c r="AB287" s="184" t="s">
        <v>2319</v>
      </c>
      <c r="AC287" s="132">
        <f t="shared" si="26"/>
        <v>0</v>
      </c>
    </row>
    <row r="288" s="132" customFormat="1" ht="24" customHeight="1" spans="1:29">
      <c r="A288" s="150">
        <v>282</v>
      </c>
      <c r="B288" s="166" t="s">
        <v>3182</v>
      </c>
      <c r="C288" s="166" t="s">
        <v>3029</v>
      </c>
      <c r="D288" s="157" t="s">
        <v>2346</v>
      </c>
      <c r="E288" s="158" t="s">
        <v>2656</v>
      </c>
      <c r="F288" s="189" t="s">
        <v>3187</v>
      </c>
      <c r="G288" s="156" t="s">
        <v>3188</v>
      </c>
      <c r="H288" s="157" t="str">
        <f>IF(G288="","",VLOOKUP(G288,'附表8-合同明细采集底稿'!B:I,2,0))</f>
        <v>沁春锦苑二期施工临时用电线路安装合同</v>
      </c>
      <c r="I288" s="165" t="str">
        <f>IF(G288="","",VLOOKUP(G288,'附表8-合同明细采集底稿'!B:I,3,0))</f>
        <v>建设工程合同</v>
      </c>
      <c r="J288" s="169" t="s">
        <v>2948</v>
      </c>
      <c r="K288" s="157" t="s">
        <v>2355</v>
      </c>
      <c r="L288" s="166">
        <v>6500193130</v>
      </c>
      <c r="M288" s="555" t="s">
        <v>3189</v>
      </c>
      <c r="N288" s="167">
        <v>31858.41</v>
      </c>
      <c r="O288" s="167">
        <v>36000</v>
      </c>
      <c r="P288" s="167">
        <v>31858.41</v>
      </c>
      <c r="Q288" s="167"/>
      <c r="R288" s="167">
        <f t="shared" si="29"/>
        <v>31858.41</v>
      </c>
      <c r="S288" s="178">
        <f>IFERROR(VLOOKUP(G288,'附表8-合同明细采集底稿'!B:N,12,0),100%)</f>
        <v>1</v>
      </c>
      <c r="T288" s="167">
        <f t="shared" si="28"/>
        <v>31858.41</v>
      </c>
      <c r="U288" s="157" t="s">
        <v>2344</v>
      </c>
      <c r="V288" s="179" t="s">
        <v>375</v>
      </c>
      <c r="W288" s="180">
        <f>IF('附表1-面积统计表'!$D$29=0,"",IF(AND(V288="共同成本费用",Z288="总建筑面积法"),ROUND(T288/'附表1-面积统计表'!$D$29*'附表1-面积统计表'!$D$5,2),IF(AND(V288="共同成本费用",Z288="可售建筑面积法"),ROUND(T288/'附表1-面积统计表'!$F$29*'附表1-面积统计表'!$F$5,2),"请手工填写")))</f>
        <v>15434.22</v>
      </c>
      <c r="X288" s="180">
        <f>IF(SUM('附表1-面积统计表'!$D$6)=0,"",SUM(T288)-SUM(W288)-SUM(Y288))</f>
        <v>10211.71</v>
      </c>
      <c r="Y288" s="180">
        <f>IF(SUM('附表1-面积统计表'!$D$6)=0,SUM(T288)-SUM(W288),IF('附表1-面积统计表'!$D$29=0,"",IF(AND(V288="共同成本费用",Z288="总建筑面积法"),ROUND(T288/'附表1-面积统计表'!$D$29*'附表1-面积统计表'!$D$7,2),IF(AND(V288="共同成本费用",Z288="可售建筑面积法"),ROUND(T288/'附表1-面积统计表'!$F$29*'附表1-面积统计表'!$F$7,2),"请手工填写"))))</f>
        <v>6212.48</v>
      </c>
      <c r="Z288" s="183" t="s">
        <v>351</v>
      </c>
      <c r="AA288" s="157"/>
      <c r="AB288" s="184" t="s">
        <v>2319</v>
      </c>
      <c r="AC288" s="132">
        <f t="shared" si="26"/>
        <v>0</v>
      </c>
    </row>
    <row r="289" s="132" customFormat="1" ht="24" customHeight="1" spans="1:29">
      <c r="A289" s="150">
        <v>283</v>
      </c>
      <c r="B289" s="166" t="s">
        <v>3182</v>
      </c>
      <c r="C289" s="166" t="s">
        <v>3190</v>
      </c>
      <c r="D289" s="157" t="s">
        <v>2346</v>
      </c>
      <c r="E289" s="158" t="s">
        <v>2656</v>
      </c>
      <c r="F289" s="189" t="s">
        <v>3191</v>
      </c>
      <c r="G289" s="156" t="s">
        <v>2945</v>
      </c>
      <c r="H289" s="157" t="str">
        <f>IF(G289="","",VLOOKUP(G289,'附表8-合同明细采集底稿'!B:I,2,0))</f>
        <v>电气外网供货安装合同</v>
      </c>
      <c r="I289" s="165" t="str">
        <f>IF(G289="","",VLOOKUP(G289,'附表8-合同明细采集底稿'!B:I,3,0))</f>
        <v>其他合同</v>
      </c>
      <c r="J289" s="169" t="s">
        <v>2948</v>
      </c>
      <c r="K289" s="157" t="s">
        <v>2355</v>
      </c>
      <c r="L289" s="191">
        <v>6500193130</v>
      </c>
      <c r="M289" s="155" t="s">
        <v>3192</v>
      </c>
      <c r="N289" s="167">
        <v>196677.88</v>
      </c>
      <c r="O289" s="167">
        <v>222246</v>
      </c>
      <c r="P289" s="167">
        <v>196677.88</v>
      </c>
      <c r="Q289" s="167"/>
      <c r="R289" s="167">
        <f t="shared" si="29"/>
        <v>196677.88</v>
      </c>
      <c r="S289" s="178">
        <f>IFERROR(VLOOKUP(G289,'附表8-合同明细采集底稿'!B:N,12,0),100%)</f>
        <v>1</v>
      </c>
      <c r="T289" s="167">
        <f t="shared" si="28"/>
        <v>196677.88</v>
      </c>
      <c r="U289" s="157" t="s">
        <v>2344</v>
      </c>
      <c r="V289" s="179" t="s">
        <v>375</v>
      </c>
      <c r="W289" s="180">
        <f>IF('附表1-面积统计表'!$D$29=0,"",IF(AND(V289="共同成本费用",Z289="总建筑面积法"),ROUND(T289/'附表1-面积统计表'!$D$29*'附表1-面积统计表'!$D$5,2),IF(AND(V289="共同成本费用",Z289="可售建筑面积法"),ROUND(T289/'附表1-面积统计表'!$F$29*'附表1-面积统计表'!$F$5,2),"请手工填写")))</f>
        <v>95283.17</v>
      </c>
      <c r="X289" s="180">
        <f>IF(SUM('附表1-面积统计表'!$D$6)=0,"",SUM(T289)-SUM(W289)-SUM(Y289))</f>
        <v>63041.97</v>
      </c>
      <c r="Y289" s="180">
        <f>IF(SUM('附表1-面积统计表'!$D$6)=0,SUM(T289)-SUM(W289),IF('附表1-面积统计表'!$D$29=0,"",IF(AND(V289="共同成本费用",Z289="总建筑面积法"),ROUND(T289/'附表1-面积统计表'!$D$29*'附表1-面积统计表'!$D$7,2),IF(AND(V289="共同成本费用",Z289="可售建筑面积法"),ROUND(T289/'附表1-面积统计表'!$F$29*'附表1-面积统计表'!$F$7,2),"请手工填写"))))</f>
        <v>38352.74</v>
      </c>
      <c r="Z289" s="183" t="s">
        <v>351</v>
      </c>
      <c r="AA289" s="157"/>
      <c r="AB289" s="184" t="s">
        <v>2319</v>
      </c>
      <c r="AC289" s="132">
        <f t="shared" si="26"/>
        <v>0</v>
      </c>
    </row>
    <row r="290" s="132" customFormat="1" ht="24" customHeight="1" spans="1:29">
      <c r="A290" s="150">
        <v>284</v>
      </c>
      <c r="B290" s="166" t="s">
        <v>3193</v>
      </c>
      <c r="C290" s="166" t="s">
        <v>3194</v>
      </c>
      <c r="D290" s="157" t="s">
        <v>2533</v>
      </c>
      <c r="E290" s="158" t="s">
        <v>2564</v>
      </c>
      <c r="F290" s="189" t="s">
        <v>3195</v>
      </c>
      <c r="G290" s="156" t="s">
        <v>2919</v>
      </c>
      <c r="H290" s="157" t="str">
        <f>IF(G290="","",VLOOKUP(G290,'附表8-合同明细采集底稿'!B:I,2,0))</f>
        <v>1#19#20#-34#35#)室外</v>
      </c>
      <c r="I290" s="165" t="str">
        <f>IF(G290="","",VLOOKUP(G290,'附表8-合同明细采集底稿'!B:I,3,0))</f>
        <v>其他合同</v>
      </c>
      <c r="J290" s="169" t="s">
        <v>2920</v>
      </c>
      <c r="K290" s="157" t="s">
        <v>2355</v>
      </c>
      <c r="L290" s="166">
        <v>6500193130</v>
      </c>
      <c r="M290" s="555" t="s">
        <v>3196</v>
      </c>
      <c r="N290" s="167">
        <v>779816.51</v>
      </c>
      <c r="O290" s="167">
        <v>850000</v>
      </c>
      <c r="P290" s="167">
        <v>779816.51</v>
      </c>
      <c r="Q290" s="167"/>
      <c r="R290" s="167">
        <f t="shared" si="29"/>
        <v>779816.51</v>
      </c>
      <c r="S290" s="178">
        <f>IFERROR(VLOOKUP(G290,'附表8-合同明细采集底稿'!B:N,12,0),100%)</f>
        <v>1</v>
      </c>
      <c r="T290" s="167">
        <f t="shared" si="28"/>
        <v>779816.51</v>
      </c>
      <c r="U290" s="157" t="s">
        <v>2416</v>
      </c>
      <c r="V290" s="179" t="s">
        <v>374</v>
      </c>
      <c r="W290" s="182">
        <f>ROUND(T290*成本分摊比例!$G$13/(成本分摊比例!$G$13+成本分摊比例!$H$13+成本分摊比例!$I$13),2)</f>
        <v>421336.25</v>
      </c>
      <c r="X290" s="182">
        <f>ROUND(T290*成本分摊比例!$H$13/(成本分摊比例!$G$13+成本分摊比例!$H$13+成本分摊比例!$I$13),2)</f>
        <v>278767.66</v>
      </c>
      <c r="Y290" s="182">
        <f>T290-W290-X290</f>
        <v>79712.6</v>
      </c>
      <c r="Z290" s="183" t="s">
        <v>2406</v>
      </c>
      <c r="AA290" s="157"/>
      <c r="AB290" s="184" t="s">
        <v>2319</v>
      </c>
      <c r="AC290" s="132">
        <f t="shared" si="26"/>
        <v>0</v>
      </c>
    </row>
    <row r="291" s="132" customFormat="1" ht="24" customHeight="1" spans="1:29">
      <c r="A291" s="150">
        <v>285</v>
      </c>
      <c r="B291" s="166" t="s">
        <v>3193</v>
      </c>
      <c r="C291" s="166" t="s">
        <v>3110</v>
      </c>
      <c r="D291" s="157" t="s">
        <v>2339</v>
      </c>
      <c r="E291" s="158" t="s">
        <v>2370</v>
      </c>
      <c r="F291" s="189" t="s">
        <v>3197</v>
      </c>
      <c r="G291" s="156"/>
      <c r="H291" s="157" t="str">
        <f>IF(G291="","",VLOOKUP(G291,'附表8-合同明细采集底稿'!B:I,2,0))</f>
        <v/>
      </c>
      <c r="I291" s="165" t="str">
        <f>IF(G291="","",VLOOKUP(G291,'附表8-合同明细采集底稿'!B:I,3,0))</f>
        <v/>
      </c>
      <c r="J291" s="187" t="s">
        <v>2830</v>
      </c>
      <c r="K291" s="157" t="s">
        <v>2355</v>
      </c>
      <c r="L291" s="166">
        <v>6500193130</v>
      </c>
      <c r="M291" s="555" t="s">
        <v>3198</v>
      </c>
      <c r="N291" s="167">
        <v>1300</v>
      </c>
      <c r="O291" s="167">
        <v>1378</v>
      </c>
      <c r="P291" s="167">
        <v>1300</v>
      </c>
      <c r="Q291" s="167"/>
      <c r="R291" s="167">
        <f t="shared" si="29"/>
        <v>1300</v>
      </c>
      <c r="S291" s="178">
        <v>1</v>
      </c>
      <c r="T291" s="167">
        <f t="shared" si="28"/>
        <v>1300</v>
      </c>
      <c r="U291" s="157" t="s">
        <v>2344</v>
      </c>
      <c r="V291" s="179" t="s">
        <v>375</v>
      </c>
      <c r="W291" s="180">
        <f>IF('附表1-面积统计表'!$D$29=0,"",IF(AND(V291="共同成本费用",Z291="总建筑面积法"),ROUND(T291/'附表1-面积统计表'!$D$29*'附表1-面积统计表'!$D$5,2),IF(AND(V291="共同成本费用",Z291="可售建筑面积法"),ROUND(T291/'附表1-面积统计表'!$F$29*'附表1-面积统计表'!$F$5,2),"请手工填写")))</f>
        <v>629.8</v>
      </c>
      <c r="X291" s="180">
        <f>IF(SUM('附表1-面积统计表'!$D$6)=0,"",SUM(T291)-SUM(W291)-SUM(Y291))</f>
        <v>416.7</v>
      </c>
      <c r="Y291" s="180">
        <f>IF(SUM('附表1-面积统计表'!$D$6)=0,SUM(T291)-SUM(W291),IF('附表1-面积统计表'!$D$29=0,"",IF(AND(V291="共同成本费用",Z291="总建筑面积法"),ROUND(T291/'附表1-面积统计表'!$D$29*'附表1-面积统计表'!$D$7,2),IF(AND(V291="共同成本费用",Z291="可售建筑面积法"),ROUND(T291/'附表1-面积统计表'!$F$29*'附表1-面积统计表'!$F$7,2),"请手工填写"))))</f>
        <v>253.5</v>
      </c>
      <c r="Z291" s="183" t="s">
        <v>351</v>
      </c>
      <c r="AA291" s="157"/>
      <c r="AB291" s="184" t="s">
        <v>2319</v>
      </c>
      <c r="AC291" s="132">
        <f t="shared" si="26"/>
        <v>0</v>
      </c>
    </row>
    <row r="292" s="132" customFormat="1" ht="24" customHeight="1" spans="1:29">
      <c r="A292" s="150">
        <v>286</v>
      </c>
      <c r="B292" s="166" t="s">
        <v>3199</v>
      </c>
      <c r="C292" s="166" t="s">
        <v>3200</v>
      </c>
      <c r="D292" s="157" t="s">
        <v>2533</v>
      </c>
      <c r="E292" s="158" t="s">
        <v>2690</v>
      </c>
      <c r="F292" s="189" t="s">
        <v>3201</v>
      </c>
      <c r="G292" s="156" t="s">
        <v>3202</v>
      </c>
      <c r="H292" s="157" t="str">
        <f>IF(G292="","",VLOOKUP(G292,'附表8-合同明细采集底稿'!B:I,2,0))</f>
        <v>沁春锦苑一期地下室钢质门（19-24#）</v>
      </c>
      <c r="I292" s="165" t="str">
        <f>IF(G292="","",VLOOKUP(G292,'附表8-合同明细采集底稿'!B:I,3,0))</f>
        <v>买卖合同</v>
      </c>
      <c r="J292" s="187" t="s">
        <v>3018</v>
      </c>
      <c r="K292" s="157" t="s">
        <v>2355</v>
      </c>
      <c r="L292" s="166">
        <v>6500193130</v>
      </c>
      <c r="M292" s="555" t="s">
        <v>3203</v>
      </c>
      <c r="N292" s="167">
        <v>30796.46</v>
      </c>
      <c r="O292" s="167">
        <v>34800</v>
      </c>
      <c r="P292" s="167">
        <v>30796.46</v>
      </c>
      <c r="Q292" s="167"/>
      <c r="R292" s="167">
        <f t="shared" si="29"/>
        <v>30796.46</v>
      </c>
      <c r="S292" s="178">
        <f>IFERROR(VLOOKUP(G292,'附表8-合同明细采集底稿'!B:N,12,0),100%)</f>
        <v>1</v>
      </c>
      <c r="T292" s="167">
        <f t="shared" si="28"/>
        <v>30796.46</v>
      </c>
      <c r="U292" s="157" t="s">
        <v>2416</v>
      </c>
      <c r="V292" s="179" t="s">
        <v>374</v>
      </c>
      <c r="W292" s="182">
        <f>ROUND(T292*成本分摊比例!$G$13/(成本分摊比例!$G$13+成本分摊比例!$H$13+成本分摊比例!$I$13),2)</f>
        <v>16639.38</v>
      </c>
      <c r="X292" s="182">
        <f>ROUND(T292*成本分摊比例!$H$13/(成本分摊比例!$G$13+成本分摊比例!$H$13+成本分摊比例!$I$13),2)</f>
        <v>11009.07</v>
      </c>
      <c r="Y292" s="182">
        <f>T292-W292-X292</f>
        <v>3148.01</v>
      </c>
      <c r="Z292" s="183" t="s">
        <v>2406</v>
      </c>
      <c r="AA292" s="157"/>
      <c r="AB292" s="184" t="s">
        <v>2319</v>
      </c>
      <c r="AC292" s="132">
        <f t="shared" si="26"/>
        <v>0</v>
      </c>
    </row>
    <row r="293" s="132" customFormat="1" ht="24" customHeight="1" spans="1:29">
      <c r="A293" s="150">
        <v>287</v>
      </c>
      <c r="B293" s="166" t="s">
        <v>3204</v>
      </c>
      <c r="C293" s="166" t="s">
        <v>3205</v>
      </c>
      <c r="D293" s="157" t="s">
        <v>2346</v>
      </c>
      <c r="E293" s="158" t="s">
        <v>2418</v>
      </c>
      <c r="F293" s="189" t="s">
        <v>3206</v>
      </c>
      <c r="G293" s="156"/>
      <c r="H293" s="157" t="str">
        <f>IF(G293="","",VLOOKUP(G293,'附表8-合同明细采集底稿'!B:I,2,0))</f>
        <v/>
      </c>
      <c r="I293" s="165" t="str">
        <f>IF(G293="","",VLOOKUP(G293,'附表8-合同明细采集底稿'!B:I,3,0))</f>
        <v/>
      </c>
      <c r="J293" s="169" t="s">
        <v>3207</v>
      </c>
      <c r="K293" s="157" t="s">
        <v>2335</v>
      </c>
      <c r="L293" s="168" t="s">
        <v>2336</v>
      </c>
      <c r="M293" s="166">
        <v>18099424</v>
      </c>
      <c r="N293" s="167">
        <v>1460</v>
      </c>
      <c r="O293" s="167">
        <v>1460</v>
      </c>
      <c r="P293" s="167">
        <v>1460</v>
      </c>
      <c r="Q293" s="167">
        <v>-1460</v>
      </c>
      <c r="R293" s="167">
        <f t="shared" si="29"/>
        <v>0</v>
      </c>
      <c r="S293" s="178">
        <v>1</v>
      </c>
      <c r="T293" s="167">
        <f t="shared" si="28"/>
        <v>0</v>
      </c>
      <c r="U293" s="157" t="s">
        <v>2641</v>
      </c>
      <c r="V293" s="179" t="s">
        <v>375</v>
      </c>
      <c r="W293" s="180">
        <f>IF('附表1-面积统计表'!$D$29=0,"",IF(AND(V293="共同成本费用",Z293="总建筑面积法"),ROUND(T293/'附表1-面积统计表'!$D$29*'附表1-面积统计表'!$D$5,2),IF(AND(V293="共同成本费用",Z293="可售建筑面积法"),ROUND(T293/'附表1-面积统计表'!$F$29*'附表1-面积统计表'!$F$5,2),"请手工填写")))</f>
        <v>0</v>
      </c>
      <c r="X293" s="180">
        <f>IF(SUM('附表1-面积统计表'!$D$6)=0,"",SUM(T293)-SUM(W293)-SUM(Y293))</f>
        <v>0</v>
      </c>
      <c r="Y293" s="180">
        <f>IF(SUM('附表1-面积统计表'!$D$6)=0,SUM(T293)-SUM(W293),IF('附表1-面积统计表'!$D$29=0,"",IF(AND(V293="共同成本费用",Z293="总建筑面积法"),ROUND(T293/'附表1-面积统计表'!$D$29*'附表1-面积统计表'!$D$7,2),IF(AND(V293="共同成本费用",Z293="可售建筑面积法"),ROUND(T293/'附表1-面积统计表'!$F$29*'附表1-面积统计表'!$F$7,2),"请手工填写"))))</f>
        <v>0</v>
      </c>
      <c r="Z293" s="183" t="s">
        <v>351</v>
      </c>
      <c r="AA293" s="157"/>
      <c r="AB293" s="184" t="s">
        <v>2319</v>
      </c>
      <c r="AC293" s="132">
        <f t="shared" si="26"/>
        <v>0</v>
      </c>
    </row>
    <row r="294" s="132" customFormat="1" ht="24" customHeight="1" spans="1:29">
      <c r="A294" s="150">
        <v>288</v>
      </c>
      <c r="B294" s="166" t="s">
        <v>3208</v>
      </c>
      <c r="C294" s="166" t="s">
        <v>3209</v>
      </c>
      <c r="D294" s="157" t="s">
        <v>2346</v>
      </c>
      <c r="E294" s="158" t="s">
        <v>2501</v>
      </c>
      <c r="F294" s="189" t="s">
        <v>3210</v>
      </c>
      <c r="G294" s="156" t="s">
        <v>3083</v>
      </c>
      <c r="H294" s="157" t="str">
        <f>IF(G294="","",VLOOKUP(G294,'附表8-合同明细采集底稿'!B:I,2,0))</f>
        <v>场地平整零星工程</v>
      </c>
      <c r="I294" s="165" t="str">
        <f>IF(G294="","",VLOOKUP(G294,'附表8-合同明细采集底稿'!B:I,3,0))</f>
        <v>其他合同</v>
      </c>
      <c r="J294" s="169" t="s">
        <v>3084</v>
      </c>
      <c r="K294" s="157" t="s">
        <v>2335</v>
      </c>
      <c r="L294" s="168" t="s">
        <v>2336</v>
      </c>
      <c r="M294" s="155" t="s">
        <v>3211</v>
      </c>
      <c r="N294" s="167">
        <v>32100</v>
      </c>
      <c r="O294" s="167">
        <v>32100</v>
      </c>
      <c r="P294" s="167">
        <v>32100</v>
      </c>
      <c r="Q294" s="167"/>
      <c r="R294" s="167">
        <f t="shared" si="29"/>
        <v>32100</v>
      </c>
      <c r="S294" s="178">
        <f>IFERROR(VLOOKUP(G294,'附表8-合同明细采集底稿'!B:N,12,0),100%)</f>
        <v>1</v>
      </c>
      <c r="T294" s="167">
        <f t="shared" si="28"/>
        <v>32100</v>
      </c>
      <c r="U294" s="157" t="s">
        <v>2344</v>
      </c>
      <c r="V294" s="179" t="s">
        <v>375</v>
      </c>
      <c r="W294" s="180">
        <f>IF('附表1-面积统计表'!$D$29=0,"",IF(AND(V294="共同成本费用",Z294="总建筑面积法"),ROUND(T294/'附表1-面积统计表'!$D$29*'附表1-面积统计表'!$D$5,2),IF(AND(V294="共同成本费用",Z294="可售建筑面积法"),ROUND(T294/'附表1-面积统计表'!$F$29*'附表1-面积统计表'!$F$5,2),"请手工填写")))</f>
        <v>15551.26</v>
      </c>
      <c r="X294" s="180">
        <f>IF(SUM('附表1-面积统计表'!$D$6)=0,"",SUM(T294)-SUM(W294)-SUM(Y294))</f>
        <v>10289.15</v>
      </c>
      <c r="Y294" s="180">
        <f>IF(SUM('附表1-面积统计表'!$D$6)=0,SUM(T294)-SUM(W294),IF('附表1-面积统计表'!$D$29=0,"",IF(AND(V294="共同成本费用",Z294="总建筑面积法"),ROUND(T294/'附表1-面积统计表'!$D$29*'附表1-面积统计表'!$D$7,2),IF(AND(V294="共同成本费用",Z294="可售建筑面积法"),ROUND(T294/'附表1-面积统计表'!$F$29*'附表1-面积统计表'!$F$7,2),"请手工填写"))))</f>
        <v>6259.59</v>
      </c>
      <c r="Z294" s="183" t="s">
        <v>351</v>
      </c>
      <c r="AA294" s="157"/>
      <c r="AB294" s="184" t="s">
        <v>2319</v>
      </c>
      <c r="AC294" s="132">
        <f t="shared" si="26"/>
        <v>0</v>
      </c>
    </row>
    <row r="295" s="132" customFormat="1" ht="24" customHeight="1" spans="1:29">
      <c r="A295" s="150">
        <v>289</v>
      </c>
      <c r="B295" s="166" t="s">
        <v>3208</v>
      </c>
      <c r="C295" s="166" t="s">
        <v>3212</v>
      </c>
      <c r="D295" s="157" t="s">
        <v>2346</v>
      </c>
      <c r="E295" s="158" t="s">
        <v>2656</v>
      </c>
      <c r="F295" s="189" t="s">
        <v>3213</v>
      </c>
      <c r="G295" s="156" t="s">
        <v>3188</v>
      </c>
      <c r="H295" s="157" t="str">
        <f>IF(G295="","",VLOOKUP(G295,'附表8-合同明细采集底稿'!B:I,2,0))</f>
        <v>沁春锦苑二期施工临时用电线路安装合同</v>
      </c>
      <c r="I295" s="165" t="str">
        <f>IF(G295="","",VLOOKUP(G295,'附表8-合同明细采集底稿'!B:I,3,0))</f>
        <v>建设工程合同</v>
      </c>
      <c r="J295" s="169" t="s">
        <v>2946</v>
      </c>
      <c r="K295" s="157" t="s">
        <v>2355</v>
      </c>
      <c r="L295" s="166">
        <v>6500192130</v>
      </c>
      <c r="M295" s="556" t="s">
        <v>3214</v>
      </c>
      <c r="N295" s="167">
        <v>67889.91</v>
      </c>
      <c r="O295" s="167">
        <v>74000</v>
      </c>
      <c r="P295" s="167">
        <v>67889.91</v>
      </c>
      <c r="Q295" s="167"/>
      <c r="R295" s="167">
        <f t="shared" si="29"/>
        <v>67889.91</v>
      </c>
      <c r="S295" s="178">
        <f>IFERROR(VLOOKUP(G295,'附表8-合同明细采集底稿'!B:N,12,0),100%)</f>
        <v>1</v>
      </c>
      <c r="T295" s="167">
        <f t="shared" si="28"/>
        <v>67889.91</v>
      </c>
      <c r="U295" s="157" t="s">
        <v>2344</v>
      </c>
      <c r="V295" s="179" t="s">
        <v>375</v>
      </c>
      <c r="W295" s="180">
        <f>IF('附表1-面积统计表'!$D$29=0,"",IF(AND(V295="共同成本费用",Z295="总建筑面积法"),ROUND(T295/'附表1-面积统计表'!$D$29*'附表1-面积统计表'!$D$5,2),IF(AND(V295="共同成本费用",Z295="可售建筑面积法"),ROUND(T295/'附表1-面积统计表'!$F$29*'附表1-面积统计表'!$F$5,2),"请手工填写")))</f>
        <v>32890.15</v>
      </c>
      <c r="X295" s="180">
        <f>IF(SUM('附表1-面积统计表'!$D$6)=0,"",SUM(T295)-SUM(W295)-SUM(Y295))</f>
        <v>21761.04</v>
      </c>
      <c r="Y295" s="180">
        <f>IF(SUM('附表1-面积统计表'!$D$6)=0,SUM(T295)-SUM(W295),IF('附表1-面积统计表'!$D$29=0,"",IF(AND(V295="共同成本费用",Z295="总建筑面积法"),ROUND(T295/'附表1-面积统计表'!$D$29*'附表1-面积统计表'!$D$7,2),IF(AND(V295="共同成本费用",Z295="可售建筑面积法"),ROUND(T295/'附表1-面积统计表'!$F$29*'附表1-面积统计表'!$F$7,2),"请手工填写"))))</f>
        <v>13238.72</v>
      </c>
      <c r="Z295" s="183" t="s">
        <v>351</v>
      </c>
      <c r="AA295" s="157"/>
      <c r="AB295" s="184" t="s">
        <v>2319</v>
      </c>
      <c r="AC295" s="132">
        <f t="shared" si="26"/>
        <v>0</v>
      </c>
    </row>
    <row r="296" s="132" customFormat="1" ht="24" customHeight="1" spans="1:29">
      <c r="A296" s="150">
        <v>290</v>
      </c>
      <c r="B296" s="166" t="s">
        <v>3215</v>
      </c>
      <c r="C296" s="166" t="s">
        <v>3216</v>
      </c>
      <c r="D296" s="157" t="s">
        <v>2346</v>
      </c>
      <c r="E296" s="158" t="s">
        <v>2501</v>
      </c>
      <c r="F296" s="189" t="s">
        <v>3217</v>
      </c>
      <c r="G296" s="156" t="s">
        <v>3218</v>
      </c>
      <c r="H296" s="157" t="str">
        <f>IF(G296="","",VLOOKUP(G296,'附表8-合同明细采集底稿'!B:I,2,0))</f>
        <v>沁春锦苑塑胶跑道及游乐设施采购合同</v>
      </c>
      <c r="I296" s="165" t="str">
        <f>IF(G296="","",VLOOKUP(G296,'附表8-合同明细采集底稿'!B:I,3,0))</f>
        <v>其他合同</v>
      </c>
      <c r="J296" s="169" t="s">
        <v>3219</v>
      </c>
      <c r="K296" s="157" t="s">
        <v>2355</v>
      </c>
      <c r="L296" s="166" t="s">
        <v>2367</v>
      </c>
      <c r="M296" s="155" t="s">
        <v>3220</v>
      </c>
      <c r="N296" s="167">
        <v>228318.59</v>
      </c>
      <c r="O296" s="167">
        <v>258000</v>
      </c>
      <c r="P296" s="167">
        <v>228318.59</v>
      </c>
      <c r="Q296" s="167"/>
      <c r="R296" s="167">
        <f t="shared" si="29"/>
        <v>228318.59</v>
      </c>
      <c r="S296" s="178">
        <f>IFERROR(VLOOKUP(G296,'附表8-合同明细采集底稿'!B:N,12,0),100%)</f>
        <v>1</v>
      </c>
      <c r="T296" s="167">
        <f t="shared" si="28"/>
        <v>228318.59</v>
      </c>
      <c r="U296" s="157" t="s">
        <v>2344</v>
      </c>
      <c r="V296" s="179" t="s">
        <v>375</v>
      </c>
      <c r="W296" s="180">
        <f>IF('附表1-面积统计表'!$D$29=0,"",IF(AND(V296="共同成本费用",Z296="总建筑面积法"),ROUND(T296/'附表1-面积统计表'!$D$29*'附表1-面积统计表'!$D$5,2),IF(AND(V296="共同成本费用",Z296="可售建筑面积法"),ROUND(T296/'附表1-面积统计表'!$F$29*'附表1-面积统计表'!$F$5,2),"请手工填写")))</f>
        <v>110611.93</v>
      </c>
      <c r="X296" s="180">
        <f>IF(SUM('附表1-面积统计表'!$D$6)=0,"",SUM(T296)-SUM(W296)-SUM(Y296))</f>
        <v>73183.89</v>
      </c>
      <c r="Y296" s="180">
        <f>IF(SUM('附表1-面积统计表'!$D$6)=0,SUM(T296)-SUM(W296),IF('附表1-面积统计表'!$D$29=0,"",IF(AND(V296="共同成本费用",Z296="总建筑面积法"),ROUND(T296/'附表1-面积统计表'!$D$29*'附表1-面积统计表'!$D$7,2),IF(AND(V296="共同成本费用",Z296="可售建筑面积法"),ROUND(T296/'附表1-面积统计表'!$F$29*'附表1-面积统计表'!$F$7,2),"请手工填写"))))</f>
        <v>44522.77</v>
      </c>
      <c r="Z296" s="183" t="s">
        <v>351</v>
      </c>
      <c r="AA296" s="157"/>
      <c r="AB296" s="184" t="s">
        <v>2319</v>
      </c>
      <c r="AC296" s="132">
        <f t="shared" si="26"/>
        <v>0</v>
      </c>
    </row>
    <row r="297" s="132" customFormat="1" ht="24" customHeight="1" spans="1:29">
      <c r="A297" s="150">
        <v>291</v>
      </c>
      <c r="B297" s="166" t="s">
        <v>3221</v>
      </c>
      <c r="C297" s="166" t="s">
        <v>3222</v>
      </c>
      <c r="D297" s="157" t="s">
        <v>2346</v>
      </c>
      <c r="E297" s="158" t="s">
        <v>2347</v>
      </c>
      <c r="F297" s="189" t="s">
        <v>3223</v>
      </c>
      <c r="G297" s="186" t="s">
        <v>3224</v>
      </c>
      <c r="H297" s="157" t="str">
        <f>IF(G297="","",VLOOKUP(G297,'附表8-合同明细采集底稿'!B:I,2,0))</f>
        <v>地名数字门牌制作合同</v>
      </c>
      <c r="I297" s="165" t="str">
        <f>IF(G297="","",VLOOKUP(G297,'附表8-合同明细采集底稿'!B:I,3,0))</f>
        <v>技术合同</v>
      </c>
      <c r="J297" s="169" t="s">
        <v>3225</v>
      </c>
      <c r="K297" s="157" t="s">
        <v>2355</v>
      </c>
      <c r="L297" s="166">
        <v>6500193130</v>
      </c>
      <c r="M297" s="555" t="s">
        <v>3226</v>
      </c>
      <c r="N297" s="167">
        <v>11318.81</v>
      </c>
      <c r="O297" s="167">
        <v>11432</v>
      </c>
      <c r="P297" s="167">
        <v>11318.81</v>
      </c>
      <c r="Q297" s="167"/>
      <c r="R297" s="167">
        <f t="shared" si="29"/>
        <v>11318.81</v>
      </c>
      <c r="S297" s="178">
        <f>IFERROR(VLOOKUP(G297,'附表8-合同明细采集底稿'!B:N,12,0),100%)</f>
        <v>1</v>
      </c>
      <c r="T297" s="167">
        <f t="shared" si="28"/>
        <v>11318.81</v>
      </c>
      <c r="U297" s="157" t="s">
        <v>2416</v>
      </c>
      <c r="V297" s="179" t="s">
        <v>374</v>
      </c>
      <c r="W297" s="182">
        <f>ROUND(T297*成本分摊比例!$G$13/(成本分摊比例!$G$13+成本分摊比例!$H$13+成本分摊比例!$I$13),2)</f>
        <v>6115.57</v>
      </c>
      <c r="X297" s="182">
        <f>ROUND(T297*成本分摊比例!$H$13/(成本分摊比例!$G$13+成本分摊比例!$H$13+成本分摊比例!$I$13),2)</f>
        <v>4046.23</v>
      </c>
      <c r="Y297" s="182">
        <f t="shared" ref="Y297:Y299" si="30">T297-W297-X297</f>
        <v>1157.01</v>
      </c>
      <c r="Z297" s="183" t="s">
        <v>2406</v>
      </c>
      <c r="AA297" s="157"/>
      <c r="AB297" s="184" t="s">
        <v>2319</v>
      </c>
      <c r="AC297" s="132">
        <f t="shared" si="26"/>
        <v>0</v>
      </c>
    </row>
    <row r="298" s="132" customFormat="1" ht="24" customHeight="1" spans="1:29">
      <c r="A298" s="150">
        <v>292</v>
      </c>
      <c r="B298" s="166" t="s">
        <v>3227</v>
      </c>
      <c r="C298" s="166" t="s">
        <v>3228</v>
      </c>
      <c r="D298" s="157" t="s">
        <v>2533</v>
      </c>
      <c r="E298" s="158" t="s">
        <v>2690</v>
      </c>
      <c r="F298" s="189" t="s">
        <v>3229</v>
      </c>
      <c r="G298" s="156" t="s">
        <v>3230</v>
      </c>
      <c r="H298" s="157" t="str">
        <f>IF(G298="","",VLOOKUP(G298,'附表8-合同明细采集底稿'!B:I,2,0))</f>
        <v>沁春锦苑26#28#30#楼门斗装修</v>
      </c>
      <c r="I298" s="165" t="str">
        <f>IF(G298="","",VLOOKUP(G298,'附表8-合同明细采集底稿'!B:I,3,0))</f>
        <v>建设工程合同</v>
      </c>
      <c r="J298" s="187" t="s">
        <v>3231</v>
      </c>
      <c r="K298" s="157" t="s">
        <v>2355</v>
      </c>
      <c r="L298" s="191">
        <v>6500193130</v>
      </c>
      <c r="M298" s="166" t="s">
        <v>3232</v>
      </c>
      <c r="N298" s="167">
        <v>260917.44</v>
      </c>
      <c r="O298" s="167">
        <v>284400</v>
      </c>
      <c r="P298" s="167">
        <v>260917.44</v>
      </c>
      <c r="Q298" s="167"/>
      <c r="R298" s="167">
        <f t="shared" si="29"/>
        <v>260917.44</v>
      </c>
      <c r="S298" s="178">
        <f>IFERROR(VLOOKUP(G298,'附表8-合同明细采集底稿'!B:N,12,0),100%)</f>
        <v>1</v>
      </c>
      <c r="T298" s="167">
        <f t="shared" si="28"/>
        <v>260917.44</v>
      </c>
      <c r="U298" s="157" t="s">
        <v>2416</v>
      </c>
      <c r="V298" s="179" t="s">
        <v>374</v>
      </c>
      <c r="W298" s="182">
        <f>ROUND(T298*成本分摊比例!$G$13/(成本分摊比例!$G$13+成本分摊比例!$H$13+成本分摊比例!$I$13),2)</f>
        <v>140974.16</v>
      </c>
      <c r="X298" s="182">
        <f>ROUND(T298*成本分摊比例!$H$13/(成本分摊比例!$G$13+成本分摊比例!$H$13+成本分摊比例!$I$13),2)</f>
        <v>93272.38</v>
      </c>
      <c r="Y298" s="182">
        <f t="shared" si="30"/>
        <v>26670.9</v>
      </c>
      <c r="Z298" s="183" t="s">
        <v>2406</v>
      </c>
      <c r="AA298" s="157"/>
      <c r="AB298" s="184" t="s">
        <v>2319</v>
      </c>
      <c r="AC298" s="132">
        <f t="shared" si="26"/>
        <v>0</v>
      </c>
    </row>
    <row r="299" s="132" customFormat="1" ht="24" customHeight="1" spans="1:29">
      <c r="A299" s="150">
        <v>293</v>
      </c>
      <c r="B299" s="166" t="s">
        <v>3227</v>
      </c>
      <c r="C299" s="166" t="s">
        <v>3233</v>
      </c>
      <c r="D299" s="157" t="s">
        <v>2533</v>
      </c>
      <c r="E299" s="158" t="s">
        <v>3234</v>
      </c>
      <c r="F299" s="189" t="s">
        <v>3235</v>
      </c>
      <c r="G299" s="156" t="s">
        <v>3202</v>
      </c>
      <c r="H299" s="157" t="str">
        <f>IF(G299="","",VLOOKUP(G299,'附表8-合同明细采集底稿'!B:I,2,0))</f>
        <v>沁春锦苑一期地下室钢质门（19-24#）</v>
      </c>
      <c r="I299" s="165" t="str">
        <f>IF(G299="","",VLOOKUP(G299,'附表8-合同明细采集底稿'!B:I,3,0))</f>
        <v>买卖合同</v>
      </c>
      <c r="J299" s="187" t="s">
        <v>3018</v>
      </c>
      <c r="K299" s="157" t="s">
        <v>2355</v>
      </c>
      <c r="L299" s="166">
        <v>6500193130</v>
      </c>
      <c r="M299" s="555" t="s">
        <v>3236</v>
      </c>
      <c r="N299" s="167">
        <v>30796.46</v>
      </c>
      <c r="O299" s="167">
        <v>34800</v>
      </c>
      <c r="P299" s="167">
        <v>30796.46</v>
      </c>
      <c r="Q299" s="167"/>
      <c r="R299" s="167">
        <f t="shared" si="29"/>
        <v>30796.46</v>
      </c>
      <c r="S299" s="178">
        <f>IFERROR(VLOOKUP(G299,'附表8-合同明细采集底稿'!B:N,12,0),100%)</f>
        <v>1</v>
      </c>
      <c r="T299" s="167">
        <f t="shared" si="28"/>
        <v>30796.46</v>
      </c>
      <c r="U299" s="157" t="s">
        <v>2416</v>
      </c>
      <c r="V299" s="179" t="s">
        <v>374</v>
      </c>
      <c r="W299" s="182">
        <f>ROUND(T299*成本分摊比例!$G$13/(成本分摊比例!$G$13+成本分摊比例!$H$13+成本分摊比例!$I$13),2)</f>
        <v>16639.38</v>
      </c>
      <c r="X299" s="182">
        <f>ROUND(T299*成本分摊比例!$H$13/(成本分摊比例!$G$13+成本分摊比例!$H$13+成本分摊比例!$I$13),2)</f>
        <v>11009.07</v>
      </c>
      <c r="Y299" s="182">
        <f t="shared" si="30"/>
        <v>3148.01</v>
      </c>
      <c r="Z299" s="183" t="s">
        <v>2406</v>
      </c>
      <c r="AA299" s="157"/>
      <c r="AB299" s="184" t="s">
        <v>2319</v>
      </c>
      <c r="AC299" s="132">
        <f t="shared" si="26"/>
        <v>0</v>
      </c>
    </row>
    <row r="300" s="132" customFormat="1" ht="24" customHeight="1" spans="1:29">
      <c r="A300" s="150">
        <v>294</v>
      </c>
      <c r="B300" s="166" t="s">
        <v>3237</v>
      </c>
      <c r="C300" s="166" t="s">
        <v>3238</v>
      </c>
      <c r="D300" s="157" t="s">
        <v>2346</v>
      </c>
      <c r="E300" s="158" t="s">
        <v>2501</v>
      </c>
      <c r="F300" s="189" t="s">
        <v>3239</v>
      </c>
      <c r="G300" s="156" t="s">
        <v>2931</v>
      </c>
      <c r="H300" s="157" t="str">
        <f>IF(G300="","",VLOOKUP(G300,'附表8-合同明细采集底稿'!B:I,2,0))</f>
        <v>沁春锦苑路岩石</v>
      </c>
      <c r="I300" s="165" t="str">
        <f>IF(G300="","",VLOOKUP(G300,'附表8-合同明细采集底稿'!B:I,3,0))</f>
        <v>其他合同</v>
      </c>
      <c r="J300" s="169" t="s">
        <v>2529</v>
      </c>
      <c r="K300" s="157" t="s">
        <v>2355</v>
      </c>
      <c r="L300" s="166">
        <v>6500193130</v>
      </c>
      <c r="M300" s="555" t="s">
        <v>3240</v>
      </c>
      <c r="N300" s="167">
        <v>32805.08</v>
      </c>
      <c r="O300" s="167">
        <v>37069.74</v>
      </c>
      <c r="P300" s="167">
        <v>32805.08</v>
      </c>
      <c r="Q300" s="167"/>
      <c r="R300" s="167">
        <f t="shared" si="29"/>
        <v>32805.08</v>
      </c>
      <c r="S300" s="178">
        <f>IFERROR(VLOOKUP(G300,'附表8-合同明细采集底稿'!B:N,12,0),100%)</f>
        <v>1</v>
      </c>
      <c r="T300" s="167">
        <f t="shared" si="28"/>
        <v>32805.08</v>
      </c>
      <c r="U300" s="157" t="s">
        <v>2344</v>
      </c>
      <c r="V300" s="179" t="s">
        <v>375</v>
      </c>
      <c r="W300" s="180">
        <f>IF('附表1-面积统计表'!$D$29=0,"",IF(AND(V300="共同成本费用",Z300="总建筑面积法"),ROUND(T300/'附表1-面积统计表'!$D$29*'附表1-面积统计表'!$D$5,2),IF(AND(V300="共同成本费用",Z300="可售建筑面积法"),ROUND(T300/'附表1-面积统计表'!$F$29*'附表1-面积统计表'!$F$5,2),"请手工填写")))</f>
        <v>15892.85</v>
      </c>
      <c r="X300" s="180">
        <f>IF(SUM('附表1-面积统计表'!$D$6)=0,"",SUM(T300)-SUM(W300)-SUM(Y300))</f>
        <v>10515.15</v>
      </c>
      <c r="Y300" s="180">
        <f>IF(SUM('附表1-面积统计表'!$D$6)=0,SUM(T300)-SUM(W300),IF('附表1-面积统计表'!$D$29=0,"",IF(AND(V300="共同成本费用",Z300="总建筑面积法"),ROUND(T300/'附表1-面积统计表'!$D$29*'附表1-面积统计表'!$D$7,2),IF(AND(V300="共同成本费用",Z300="可售建筑面积法"),ROUND(T300/'附表1-面积统计表'!$F$29*'附表1-面积统计表'!$F$7,2),"请手工填写"))))</f>
        <v>6397.08</v>
      </c>
      <c r="Z300" s="183" t="s">
        <v>351</v>
      </c>
      <c r="AA300" s="157"/>
      <c r="AB300" s="184" t="s">
        <v>2319</v>
      </c>
      <c r="AC300" s="132">
        <f t="shared" si="26"/>
        <v>0</v>
      </c>
    </row>
    <row r="301" s="132" customFormat="1" ht="24" customHeight="1" spans="1:29">
      <c r="A301" s="150">
        <v>295</v>
      </c>
      <c r="B301" s="166" t="s">
        <v>3237</v>
      </c>
      <c r="C301" s="166" t="s">
        <v>3241</v>
      </c>
      <c r="D301" s="157" t="s">
        <v>2533</v>
      </c>
      <c r="E301" s="158" t="s">
        <v>2564</v>
      </c>
      <c r="F301" s="189" t="s">
        <v>3242</v>
      </c>
      <c r="G301" s="156" t="s">
        <v>2900</v>
      </c>
      <c r="H301" s="157" t="str">
        <f>IF(G301="","",VLOOKUP(G301,'附表8-合同明细采集底稿'!B:I,2,0))</f>
        <v>沁春锦苑25、26、28#施工协议</v>
      </c>
      <c r="I301" s="165" t="str">
        <f>IF(G301="","",VLOOKUP(G301,'附表8-合同明细采集底稿'!B:I,3,0))</f>
        <v>建设工程合同</v>
      </c>
      <c r="J301" s="187" t="s">
        <v>144</v>
      </c>
      <c r="K301" s="157" t="s">
        <v>2355</v>
      </c>
      <c r="L301" s="191">
        <v>6500193130</v>
      </c>
      <c r="M301" s="155" t="s">
        <v>3243</v>
      </c>
      <c r="N301" s="167">
        <v>1057636.69</v>
      </c>
      <c r="O301" s="167">
        <v>1152824</v>
      </c>
      <c r="P301" s="167">
        <v>1057636.69</v>
      </c>
      <c r="Q301" s="167"/>
      <c r="R301" s="167">
        <f t="shared" si="29"/>
        <v>1057636.69</v>
      </c>
      <c r="S301" s="178">
        <f>IFERROR(VLOOKUP(G301,'附表8-合同明细采集底稿'!B:N,12,0),100%)</f>
        <v>1</v>
      </c>
      <c r="T301" s="167">
        <f t="shared" si="28"/>
        <v>1057636.69</v>
      </c>
      <c r="U301" s="157" t="s">
        <v>2416</v>
      </c>
      <c r="V301" s="179" t="s">
        <v>374</v>
      </c>
      <c r="W301" s="182">
        <f>ROUND(T301*成本分摊比例!$G$13/(成本分摊比例!$G$13+成本分摊比例!$H$13+成本分摊比例!$I$13),2)</f>
        <v>571442.98</v>
      </c>
      <c r="X301" s="182">
        <f>ROUND(T301*成本分摊比例!$H$13/(成本分摊比例!$G$13+成本分摊比例!$H$13+成本分摊比例!$I$13),2)</f>
        <v>378082.42</v>
      </c>
      <c r="Y301" s="182">
        <f>T301-W301-X301</f>
        <v>108111.29</v>
      </c>
      <c r="Z301" s="183" t="s">
        <v>2406</v>
      </c>
      <c r="AA301" s="157"/>
      <c r="AB301" s="184" t="s">
        <v>2319</v>
      </c>
      <c r="AC301" s="132">
        <f t="shared" si="26"/>
        <v>0</v>
      </c>
    </row>
    <row r="302" s="132" customFormat="1" ht="24" customHeight="1" spans="1:29">
      <c r="A302" s="150">
        <v>296</v>
      </c>
      <c r="B302" s="166" t="s">
        <v>3237</v>
      </c>
      <c r="C302" s="166" t="s">
        <v>3244</v>
      </c>
      <c r="D302" s="157" t="s">
        <v>2346</v>
      </c>
      <c r="E302" s="158" t="s">
        <v>2453</v>
      </c>
      <c r="F302" s="189" t="s">
        <v>3245</v>
      </c>
      <c r="G302" s="156" t="s">
        <v>3246</v>
      </c>
      <c r="H302" s="157" t="str">
        <f>IF(G302="","",VLOOKUP(G302,'附表8-合同明细采集底稿'!B:I,2,0))</f>
        <v>沁春锦苑一期二批次景观绿化（25-30#）+提升附属合同</v>
      </c>
      <c r="I302" s="165" t="str">
        <f>IF(G302="","",VLOOKUP(G302,'附表8-合同明细采集底稿'!B:I,3,0))</f>
        <v>其他合同</v>
      </c>
      <c r="J302" s="169" t="s">
        <v>2498</v>
      </c>
      <c r="K302" s="157" t="s">
        <v>2355</v>
      </c>
      <c r="L302" s="191">
        <v>6500193130</v>
      </c>
      <c r="M302" s="166" t="s">
        <v>3247</v>
      </c>
      <c r="N302" s="167">
        <v>798165.14</v>
      </c>
      <c r="O302" s="167">
        <v>870000</v>
      </c>
      <c r="P302" s="167">
        <v>798165.14</v>
      </c>
      <c r="Q302" s="167"/>
      <c r="R302" s="167">
        <f t="shared" si="29"/>
        <v>798165.14</v>
      </c>
      <c r="S302" s="178">
        <f>IFERROR(VLOOKUP(G302,'附表8-合同明细采集底稿'!B:N,12,0),100%)</f>
        <v>1</v>
      </c>
      <c r="T302" s="167">
        <f t="shared" si="28"/>
        <v>798165.14</v>
      </c>
      <c r="U302" s="157" t="s">
        <v>2344</v>
      </c>
      <c r="V302" s="179" t="s">
        <v>375</v>
      </c>
      <c r="W302" s="180">
        <f>IF('附表1-面积统计表'!$D$29=0,"",IF(AND(V302="共同成本费用",Z302="总建筑面积法"),ROUND(T302/'附表1-面积统计表'!$D$29*'附表1-面积统计表'!$D$5,2),IF(AND(V302="共同成本费用",Z302="可售建筑面积法"),ROUND(T302/'附表1-面积统计表'!$F$29*'附表1-面积统计表'!$F$5,2),"请手工填写")))</f>
        <v>386681.54</v>
      </c>
      <c r="X302" s="180">
        <f>IF(SUM('附表1-面积统计表'!$D$6)=0,"",SUM(T302)-SUM(W302)-SUM(Y302))</f>
        <v>255839.15</v>
      </c>
      <c r="Y302" s="180">
        <f>IF(SUM('附表1-面积统计表'!$D$6)=0,SUM(T302)-SUM(W302),IF('附表1-面积统计表'!$D$29=0,"",IF(AND(V302="共同成本费用",Z302="总建筑面积法"),ROUND(T302/'附表1-面积统计表'!$D$29*'附表1-面积统计表'!$D$7,2),IF(AND(V302="共同成本费用",Z302="可售建筑面积法"),ROUND(T302/'附表1-面积统计表'!$F$29*'附表1-面积统计表'!$F$7,2),"请手工填写"))))</f>
        <v>155644.45</v>
      </c>
      <c r="Z302" s="183" t="s">
        <v>351</v>
      </c>
      <c r="AA302" s="157"/>
      <c r="AB302" s="184" t="s">
        <v>2319</v>
      </c>
      <c r="AC302" s="132">
        <f t="shared" si="26"/>
        <v>0</v>
      </c>
    </row>
    <row r="303" s="132" customFormat="1" ht="24" customHeight="1" spans="1:29">
      <c r="A303" s="150">
        <v>297</v>
      </c>
      <c r="B303" s="166" t="s">
        <v>3237</v>
      </c>
      <c r="C303" s="166" t="s">
        <v>3248</v>
      </c>
      <c r="D303" s="157" t="s">
        <v>2533</v>
      </c>
      <c r="E303" s="158" t="s">
        <v>2788</v>
      </c>
      <c r="F303" s="189" t="s">
        <v>3249</v>
      </c>
      <c r="G303" s="156" t="s">
        <v>3250</v>
      </c>
      <c r="H303" s="157" t="str">
        <f>IF(G303="","",VLOOKUP(G303,'附表8-合同明细采集底稿'!B:I,2,0))</f>
        <v>沁春锦苑32#33#34#楼外墙装修</v>
      </c>
      <c r="I303" s="165" t="str">
        <f>IF(G303="","",VLOOKUP(G303,'附表8-合同明细采集底稿'!B:I,3,0))</f>
        <v>建设工程合同</v>
      </c>
      <c r="J303" s="187" t="s">
        <v>3231</v>
      </c>
      <c r="K303" s="157" t="s">
        <v>2355</v>
      </c>
      <c r="L303" s="191">
        <v>6500193130</v>
      </c>
      <c r="M303" s="166" t="s">
        <v>3251</v>
      </c>
      <c r="N303" s="167">
        <v>633027.53</v>
      </c>
      <c r="O303" s="167">
        <v>690000</v>
      </c>
      <c r="P303" s="167">
        <v>633027.53</v>
      </c>
      <c r="Q303" s="167"/>
      <c r="R303" s="167">
        <f t="shared" si="29"/>
        <v>633027.53</v>
      </c>
      <c r="S303" s="178">
        <f>IFERROR(VLOOKUP(G303,'附表8-合同明细采集底稿'!B:N,12,0),100%)</f>
        <v>1</v>
      </c>
      <c r="T303" s="167">
        <f t="shared" si="28"/>
        <v>633027.53</v>
      </c>
      <c r="U303" s="157" t="s">
        <v>2405</v>
      </c>
      <c r="V303" s="179" t="s">
        <v>374</v>
      </c>
      <c r="W303" s="181">
        <v>0</v>
      </c>
      <c r="X303" s="181">
        <v>0</v>
      </c>
      <c r="Y303" s="181">
        <v>633027.53</v>
      </c>
      <c r="Z303" s="183" t="s">
        <v>2406</v>
      </c>
      <c r="AA303" s="157"/>
      <c r="AB303" s="184" t="s">
        <v>2319</v>
      </c>
      <c r="AC303" s="132">
        <f t="shared" si="26"/>
        <v>0</v>
      </c>
    </row>
    <row r="304" s="132" customFormat="1" ht="24" customHeight="1" spans="1:29">
      <c r="A304" s="150">
        <v>298</v>
      </c>
      <c r="B304" s="166" t="s">
        <v>3237</v>
      </c>
      <c r="C304" s="166" t="s">
        <v>3252</v>
      </c>
      <c r="D304" s="157" t="s">
        <v>2533</v>
      </c>
      <c r="E304" s="158" t="s">
        <v>2690</v>
      </c>
      <c r="F304" s="189" t="s">
        <v>3253</v>
      </c>
      <c r="G304" s="156" t="s">
        <v>3064</v>
      </c>
      <c r="H304" s="157" t="str">
        <f>IF(G304="","",VLOOKUP(G304,'附表8-合同明细采集底稿'!B:I,2,0))</f>
        <v>沁春锦苑20#24#楼门斗装修</v>
      </c>
      <c r="I304" s="165" t="str">
        <f>IF(G304="","",VLOOKUP(G304,'附表8-合同明细采集底稿'!B:I,3,0))</f>
        <v>建设工程合同</v>
      </c>
      <c r="J304" s="187" t="s">
        <v>3065</v>
      </c>
      <c r="K304" s="157" t="s">
        <v>2355</v>
      </c>
      <c r="L304" s="191">
        <v>6500182130</v>
      </c>
      <c r="M304" s="155" t="s">
        <v>3254</v>
      </c>
      <c r="N304" s="167">
        <v>110613.86</v>
      </c>
      <c r="O304" s="167">
        <v>111720</v>
      </c>
      <c r="P304" s="167">
        <v>110613.86</v>
      </c>
      <c r="Q304" s="167"/>
      <c r="R304" s="167">
        <f t="shared" si="29"/>
        <v>110613.86</v>
      </c>
      <c r="S304" s="178">
        <f>IFERROR(VLOOKUP(G304,'附表8-合同明细采集底稿'!B:N,12,0),100%)</f>
        <v>1</v>
      </c>
      <c r="T304" s="167">
        <f t="shared" si="28"/>
        <v>110613.86</v>
      </c>
      <c r="U304" s="157" t="s">
        <v>2416</v>
      </c>
      <c r="V304" s="179" t="s">
        <v>374</v>
      </c>
      <c r="W304" s="182">
        <f>ROUND(T304*成本分摊比例!$G$13/(成本分摊比例!$G$13+成本分摊比例!$H$13+成本分摊比例!$I$13),2)</f>
        <v>59764.87</v>
      </c>
      <c r="X304" s="182">
        <f>ROUND(T304*成本分摊比例!$H$13/(成本分摊比例!$G$13+成本分摊比例!$H$13+成本分摊比例!$I$13),2)</f>
        <v>39542.08</v>
      </c>
      <c r="Y304" s="182">
        <f t="shared" ref="Y304:Y308" si="31">T304-W304-X304</f>
        <v>11306.91</v>
      </c>
      <c r="Z304" s="183" t="s">
        <v>2406</v>
      </c>
      <c r="AA304" s="157"/>
      <c r="AB304" s="184" t="s">
        <v>2319</v>
      </c>
      <c r="AC304" s="132">
        <f t="shared" si="26"/>
        <v>0</v>
      </c>
    </row>
    <row r="305" s="132" customFormat="1" ht="24" customHeight="1" spans="1:29">
      <c r="A305" s="150">
        <v>299</v>
      </c>
      <c r="B305" s="166" t="s">
        <v>3255</v>
      </c>
      <c r="C305" s="166" t="s">
        <v>3256</v>
      </c>
      <c r="D305" s="157" t="s">
        <v>2470</v>
      </c>
      <c r="E305" s="158" t="s">
        <v>2471</v>
      </c>
      <c r="F305" s="189" t="s">
        <v>3257</v>
      </c>
      <c r="G305" s="156"/>
      <c r="H305" s="157" t="str">
        <f>IF(G305="","",VLOOKUP(G305,'附表8-合同明细采集底稿'!B:I,2,0))</f>
        <v/>
      </c>
      <c r="I305" s="165" t="str">
        <f>IF(G305="","",VLOOKUP(G305,'附表8-合同明细采集底稿'!B:I,3,0))</f>
        <v/>
      </c>
      <c r="J305" s="187" t="s">
        <v>3258</v>
      </c>
      <c r="K305" s="157" t="s">
        <v>2335</v>
      </c>
      <c r="L305" s="168" t="s">
        <v>2336</v>
      </c>
      <c r="M305" s="166">
        <v>17961716</v>
      </c>
      <c r="N305" s="167">
        <v>10000</v>
      </c>
      <c r="O305" s="167">
        <v>10000</v>
      </c>
      <c r="P305" s="167">
        <v>10000</v>
      </c>
      <c r="Q305" s="167">
        <v>-10000</v>
      </c>
      <c r="R305" s="167">
        <f t="shared" si="29"/>
        <v>0</v>
      </c>
      <c r="S305" s="178">
        <v>1</v>
      </c>
      <c r="T305" s="167">
        <f t="shared" si="28"/>
        <v>0</v>
      </c>
      <c r="U305" s="157" t="s">
        <v>2641</v>
      </c>
      <c r="V305" s="179" t="s">
        <v>375</v>
      </c>
      <c r="W305" s="180">
        <f>IF('附表1-面积统计表'!$D$29=0,"",IF(AND(V305="共同成本费用",Z305="总建筑面积法"),ROUND(T305/'附表1-面积统计表'!$D$29*'附表1-面积统计表'!$D$5,2),IF(AND(V305="共同成本费用",Z305="可售建筑面积法"),ROUND(T305/'附表1-面积统计表'!$F$29*'附表1-面积统计表'!$F$5,2),"请手工填写")))</f>
        <v>0</v>
      </c>
      <c r="X305" s="180">
        <f>IF(SUM('附表1-面积统计表'!$D$6)=0,"",SUM(T305)-SUM(W305)-SUM(Y305))</f>
        <v>0</v>
      </c>
      <c r="Y305" s="180">
        <f>IF(SUM('附表1-面积统计表'!$D$6)=0,SUM(T305)-SUM(W305),IF('附表1-面积统计表'!$D$29=0,"",IF(AND(V305="共同成本费用",Z305="总建筑面积法"),ROUND(T305/'附表1-面积统计表'!$D$29*'附表1-面积统计表'!$D$7,2),IF(AND(V305="共同成本费用",Z305="可售建筑面积法"),ROUND(T305/'附表1-面积统计表'!$F$29*'附表1-面积统计表'!$F$7,2),"请手工填写"))))</f>
        <v>0</v>
      </c>
      <c r="Z305" s="183" t="s">
        <v>351</v>
      </c>
      <c r="AA305" s="157"/>
      <c r="AB305" s="184" t="s">
        <v>2319</v>
      </c>
      <c r="AC305" s="132">
        <f t="shared" si="26"/>
        <v>0</v>
      </c>
    </row>
    <row r="306" s="132" customFormat="1" ht="24" customHeight="1" spans="1:29">
      <c r="A306" s="150">
        <v>300</v>
      </c>
      <c r="B306" s="166" t="s">
        <v>3259</v>
      </c>
      <c r="C306" s="166" t="s">
        <v>3260</v>
      </c>
      <c r="D306" s="157" t="s">
        <v>2339</v>
      </c>
      <c r="E306" s="158" t="s">
        <v>2363</v>
      </c>
      <c r="F306" s="189" t="s">
        <v>3261</v>
      </c>
      <c r="G306" s="156" t="s">
        <v>3163</v>
      </c>
      <c r="H306" s="157" t="str">
        <f>IF(G306="","",VLOOKUP(G306,'附表8-合同明细采集底稿'!B:I,2,0))</f>
        <v>建设工程造价咨询合同</v>
      </c>
      <c r="I306" s="165" t="str">
        <f>IF(G306="","",VLOOKUP(G306,'附表8-合同明细采集底稿'!B:I,3,0))</f>
        <v>技术合同</v>
      </c>
      <c r="J306" s="187" t="s">
        <v>3164</v>
      </c>
      <c r="K306" s="157" t="s">
        <v>2335</v>
      </c>
      <c r="L306" s="168" t="s">
        <v>2336</v>
      </c>
      <c r="M306" s="166" t="s">
        <v>3262</v>
      </c>
      <c r="N306" s="167">
        <v>60000</v>
      </c>
      <c r="O306" s="167">
        <v>60000</v>
      </c>
      <c r="P306" s="167">
        <v>60000</v>
      </c>
      <c r="Q306" s="167"/>
      <c r="R306" s="167">
        <f t="shared" si="29"/>
        <v>60000</v>
      </c>
      <c r="S306" s="178">
        <f>IFERROR(VLOOKUP(G306,'附表8-合同明细采集底稿'!B:N,12,0),100%)</f>
        <v>1</v>
      </c>
      <c r="T306" s="167">
        <f t="shared" si="28"/>
        <v>60000</v>
      </c>
      <c r="U306" s="157" t="s">
        <v>2344</v>
      </c>
      <c r="V306" s="179" t="s">
        <v>375</v>
      </c>
      <c r="W306" s="180">
        <f>IF('附表1-面积统计表'!$D$29=0,"",IF(AND(V306="共同成本费用",Z306="总建筑面积法"),ROUND(T306/'附表1-面积统计表'!$D$29*'附表1-面积统计表'!$D$5,2),IF(AND(V306="共同成本费用",Z306="可售建筑面积法"),ROUND(T306/'附表1-面积统计表'!$F$29*'附表1-面积统计表'!$F$5,2),"请手工填写")))</f>
        <v>29067.78</v>
      </c>
      <c r="X306" s="180">
        <f>IF(SUM('附表1-面积统计表'!$D$6)=0,"",SUM(T306)-SUM(W306)-SUM(Y306))</f>
        <v>19232.05</v>
      </c>
      <c r="Y306" s="180">
        <f>IF(SUM('附表1-面积统计表'!$D$6)=0,SUM(T306)-SUM(W306),IF('附表1-面积统计表'!$D$29=0,"",IF(AND(V306="共同成本费用",Z306="总建筑面积法"),ROUND(T306/'附表1-面积统计表'!$D$29*'附表1-面积统计表'!$D$7,2),IF(AND(V306="共同成本费用",Z306="可售建筑面积法"),ROUND(T306/'附表1-面积统计表'!$F$29*'附表1-面积统计表'!$F$7,2),"请手工填写"))))</f>
        <v>11700.17</v>
      </c>
      <c r="Z306" s="183" t="s">
        <v>351</v>
      </c>
      <c r="AA306" s="157"/>
      <c r="AB306" s="184" t="s">
        <v>2319</v>
      </c>
      <c r="AC306" s="132">
        <f t="shared" si="26"/>
        <v>0</v>
      </c>
    </row>
    <row r="307" s="132" customFormat="1" ht="24" customHeight="1" spans="1:29">
      <c r="A307" s="150">
        <v>301</v>
      </c>
      <c r="B307" s="166" t="s">
        <v>3259</v>
      </c>
      <c r="C307" s="166" t="s">
        <v>3263</v>
      </c>
      <c r="D307" s="157" t="s">
        <v>2533</v>
      </c>
      <c r="E307" s="158" t="s">
        <v>2564</v>
      </c>
      <c r="F307" s="189" t="s">
        <v>3264</v>
      </c>
      <c r="G307" s="156" t="s">
        <v>2958</v>
      </c>
      <c r="H307" s="157" t="str">
        <f>IF(G307="","",VLOOKUP(G307,'附表8-合同明细采集底稿'!B:I,2,0))</f>
        <v>25#26#27#34#断桥铝合金窗工程</v>
      </c>
      <c r="I307" s="165" t="str">
        <f>IF(G307="","",VLOOKUP(G307,'附表8-合同明细采集底稿'!B:I,3,0))</f>
        <v>买卖合同</v>
      </c>
      <c r="J307" s="187" t="s">
        <v>2596</v>
      </c>
      <c r="K307" s="157" t="s">
        <v>2355</v>
      </c>
      <c r="L307" s="191">
        <v>6500193130</v>
      </c>
      <c r="M307" s="166" t="s">
        <v>3265</v>
      </c>
      <c r="N307" s="167">
        <v>247787.62</v>
      </c>
      <c r="O307" s="167">
        <v>280000</v>
      </c>
      <c r="P307" s="167">
        <v>247787.62</v>
      </c>
      <c r="Q307" s="167"/>
      <c r="R307" s="167">
        <f t="shared" si="29"/>
        <v>247787.62</v>
      </c>
      <c r="S307" s="178">
        <f>IFERROR(VLOOKUP(G307,'附表8-合同明细采集底稿'!B:N,12,0),100%)</f>
        <v>1</v>
      </c>
      <c r="T307" s="167">
        <f t="shared" si="28"/>
        <v>247787.62</v>
      </c>
      <c r="U307" s="157" t="s">
        <v>2416</v>
      </c>
      <c r="V307" s="179" t="s">
        <v>374</v>
      </c>
      <c r="W307" s="182">
        <f>ROUND(T307*成本分摊比例!$G$13/(成本分摊比例!$G$13+成本分摊比例!$H$13+成本分摊比例!$I$13),2)</f>
        <v>133880.09</v>
      </c>
      <c r="X307" s="182">
        <f>ROUND(T307*成本分摊比例!$H$13/(成本分摊比例!$G$13+成本分摊比例!$H$13+成本分摊比例!$I$13),2)</f>
        <v>88578.76</v>
      </c>
      <c r="Y307" s="182">
        <f t="shared" si="31"/>
        <v>25328.77</v>
      </c>
      <c r="Z307" s="183" t="s">
        <v>2406</v>
      </c>
      <c r="AA307" s="157"/>
      <c r="AB307" s="184" t="s">
        <v>2319</v>
      </c>
      <c r="AC307" s="132">
        <f t="shared" si="26"/>
        <v>0</v>
      </c>
    </row>
    <row r="308" s="132" customFormat="1" ht="24" customHeight="1" spans="1:29">
      <c r="A308" s="150">
        <v>302</v>
      </c>
      <c r="B308" s="166" t="s">
        <v>3259</v>
      </c>
      <c r="C308" s="166" t="s">
        <v>3266</v>
      </c>
      <c r="D308" s="157" t="s">
        <v>2533</v>
      </c>
      <c r="E308" s="158" t="s">
        <v>2564</v>
      </c>
      <c r="F308" s="189" t="s">
        <v>3267</v>
      </c>
      <c r="G308" s="156" t="s">
        <v>2952</v>
      </c>
      <c r="H308" s="157" t="str">
        <f>IF(G308="","",VLOOKUP(G308,'附表8-合同明细采集底稿'!B:I,2,0))</f>
        <v>承揽合同（铝合金窗28.29.30）</v>
      </c>
      <c r="I308" s="165" t="str">
        <f>IF(G308="","",VLOOKUP(G308,'附表8-合同明细采集底稿'!B:I,3,0))</f>
        <v>买卖合同</v>
      </c>
      <c r="J308" s="187" t="s">
        <v>2556</v>
      </c>
      <c r="K308" s="157" t="s">
        <v>2355</v>
      </c>
      <c r="L308" s="191">
        <v>6500193130</v>
      </c>
      <c r="M308" s="155" t="s">
        <v>3268</v>
      </c>
      <c r="N308" s="167">
        <v>112730.98</v>
      </c>
      <c r="O308" s="167">
        <v>127386</v>
      </c>
      <c r="P308" s="167">
        <v>112730.98</v>
      </c>
      <c r="Q308" s="167"/>
      <c r="R308" s="167">
        <f t="shared" si="29"/>
        <v>112730.98</v>
      </c>
      <c r="S308" s="178">
        <f>IFERROR(VLOOKUP(G308,'附表8-合同明细采集底稿'!B:N,12,0),100%)</f>
        <v>1</v>
      </c>
      <c r="T308" s="167">
        <f t="shared" si="28"/>
        <v>112730.98</v>
      </c>
      <c r="U308" s="157" t="s">
        <v>2416</v>
      </c>
      <c r="V308" s="179" t="s">
        <v>374</v>
      </c>
      <c r="W308" s="182">
        <f>ROUND(T308*成本分摊比例!$G$13/(成本分摊比例!$G$13+成本分摊比例!$H$13+成本分摊比例!$I$13),2)</f>
        <v>60908.75</v>
      </c>
      <c r="X308" s="182">
        <f>ROUND(T308*成本分摊比例!$H$13/(成本分摊比例!$G$13+成本分摊比例!$H$13+成本分摊比例!$I$13),2)</f>
        <v>40298.91</v>
      </c>
      <c r="Y308" s="182">
        <f t="shared" si="31"/>
        <v>11523.32</v>
      </c>
      <c r="Z308" s="183" t="s">
        <v>2406</v>
      </c>
      <c r="AA308" s="157"/>
      <c r="AB308" s="184" t="s">
        <v>2319</v>
      </c>
      <c r="AC308" s="132">
        <f t="shared" si="26"/>
        <v>0</v>
      </c>
    </row>
    <row r="309" s="132" customFormat="1" ht="24" customHeight="1" spans="1:29">
      <c r="A309" s="150">
        <v>303</v>
      </c>
      <c r="B309" s="166" t="s">
        <v>3269</v>
      </c>
      <c r="C309" s="166" t="s">
        <v>3270</v>
      </c>
      <c r="D309" s="157" t="s">
        <v>2339</v>
      </c>
      <c r="E309" s="158" t="s">
        <v>2523</v>
      </c>
      <c r="F309" s="189" t="s">
        <v>3271</v>
      </c>
      <c r="G309" s="156" t="s">
        <v>3075</v>
      </c>
      <c r="H309" s="157" t="str">
        <f>IF(G309="","",VLOOKUP(G309,'附表8-合同明细采集底稿'!B:I,2,0))</f>
        <v>沁春锦苑2#楼临时路口封闭</v>
      </c>
      <c r="I309" s="165" t="str">
        <f>IF(G309="","",VLOOKUP(G309,'附表8-合同明细采集底稿'!B:I,3,0))</f>
        <v>其他合同</v>
      </c>
      <c r="J309" s="154" t="s">
        <v>3076</v>
      </c>
      <c r="K309" s="157" t="s">
        <v>2355</v>
      </c>
      <c r="L309" s="166">
        <v>6500193160</v>
      </c>
      <c r="M309" s="555" t="s">
        <v>3272</v>
      </c>
      <c r="N309" s="167">
        <v>23995.05</v>
      </c>
      <c r="O309" s="167">
        <v>24235</v>
      </c>
      <c r="P309" s="167">
        <v>23995.05</v>
      </c>
      <c r="Q309" s="167">
        <v>-23995.05</v>
      </c>
      <c r="R309" s="167">
        <f t="shared" si="29"/>
        <v>0</v>
      </c>
      <c r="S309" s="178">
        <f>IFERROR(VLOOKUP(G309,'附表8-合同明细采集底稿'!B:N,12,0),100%)</f>
        <v>1</v>
      </c>
      <c r="T309" s="167">
        <f t="shared" si="28"/>
        <v>0</v>
      </c>
      <c r="U309" s="157" t="s">
        <v>3077</v>
      </c>
      <c r="V309" s="179" t="s">
        <v>375</v>
      </c>
      <c r="W309" s="180">
        <f>IF('附表1-面积统计表'!$D$29=0,"",IF(AND(V309="共同成本费用",Z309="总建筑面积法"),ROUND(T309/'附表1-面积统计表'!$D$29*'附表1-面积统计表'!$D$5,2),IF(AND(V309="共同成本费用",Z309="可售建筑面积法"),ROUND(T309/'附表1-面积统计表'!$F$29*'附表1-面积统计表'!$F$5,2),"请手工填写")))</f>
        <v>0</v>
      </c>
      <c r="X309" s="180">
        <f>IF(SUM('附表1-面积统计表'!$D$6)=0,"",SUM(T309)-SUM(W309)-SUM(Y309))</f>
        <v>0</v>
      </c>
      <c r="Y309" s="180">
        <f>IF(SUM('附表1-面积统计表'!$D$6)=0,SUM(T309)-SUM(W309),IF('附表1-面积统计表'!$D$29=0,"",IF(AND(V309="共同成本费用",Z309="总建筑面积法"),ROUND(T309/'附表1-面积统计表'!$D$29*'附表1-面积统计表'!$D$7,2),IF(AND(V309="共同成本费用",Z309="可售建筑面积法"),ROUND(T309/'附表1-面积统计表'!$F$29*'附表1-面积统计表'!$F$7,2),"请手工填写"))))</f>
        <v>0</v>
      </c>
      <c r="Z309" s="183" t="s">
        <v>351</v>
      </c>
      <c r="AA309" s="157"/>
      <c r="AB309" s="184" t="s">
        <v>2319</v>
      </c>
      <c r="AC309" s="132">
        <f t="shared" si="26"/>
        <v>0</v>
      </c>
    </row>
    <row r="310" s="132" customFormat="1" ht="24" customHeight="1" spans="1:29">
      <c r="A310" s="150">
        <v>304</v>
      </c>
      <c r="B310" s="166" t="s">
        <v>3269</v>
      </c>
      <c r="C310" s="166" t="s">
        <v>3273</v>
      </c>
      <c r="D310" s="157" t="s">
        <v>2339</v>
      </c>
      <c r="E310" s="158" t="s">
        <v>2351</v>
      </c>
      <c r="F310" s="189" t="s">
        <v>3274</v>
      </c>
      <c r="G310" s="156" t="s">
        <v>3275</v>
      </c>
      <c r="H310" s="157" t="str">
        <f>IF(G310="","",VLOOKUP(G310,'附表8-合同明细采集底稿'!B:I,2,0))</f>
        <v>32-34号楼天然气设计费</v>
      </c>
      <c r="I310" s="165" t="str">
        <f>IF(G310="","",VLOOKUP(G310,'附表8-合同明细采集底稿'!B:I,3,0))</f>
        <v>技术合同</v>
      </c>
      <c r="J310" s="187" t="s">
        <v>3276</v>
      </c>
      <c r="K310" s="157" t="s">
        <v>2355</v>
      </c>
      <c r="L310" s="166">
        <v>6500193130</v>
      </c>
      <c r="M310" s="555" t="s">
        <v>3277</v>
      </c>
      <c r="N310" s="167">
        <v>9897.17</v>
      </c>
      <c r="O310" s="167">
        <v>10491</v>
      </c>
      <c r="P310" s="167">
        <v>9897.17</v>
      </c>
      <c r="Q310" s="167"/>
      <c r="R310" s="167">
        <f t="shared" si="29"/>
        <v>9897.17</v>
      </c>
      <c r="S310" s="178">
        <f>IFERROR(VLOOKUP(G310,'附表8-合同明细采集底稿'!B:N,12,0),100%)</f>
        <v>1</v>
      </c>
      <c r="T310" s="167">
        <f t="shared" si="28"/>
        <v>9897.17</v>
      </c>
      <c r="U310" s="157" t="s">
        <v>2405</v>
      </c>
      <c r="V310" s="179" t="s">
        <v>374</v>
      </c>
      <c r="W310" s="181">
        <v>0</v>
      </c>
      <c r="X310" s="181">
        <v>0</v>
      </c>
      <c r="Y310" s="181">
        <v>9897.17</v>
      </c>
      <c r="Z310" s="183" t="s">
        <v>2406</v>
      </c>
      <c r="AA310" s="157"/>
      <c r="AB310" s="184" t="s">
        <v>2319</v>
      </c>
      <c r="AC310" s="132">
        <f t="shared" si="26"/>
        <v>0</v>
      </c>
    </row>
    <row r="311" s="132" customFormat="1" ht="24" customHeight="1" spans="1:29">
      <c r="A311" s="150">
        <v>305</v>
      </c>
      <c r="B311" s="166" t="s">
        <v>3269</v>
      </c>
      <c r="C311" s="166" t="s">
        <v>3278</v>
      </c>
      <c r="D311" s="157" t="s">
        <v>2533</v>
      </c>
      <c r="E311" s="158" t="s">
        <v>2534</v>
      </c>
      <c r="F311" s="189" t="s">
        <v>3279</v>
      </c>
      <c r="G311" s="156"/>
      <c r="H311" s="157" t="str">
        <f>IF(G311="","",VLOOKUP(G311,'附表8-合同明细采集底稿'!B:I,2,0))</f>
        <v/>
      </c>
      <c r="I311" s="165" t="str">
        <f>IF(G311="","",VLOOKUP(G311,'附表8-合同明细采集底稿'!B:I,3,0))</f>
        <v/>
      </c>
      <c r="J311" s="187" t="s">
        <v>3280</v>
      </c>
      <c r="K311" s="157" t="s">
        <v>2335</v>
      </c>
      <c r="L311" s="168" t="s">
        <v>2336</v>
      </c>
      <c r="M311" s="166" t="s">
        <v>3281</v>
      </c>
      <c r="N311" s="167">
        <v>450000</v>
      </c>
      <c r="O311" s="167">
        <v>450000</v>
      </c>
      <c r="P311" s="167">
        <v>450000</v>
      </c>
      <c r="Q311" s="167">
        <v>-50000</v>
      </c>
      <c r="R311" s="167">
        <f t="shared" si="29"/>
        <v>400000</v>
      </c>
      <c r="S311" s="178">
        <v>1</v>
      </c>
      <c r="T311" s="167">
        <f t="shared" si="28"/>
        <v>400000</v>
      </c>
      <c r="U311" s="157" t="s">
        <v>2405</v>
      </c>
      <c r="V311" s="179" t="s">
        <v>374</v>
      </c>
      <c r="W311" s="181">
        <v>0</v>
      </c>
      <c r="X311" s="181">
        <v>0</v>
      </c>
      <c r="Y311" s="181">
        <f>T311</f>
        <v>400000</v>
      </c>
      <c r="Z311" s="183" t="s">
        <v>2406</v>
      </c>
      <c r="AA311" s="157"/>
      <c r="AB311" s="184" t="s">
        <v>2319</v>
      </c>
      <c r="AC311" s="132">
        <f t="shared" si="26"/>
        <v>0</v>
      </c>
    </row>
    <row r="312" s="132" customFormat="1" ht="24" customHeight="1" spans="1:29">
      <c r="A312" s="150">
        <v>306</v>
      </c>
      <c r="B312" s="166" t="s">
        <v>3269</v>
      </c>
      <c r="C312" s="166" t="s">
        <v>3282</v>
      </c>
      <c r="D312" s="157" t="s">
        <v>2533</v>
      </c>
      <c r="E312" s="158" t="s">
        <v>2564</v>
      </c>
      <c r="F312" s="189" t="s">
        <v>3283</v>
      </c>
      <c r="G312" s="156" t="s">
        <v>2900</v>
      </c>
      <c r="H312" s="157" t="str">
        <f>IF(G312="","",VLOOKUP(G312,'附表8-合同明细采集底稿'!B:I,2,0))</f>
        <v>沁春锦苑25、26、28#施工协议</v>
      </c>
      <c r="I312" s="165" t="str">
        <f>IF(G312="","",VLOOKUP(G312,'附表8-合同明细采集底稿'!B:I,3,0))</f>
        <v>建设工程合同</v>
      </c>
      <c r="J312" s="187" t="s">
        <v>144</v>
      </c>
      <c r="K312" s="157" t="s">
        <v>2355</v>
      </c>
      <c r="L312" s="166" t="s">
        <v>2367</v>
      </c>
      <c r="M312" s="155" t="s">
        <v>3284</v>
      </c>
      <c r="N312" s="167">
        <v>1728691.74</v>
      </c>
      <c r="O312" s="167">
        <v>1884274</v>
      </c>
      <c r="P312" s="167">
        <v>1728691.74</v>
      </c>
      <c r="Q312" s="167"/>
      <c r="R312" s="167">
        <f t="shared" si="29"/>
        <v>1728691.74</v>
      </c>
      <c r="S312" s="178">
        <f>IFERROR(VLOOKUP(G312,'附表8-合同明细采集底稿'!B:N,12,0),100%)</f>
        <v>1</v>
      </c>
      <c r="T312" s="167">
        <f t="shared" si="28"/>
        <v>1728691.74</v>
      </c>
      <c r="U312" s="157" t="s">
        <v>2416</v>
      </c>
      <c r="V312" s="179" t="s">
        <v>374</v>
      </c>
      <c r="W312" s="182">
        <f>ROUND(T312*成本分摊比例!$G$13/(成本分摊比例!$G$13+成本分摊比例!$H$13+成本分摊比例!$I$13),2)</f>
        <v>934015.22</v>
      </c>
      <c r="X312" s="182">
        <f>ROUND(T312*成本分摊比例!$H$13/(成本分摊比例!$G$13+成本分摊比例!$H$13+成本分摊比例!$I$13),2)</f>
        <v>617970.19</v>
      </c>
      <c r="Y312" s="182">
        <f>T312-W312-X312</f>
        <v>176706.33</v>
      </c>
      <c r="Z312" s="183" t="s">
        <v>2406</v>
      </c>
      <c r="AA312" s="157"/>
      <c r="AB312" s="184" t="s">
        <v>2319</v>
      </c>
      <c r="AC312" s="132">
        <f t="shared" si="26"/>
        <v>0</v>
      </c>
    </row>
    <row r="313" s="132" customFormat="1" ht="24" customHeight="1" spans="1:29">
      <c r="A313" s="150">
        <v>307</v>
      </c>
      <c r="B313" s="166" t="s">
        <v>3269</v>
      </c>
      <c r="C313" s="166" t="s">
        <v>3285</v>
      </c>
      <c r="D313" s="157" t="s">
        <v>2339</v>
      </c>
      <c r="E313" s="158" t="s">
        <v>2523</v>
      </c>
      <c r="F313" s="189" t="s">
        <v>3286</v>
      </c>
      <c r="G313" s="156" t="s">
        <v>2875</v>
      </c>
      <c r="H313" s="157" t="str">
        <f>IF(G313="","",VLOOKUP(G313,'附表8-合同明细采集底稿'!B:I,2,0))</f>
        <v>土方拉运</v>
      </c>
      <c r="I313" s="165" t="str">
        <f>IF(G313="","",VLOOKUP(G313,'附表8-合同明细采集底稿'!B:I,3,0))</f>
        <v>运输合同</v>
      </c>
      <c r="J313" s="154" t="s">
        <v>2876</v>
      </c>
      <c r="K313" s="157" t="s">
        <v>2355</v>
      </c>
      <c r="L313" s="166" t="s">
        <v>2367</v>
      </c>
      <c r="M313" s="155" t="s">
        <v>3287</v>
      </c>
      <c r="N313" s="167">
        <v>99009.9</v>
      </c>
      <c r="O313" s="167">
        <v>100000</v>
      </c>
      <c r="P313" s="167">
        <v>99009.9</v>
      </c>
      <c r="Q313" s="167"/>
      <c r="R313" s="167">
        <f t="shared" si="29"/>
        <v>99009.9</v>
      </c>
      <c r="S313" s="178">
        <f>IFERROR(VLOOKUP(G313,'附表8-合同明细采集底稿'!B:N,12,0),100%)</f>
        <v>1</v>
      </c>
      <c r="T313" s="167">
        <f t="shared" ref="T313:T327" si="32">ROUND(SUM(R313)*SUM(S313),2)</f>
        <v>99009.9</v>
      </c>
      <c r="U313" s="157" t="s">
        <v>2344</v>
      </c>
      <c r="V313" s="179" t="s">
        <v>375</v>
      </c>
      <c r="W313" s="180">
        <f>IF('附表1-面积统计表'!$D$29=0,"",IF(AND(V313="共同成本费用",Z313="总建筑面积法"),ROUND(T313/'附表1-面积统计表'!$D$29*'附表1-面积统计表'!$D$5,2),IF(AND(V313="共同成本费用",Z313="可售建筑面积法"),ROUND(T313/'附表1-面积统计表'!$F$29*'附表1-面积统计表'!$F$5,2),"请手工填写")))</f>
        <v>47966.64</v>
      </c>
      <c r="X313" s="180">
        <f>IF(SUM('附表1-面积统计表'!$D$6)=0,"",SUM(T313)-SUM(W313)-SUM(Y313))</f>
        <v>31736.05</v>
      </c>
      <c r="Y313" s="180">
        <f>IF(SUM('附表1-面积统计表'!$D$6)=0,SUM(T313)-SUM(W313),IF('附表1-面积统计表'!$D$29=0,"",IF(AND(V313="共同成本费用",Z313="总建筑面积法"),ROUND(T313/'附表1-面积统计表'!$D$29*'附表1-面积统计表'!$D$7,2),IF(AND(V313="共同成本费用",Z313="可售建筑面积法"),ROUND(T313/'附表1-面积统计表'!$F$29*'附表1-面积统计表'!$F$7,2),"请手工填写"))))</f>
        <v>19307.21</v>
      </c>
      <c r="Z313" s="183" t="s">
        <v>351</v>
      </c>
      <c r="AA313" s="157"/>
      <c r="AB313" s="184" t="s">
        <v>2319</v>
      </c>
      <c r="AC313" s="132">
        <f t="shared" si="26"/>
        <v>0</v>
      </c>
    </row>
    <row r="314" s="132" customFormat="1" ht="24" customHeight="1" spans="1:29">
      <c r="A314" s="150">
        <v>308</v>
      </c>
      <c r="B314" s="166" t="s">
        <v>3269</v>
      </c>
      <c r="C314" s="166" t="s">
        <v>3285</v>
      </c>
      <c r="D314" s="157" t="s">
        <v>2339</v>
      </c>
      <c r="E314" s="158" t="s">
        <v>2523</v>
      </c>
      <c r="F314" s="189" t="s">
        <v>3286</v>
      </c>
      <c r="G314" s="156"/>
      <c r="H314" s="157" t="str">
        <f>IF(G314="","",VLOOKUP(G314,'附表8-合同明细采集底稿'!B:I,2,0))</f>
        <v/>
      </c>
      <c r="I314" s="165" t="str">
        <f>IF(G314="","",VLOOKUP(G314,'附表8-合同明细采集底稿'!B:I,3,0))</f>
        <v/>
      </c>
      <c r="J314" s="154" t="s">
        <v>3288</v>
      </c>
      <c r="K314" s="157" t="s">
        <v>2355</v>
      </c>
      <c r="L314" s="166" t="s">
        <v>2367</v>
      </c>
      <c r="M314" s="155" t="s">
        <v>3289</v>
      </c>
      <c r="N314" s="167">
        <v>137623.76</v>
      </c>
      <c r="O314" s="167">
        <v>139000</v>
      </c>
      <c r="P314" s="167">
        <v>137623.76</v>
      </c>
      <c r="Q314" s="167"/>
      <c r="R314" s="167">
        <f t="shared" si="29"/>
        <v>137623.76</v>
      </c>
      <c r="S314" s="178">
        <v>1</v>
      </c>
      <c r="T314" s="167">
        <f t="shared" si="32"/>
        <v>137623.76</v>
      </c>
      <c r="U314" s="157" t="s">
        <v>2344</v>
      </c>
      <c r="V314" s="179" t="s">
        <v>375</v>
      </c>
      <c r="W314" s="180">
        <f>IF('附表1-面积统计表'!$D$29=0,"",IF(AND(V314="共同成本费用",Z314="总建筑面积法"),ROUND(T314/'附表1-面积统计表'!$D$29*'附表1-面积统计表'!$D$5,2),IF(AND(V314="共同成本费用",Z314="可售建筑面积法"),ROUND(T314/'附表1-面积统计表'!$F$29*'附表1-面积统计表'!$F$5,2),"请手工填写")))</f>
        <v>66673.63</v>
      </c>
      <c r="X314" s="180">
        <f>IF(SUM('附表1-面积统计表'!$D$6)=0,"",SUM(T314)-SUM(W314)-SUM(Y314))</f>
        <v>44113.11</v>
      </c>
      <c r="Y314" s="180">
        <f>IF(SUM('附表1-面积统计表'!$D$6)=0,SUM(T314)-SUM(W314),IF('附表1-面积统计表'!$D$29=0,"",IF(AND(V314="共同成本费用",Z314="总建筑面积法"),ROUND(T314/'附表1-面积统计表'!$D$29*'附表1-面积统计表'!$D$7,2),IF(AND(V314="共同成本费用",Z314="可售建筑面积法"),ROUND(T314/'附表1-面积统计表'!$F$29*'附表1-面积统计表'!$F$7,2),"请手工填写"))))</f>
        <v>26837.02</v>
      </c>
      <c r="Z314" s="183" t="s">
        <v>351</v>
      </c>
      <c r="AA314" s="157"/>
      <c r="AB314" s="184" t="s">
        <v>2319</v>
      </c>
      <c r="AC314" s="132">
        <f t="shared" si="26"/>
        <v>0</v>
      </c>
    </row>
    <row r="315" s="132" customFormat="1" ht="24" customHeight="1" spans="1:29">
      <c r="A315" s="150">
        <v>309</v>
      </c>
      <c r="B315" s="166" t="s">
        <v>3269</v>
      </c>
      <c r="C315" s="166" t="s">
        <v>3285</v>
      </c>
      <c r="D315" s="157" t="s">
        <v>2339</v>
      </c>
      <c r="E315" s="158" t="s">
        <v>2523</v>
      </c>
      <c r="F315" s="189" t="s">
        <v>3286</v>
      </c>
      <c r="G315" s="156" t="s">
        <v>2834</v>
      </c>
      <c r="H315" s="157" t="str">
        <f>IF(G315="","",VLOOKUP(G315,'附表8-合同明细采集底稿'!B:I,2,0))</f>
        <v>路林林（土方拉运）</v>
      </c>
      <c r="I315" s="165" t="str">
        <f>IF(G315="","",VLOOKUP(G315,'附表8-合同明细采集底稿'!B:I,3,0))</f>
        <v>运输合同</v>
      </c>
      <c r="J315" s="190" t="s">
        <v>2835</v>
      </c>
      <c r="K315" s="157" t="s">
        <v>2355</v>
      </c>
      <c r="L315" s="166" t="s">
        <v>2367</v>
      </c>
      <c r="M315" s="155" t="s">
        <v>3290</v>
      </c>
      <c r="N315" s="167">
        <v>126732.67</v>
      </c>
      <c r="O315" s="167">
        <v>128000</v>
      </c>
      <c r="P315" s="167">
        <v>126732.67</v>
      </c>
      <c r="Q315" s="167"/>
      <c r="R315" s="167">
        <f t="shared" si="29"/>
        <v>126732.67</v>
      </c>
      <c r="S315" s="178">
        <f>IFERROR(VLOOKUP(G315,'附表8-合同明细采集底稿'!B:N,12,0),100%)</f>
        <v>1</v>
      </c>
      <c r="T315" s="167">
        <f t="shared" si="32"/>
        <v>126732.67</v>
      </c>
      <c r="U315" s="157" t="s">
        <v>2344</v>
      </c>
      <c r="V315" s="179" t="s">
        <v>375</v>
      </c>
      <c r="W315" s="180">
        <f>IF('附表1-面积统计表'!$D$29=0,"",IF(AND(V315="共同成本费用",Z315="总建筑面积法"),ROUND(T315/'附表1-面积统计表'!$D$29*'附表1-面积统计表'!$D$5,2),IF(AND(V315="共同成本费用",Z315="可售建筑面积法"),ROUND(T315/'附表1-面积统计表'!$F$29*'附表1-面积统计表'!$F$5,2),"请手工填写")))</f>
        <v>61397.3</v>
      </c>
      <c r="X315" s="180">
        <f>IF(SUM('附表1-面积统计表'!$D$6)=0,"",SUM(T315)-SUM(W315)-SUM(Y315))</f>
        <v>40622.14</v>
      </c>
      <c r="Y315" s="180">
        <f>IF(SUM('附表1-面积统计表'!$D$6)=0,SUM(T315)-SUM(W315),IF('附表1-面积统计表'!$D$29=0,"",IF(AND(V315="共同成本费用",Z315="总建筑面积法"),ROUND(T315/'附表1-面积统计表'!$D$29*'附表1-面积统计表'!$D$7,2),IF(AND(V315="共同成本费用",Z315="可售建筑面积法"),ROUND(T315/'附表1-面积统计表'!$F$29*'附表1-面积统计表'!$F$7,2),"请手工填写"))))</f>
        <v>24713.23</v>
      </c>
      <c r="Z315" s="183" t="s">
        <v>351</v>
      </c>
      <c r="AA315" s="157"/>
      <c r="AB315" s="184" t="s">
        <v>2319</v>
      </c>
      <c r="AC315" s="132">
        <f t="shared" si="26"/>
        <v>0</v>
      </c>
    </row>
    <row r="316" s="132" customFormat="1" ht="24" customHeight="1" spans="1:29">
      <c r="A316" s="150">
        <v>310</v>
      </c>
      <c r="B316" s="166" t="s">
        <v>3269</v>
      </c>
      <c r="C316" s="166" t="s">
        <v>3291</v>
      </c>
      <c r="D316" s="157" t="s">
        <v>2339</v>
      </c>
      <c r="E316" s="158" t="s">
        <v>2523</v>
      </c>
      <c r="F316" s="189" t="s">
        <v>3292</v>
      </c>
      <c r="G316" s="156" t="s">
        <v>3293</v>
      </c>
      <c r="H316" s="157" t="str">
        <f>IF(G316="","",VLOOKUP(G316,'附表8-合同明细采集底稿'!B:I,2,0))</f>
        <v>机械租赁费</v>
      </c>
      <c r="I316" s="165" t="str">
        <f>IF(G316="","",VLOOKUP(G316,'附表8-合同明细采集底稿'!B:I,3,0))</f>
        <v>其他合同</v>
      </c>
      <c r="J316" s="154" t="s">
        <v>3294</v>
      </c>
      <c r="K316" s="157" t="s">
        <v>2355</v>
      </c>
      <c r="L316" s="166">
        <v>6500193160</v>
      </c>
      <c r="M316" s="555" t="s">
        <v>3295</v>
      </c>
      <c r="N316" s="167">
        <v>99009.9</v>
      </c>
      <c r="O316" s="167">
        <v>100000</v>
      </c>
      <c r="P316" s="167">
        <v>99009.9</v>
      </c>
      <c r="Q316" s="167"/>
      <c r="R316" s="167">
        <f t="shared" si="29"/>
        <v>99009.9</v>
      </c>
      <c r="S316" s="178">
        <f>IFERROR(VLOOKUP(G316,'附表8-合同明细采集底稿'!B:N,12,0),100%)</f>
        <v>1</v>
      </c>
      <c r="T316" s="167">
        <f t="shared" si="32"/>
        <v>99009.9</v>
      </c>
      <c r="U316" s="157" t="s">
        <v>2344</v>
      </c>
      <c r="V316" s="179" t="s">
        <v>375</v>
      </c>
      <c r="W316" s="180">
        <f>IF('附表1-面积统计表'!$D$29=0,"",IF(AND(V316="共同成本费用",Z316="总建筑面积法"),ROUND(T316/'附表1-面积统计表'!$D$29*'附表1-面积统计表'!$D$5,2),IF(AND(V316="共同成本费用",Z316="可售建筑面积法"),ROUND(T316/'附表1-面积统计表'!$F$29*'附表1-面积统计表'!$F$5,2),"请手工填写")))</f>
        <v>47966.64</v>
      </c>
      <c r="X316" s="180">
        <f>IF(SUM('附表1-面积统计表'!$D$6)=0,"",SUM(T316)-SUM(W316)-SUM(Y316))</f>
        <v>31736.05</v>
      </c>
      <c r="Y316" s="180">
        <f>IF(SUM('附表1-面积统计表'!$D$6)=0,SUM(T316)-SUM(W316),IF('附表1-面积统计表'!$D$29=0,"",IF(AND(V316="共同成本费用",Z316="总建筑面积法"),ROUND(T316/'附表1-面积统计表'!$D$29*'附表1-面积统计表'!$D$7,2),IF(AND(V316="共同成本费用",Z316="可售建筑面积法"),ROUND(T316/'附表1-面积统计表'!$F$29*'附表1-面积统计表'!$F$7,2),"请手工填写"))))</f>
        <v>19307.21</v>
      </c>
      <c r="Z316" s="183" t="s">
        <v>351</v>
      </c>
      <c r="AA316" s="157"/>
      <c r="AB316" s="184" t="s">
        <v>2319</v>
      </c>
      <c r="AC316" s="132">
        <f t="shared" si="26"/>
        <v>0</v>
      </c>
    </row>
    <row r="317" s="132" customFormat="1" ht="24" customHeight="1" spans="1:29">
      <c r="A317" s="150">
        <v>311</v>
      </c>
      <c r="B317" s="166" t="s">
        <v>3269</v>
      </c>
      <c r="C317" s="166" t="s">
        <v>3296</v>
      </c>
      <c r="D317" s="157" t="s">
        <v>2346</v>
      </c>
      <c r="E317" s="158" t="s">
        <v>2347</v>
      </c>
      <c r="F317" s="189" t="s">
        <v>3297</v>
      </c>
      <c r="G317" s="156" t="s">
        <v>3298</v>
      </c>
      <c r="H317" s="157" t="str">
        <f>IF(G317="","",VLOOKUP(G317,'附表8-合同明细采集底稿'!B:I,2,0))</f>
        <v>一期大门两侧人员通行系统</v>
      </c>
      <c r="I317" s="165" t="str">
        <f>IF(G317="","",VLOOKUP(G317,'附表8-合同明细采集底稿'!B:I,3,0))</f>
        <v>买卖合同</v>
      </c>
      <c r="J317" s="169" t="s">
        <v>3299</v>
      </c>
      <c r="K317" s="157" t="s">
        <v>2355</v>
      </c>
      <c r="L317" s="166">
        <v>6500191130</v>
      </c>
      <c r="M317" s="555" t="s">
        <v>3300</v>
      </c>
      <c r="N317" s="167">
        <v>32300.88</v>
      </c>
      <c r="O317" s="167">
        <v>36500</v>
      </c>
      <c r="P317" s="167">
        <v>32300.88</v>
      </c>
      <c r="Q317" s="167">
        <v>-1615.04</v>
      </c>
      <c r="R317" s="167">
        <f t="shared" si="29"/>
        <v>30685.84</v>
      </c>
      <c r="S317" s="178">
        <f>IFERROR(VLOOKUP(G317,'附表8-合同明细采集底稿'!B:N,12,0),100%)</f>
        <v>0.338555832480367</v>
      </c>
      <c r="T317" s="167">
        <f t="shared" si="32"/>
        <v>10388.87</v>
      </c>
      <c r="U317" s="157" t="s">
        <v>3301</v>
      </c>
      <c r="V317" s="179" t="s">
        <v>375</v>
      </c>
      <c r="W317" s="180">
        <f>IF('附表1-面积统计表'!$D$29=0,"",IF(AND(V317="共同成本费用",Z317="总建筑面积法"),ROUND(T317/'附表1-面积统计表'!$D$29*'附表1-面积统计表'!$D$5,2),IF(AND(V317="共同成本费用",Z317="可售建筑面积法"),ROUND(T317/'附表1-面积统计表'!$F$29*'附表1-面积统计表'!$F$5,2),"请手工填写")))</f>
        <v>5033.02</v>
      </c>
      <c r="X317" s="180">
        <f>IF(SUM('附表1-面积统计表'!$D$6)=0,"",SUM(T317)-SUM(W317)-SUM(Y317))</f>
        <v>3329.99</v>
      </c>
      <c r="Y317" s="180">
        <f>IF(SUM('附表1-面积统计表'!$D$6)=0,SUM(T317)-SUM(W317),IF('附表1-面积统计表'!$D$29=0,"",IF(AND(V317="共同成本费用",Z317="总建筑面积法"),ROUND(T317/'附表1-面积统计表'!$D$29*'附表1-面积统计表'!$D$7,2),IF(AND(V317="共同成本费用",Z317="可售建筑面积法"),ROUND(T317/'附表1-面积统计表'!$F$29*'附表1-面积统计表'!$F$7,2),"请手工填写"))))</f>
        <v>2025.86</v>
      </c>
      <c r="Z317" s="183" t="s">
        <v>351</v>
      </c>
      <c r="AA317" s="157"/>
      <c r="AB317" s="184" t="s">
        <v>2319</v>
      </c>
      <c r="AC317" s="132">
        <f t="shared" si="26"/>
        <v>0</v>
      </c>
    </row>
    <row r="318" s="132" customFormat="1" ht="24" customHeight="1" spans="1:29">
      <c r="A318" s="150">
        <v>312</v>
      </c>
      <c r="B318" s="166" t="s">
        <v>3269</v>
      </c>
      <c r="C318" s="166" t="s">
        <v>3302</v>
      </c>
      <c r="D318" s="157" t="s">
        <v>2346</v>
      </c>
      <c r="E318" s="158" t="s">
        <v>2501</v>
      </c>
      <c r="F318" s="189" t="s">
        <v>3303</v>
      </c>
      <c r="G318" s="156" t="s">
        <v>3304</v>
      </c>
      <c r="H318" s="157" t="str">
        <f>IF(G318="","",VLOOKUP(G318,'附表8-合同明细采集底稿'!B:I,2,0))</f>
        <v>一期铁皮围栏工程</v>
      </c>
      <c r="I318" s="165" t="str">
        <f>IF(G318="","",VLOOKUP(G318,'附表8-合同明细采集底稿'!B:I,3,0))</f>
        <v>其他合同</v>
      </c>
      <c r="J318" s="165" t="s">
        <v>3305</v>
      </c>
      <c r="K318" s="157" t="s">
        <v>2355</v>
      </c>
      <c r="L318" s="166">
        <v>6500153160</v>
      </c>
      <c r="M318" s="555" t="s">
        <v>3306</v>
      </c>
      <c r="N318" s="167">
        <v>297029.7</v>
      </c>
      <c r="O318" s="167">
        <v>300000</v>
      </c>
      <c r="P318" s="167">
        <v>297029.7</v>
      </c>
      <c r="Q318" s="167"/>
      <c r="R318" s="167">
        <f t="shared" si="29"/>
        <v>297029.7</v>
      </c>
      <c r="S318" s="178">
        <f>IFERROR(VLOOKUP(G318,'附表8-合同明细采集底稿'!B:N,12,0),100%)</f>
        <v>1</v>
      </c>
      <c r="T318" s="167">
        <f t="shared" si="32"/>
        <v>297029.7</v>
      </c>
      <c r="U318" s="157" t="s">
        <v>2344</v>
      </c>
      <c r="V318" s="179" t="s">
        <v>375</v>
      </c>
      <c r="W318" s="180">
        <f>IF('附表1-面积统计表'!$D$29=0,"",IF(AND(V318="共同成本费用",Z318="总建筑面积法"),ROUND(T318/'附表1-面积统计表'!$D$29*'附表1-面积统计表'!$D$5,2),IF(AND(V318="共同成本费用",Z318="可售建筑面积法"),ROUND(T318/'附表1-面积统计表'!$F$29*'附表1-面积统计表'!$F$5,2),"请手工填写")))</f>
        <v>143899.92</v>
      </c>
      <c r="X318" s="180">
        <f>IF(SUM('附表1-面积统计表'!$D$6)=0,"",SUM(T318)-SUM(W318)-SUM(Y318))</f>
        <v>95208.15</v>
      </c>
      <c r="Y318" s="180">
        <f>IF(SUM('附表1-面积统计表'!$D$6)=0,SUM(T318)-SUM(W318),IF('附表1-面积统计表'!$D$29=0,"",IF(AND(V318="共同成本费用",Z318="总建筑面积法"),ROUND(T318/'附表1-面积统计表'!$D$29*'附表1-面积统计表'!$D$7,2),IF(AND(V318="共同成本费用",Z318="可售建筑面积法"),ROUND(T318/'附表1-面积统计表'!$F$29*'附表1-面积统计表'!$F$7,2),"请手工填写"))))</f>
        <v>57921.63</v>
      </c>
      <c r="Z318" s="183" t="s">
        <v>351</v>
      </c>
      <c r="AA318" s="157"/>
      <c r="AB318" s="184" t="s">
        <v>2319</v>
      </c>
      <c r="AC318" s="132">
        <f t="shared" si="26"/>
        <v>0</v>
      </c>
    </row>
    <row r="319" s="132" customFormat="1" ht="24" customHeight="1" spans="1:29">
      <c r="A319" s="150">
        <v>313</v>
      </c>
      <c r="B319" s="166" t="s">
        <v>3307</v>
      </c>
      <c r="C319" s="166" t="s">
        <v>3308</v>
      </c>
      <c r="D319" s="157" t="s">
        <v>2331</v>
      </c>
      <c r="E319" s="158" t="s">
        <v>3111</v>
      </c>
      <c r="F319" s="189" t="s">
        <v>3309</v>
      </c>
      <c r="G319" s="156" t="s">
        <v>3310</v>
      </c>
      <c r="H319" s="157" t="str">
        <f>IF(G319="","",VLOOKUP(G319,'附表8-合同明细采集底稿'!B:I,2,0))</f>
        <v>沁春锦苑三期人防工程审图费</v>
      </c>
      <c r="I319" s="165" t="str">
        <f>IF(G319="","",VLOOKUP(G319,'附表8-合同明细采集底稿'!B:I,3,0))</f>
        <v>其他合同</v>
      </c>
      <c r="J319" s="187" t="s">
        <v>3311</v>
      </c>
      <c r="K319" s="157" t="s">
        <v>2355</v>
      </c>
      <c r="L319" s="166">
        <v>6500193130</v>
      </c>
      <c r="M319" s="555" t="s">
        <v>3312</v>
      </c>
      <c r="N319" s="167">
        <v>12852.83</v>
      </c>
      <c r="O319" s="167">
        <v>13624</v>
      </c>
      <c r="P319" s="167">
        <v>12852.83</v>
      </c>
      <c r="Q319" s="167"/>
      <c r="R319" s="167">
        <f t="shared" si="29"/>
        <v>12852.83</v>
      </c>
      <c r="S319" s="178">
        <f>IFERROR(VLOOKUP(G319,'附表8-合同明细采集底稿'!B:N,12,0),100%)</f>
        <v>0.109829243890136</v>
      </c>
      <c r="T319" s="167">
        <f t="shared" si="32"/>
        <v>1411.62</v>
      </c>
      <c r="U319" s="157" t="s">
        <v>3116</v>
      </c>
      <c r="V319" s="179" t="s">
        <v>374</v>
      </c>
      <c r="W319" s="181">
        <f>ROUND(T319*0.8162,2)</f>
        <v>1152.16</v>
      </c>
      <c r="X319" s="181">
        <v>0</v>
      </c>
      <c r="Y319" s="181">
        <f>T319-W319</f>
        <v>259.46</v>
      </c>
      <c r="Z319" s="183" t="s">
        <v>2406</v>
      </c>
      <c r="AA319" s="157"/>
      <c r="AB319" s="184" t="s">
        <v>2319</v>
      </c>
      <c r="AC319" s="132">
        <f t="shared" si="26"/>
        <v>0</v>
      </c>
    </row>
    <row r="320" s="133" customFormat="1" ht="24" customHeight="1" spans="1:29">
      <c r="A320" s="193">
        <v>314</v>
      </c>
      <c r="B320" s="194" t="s">
        <v>3313</v>
      </c>
      <c r="C320" s="194" t="s">
        <v>3059</v>
      </c>
      <c r="D320" s="195" t="s">
        <v>2470</v>
      </c>
      <c r="E320" s="196" t="s">
        <v>3314</v>
      </c>
      <c r="F320" s="197" t="s">
        <v>3315</v>
      </c>
      <c r="G320" s="198"/>
      <c r="H320" s="195"/>
      <c r="I320" s="199"/>
      <c r="J320" s="200"/>
      <c r="K320" s="195" t="s">
        <v>2317</v>
      </c>
      <c r="L320" s="194"/>
      <c r="M320" s="194"/>
      <c r="N320" s="201">
        <v>3168.02</v>
      </c>
      <c r="O320" s="201">
        <v>3168.02</v>
      </c>
      <c r="P320" s="201">
        <v>3168.02</v>
      </c>
      <c r="Q320" s="201"/>
      <c r="R320" s="201">
        <f t="shared" si="29"/>
        <v>3168.02</v>
      </c>
      <c r="S320" s="202">
        <v>0.338555832480367</v>
      </c>
      <c r="T320" s="201">
        <f t="shared" si="32"/>
        <v>1072.55</v>
      </c>
      <c r="U320" s="195" t="s">
        <v>2344</v>
      </c>
      <c r="V320" s="203" t="s">
        <v>375</v>
      </c>
      <c r="W320" s="204">
        <f>IF('附表1-面积统计表'!$D$29=0,"",IF(AND(V320="共同成本费用",Z320="总建筑面积法"),ROUND(T320/'附表1-面积统计表'!$D$29*'附表1-面积统计表'!$D$5,2),IF(AND(V320="共同成本费用",Z320="可售建筑面积法"),ROUND(T320/'附表1-面积统计表'!$F$29*'附表1-面积统计表'!$F$5,2),"请手工填写")))</f>
        <v>519.61</v>
      </c>
      <c r="X320" s="204">
        <f>IF(SUM('附表1-面积统计表'!$D$6)=0,"",SUM(T320)-SUM(W320)-SUM(Y320))</f>
        <v>343.79</v>
      </c>
      <c r="Y320" s="204">
        <f>IF(SUM('附表1-面积统计表'!$D$6)=0,SUM(T320)-SUM(W320),IF('附表1-面积统计表'!$D$29=0,"",IF(AND(V320="共同成本费用",Z320="总建筑面积法"),ROUND(T320/'附表1-面积统计表'!$D$29*'附表1-面积统计表'!$D$7,2),IF(AND(V320="共同成本费用",Z320="可售建筑面积法"),ROUND(T320/'附表1-面积统计表'!$F$29*'附表1-面积统计表'!$F$7,2),"请手工填写"))))</f>
        <v>209.15</v>
      </c>
      <c r="Z320" s="205" t="s">
        <v>351</v>
      </c>
      <c r="AA320" s="195"/>
      <c r="AB320" s="206" t="s">
        <v>2319</v>
      </c>
      <c r="AC320" s="132">
        <f t="shared" si="26"/>
        <v>0</v>
      </c>
    </row>
    <row r="321" s="133" customFormat="1" ht="24" customHeight="1" spans="1:29">
      <c r="A321" s="193">
        <v>315</v>
      </c>
      <c r="B321" s="194" t="s">
        <v>3313</v>
      </c>
      <c r="C321" s="194" t="s">
        <v>3062</v>
      </c>
      <c r="D321" s="195" t="s">
        <v>2346</v>
      </c>
      <c r="E321" s="196" t="s">
        <v>2501</v>
      </c>
      <c r="F321" s="197" t="s">
        <v>3316</v>
      </c>
      <c r="G321" s="198" t="s">
        <v>3119</v>
      </c>
      <c r="H321" s="195" t="str">
        <f>IF(G321="","",VLOOKUP(G321,'附表8-合同明细采集底稿'!B:I,2,0))</f>
        <v>PE管300*117米、110*1434米、闸阀110*1个</v>
      </c>
      <c r="I321" s="199" t="str">
        <f>IF(G321="","",VLOOKUP(G321,'附表8-合同明细采集底稿'!B:I,3,0))</f>
        <v>其他合同</v>
      </c>
      <c r="J321" s="199" t="s">
        <v>3317</v>
      </c>
      <c r="K321" s="195" t="s">
        <v>2355</v>
      </c>
      <c r="L321" s="194">
        <v>6500193160</v>
      </c>
      <c r="M321" s="557" t="s">
        <v>3318</v>
      </c>
      <c r="N321" s="201">
        <v>2097.09</v>
      </c>
      <c r="O321" s="201">
        <v>2160</v>
      </c>
      <c r="P321" s="201">
        <v>2097.09</v>
      </c>
      <c r="Q321" s="201"/>
      <c r="R321" s="201">
        <f t="shared" si="29"/>
        <v>2097.09</v>
      </c>
      <c r="S321" s="202">
        <f>IFERROR(VLOOKUP(G321,'附表8-合同明细采集底稿'!B:N,12,0),100%)</f>
        <v>1</v>
      </c>
      <c r="T321" s="201">
        <f t="shared" si="32"/>
        <v>2097.09</v>
      </c>
      <c r="U321" s="195" t="s">
        <v>2344</v>
      </c>
      <c r="V321" s="203" t="s">
        <v>375</v>
      </c>
      <c r="W321" s="204">
        <f>IF('附表1-面积统计表'!$D$29=0,"",IF(AND(V321="共同成本费用",Z321="总建筑面积法"),ROUND(T321/'附表1-面积统计表'!$D$29*'附表1-面积统计表'!$D$5,2),IF(AND(V321="共同成本费用",Z321="可售建筑面积法"),ROUND(T321/'附表1-面积统计表'!$F$29*'附表1-面积统计表'!$F$5,2),"请手工填写")))</f>
        <v>1015.96</v>
      </c>
      <c r="X321" s="204">
        <f>IF(SUM('附表1-面积统计表'!$D$6)=0,"",SUM(T321)-SUM(W321)-SUM(Y321))</f>
        <v>672.19</v>
      </c>
      <c r="Y321" s="204">
        <f>IF(SUM('附表1-面积统计表'!$D$6)=0,SUM(T321)-SUM(W321),IF('附表1-面积统计表'!$D$29=0,"",IF(AND(V321="共同成本费用",Z321="总建筑面积法"),ROUND(T321/'附表1-面积统计表'!$D$29*'附表1-面积统计表'!$D$7,2),IF(AND(V321="共同成本费用",Z321="可售建筑面积法"),ROUND(T321/'附表1-面积统计表'!$F$29*'附表1-面积统计表'!$F$7,2),"请手工填写"))))</f>
        <v>408.94</v>
      </c>
      <c r="Z321" s="205" t="s">
        <v>351</v>
      </c>
      <c r="AA321" s="195"/>
      <c r="AB321" s="206" t="s">
        <v>2319</v>
      </c>
      <c r="AC321" s="132">
        <f t="shared" si="26"/>
        <v>0</v>
      </c>
    </row>
    <row r="322" s="133" customFormat="1" ht="24" customHeight="1" spans="1:29">
      <c r="A322" s="193">
        <v>316</v>
      </c>
      <c r="B322" s="194" t="s">
        <v>3313</v>
      </c>
      <c r="C322" s="194" t="s">
        <v>3319</v>
      </c>
      <c r="D322" s="195" t="s">
        <v>2346</v>
      </c>
      <c r="E322" s="196" t="s">
        <v>2453</v>
      </c>
      <c r="F322" s="197" t="s">
        <v>3320</v>
      </c>
      <c r="G322" s="198"/>
      <c r="H322" s="195" t="str">
        <f>IF(G322="","",VLOOKUP(G322,'附表8-合同明细采集底稿'!B:I,2,0))</f>
        <v/>
      </c>
      <c r="I322" s="199" t="str">
        <f>IF(G322="","",VLOOKUP(G322,'附表8-合同明细采集底稿'!B:I,3,0))</f>
        <v/>
      </c>
      <c r="J322" s="207" t="s">
        <v>3321</v>
      </c>
      <c r="K322" s="195" t="s">
        <v>2335</v>
      </c>
      <c r="L322" s="208" t="s">
        <v>2336</v>
      </c>
      <c r="M322" s="194">
        <v>62410982</v>
      </c>
      <c r="N322" s="201">
        <v>6200</v>
      </c>
      <c r="O322" s="201">
        <v>6200</v>
      </c>
      <c r="P322" s="201">
        <v>6200</v>
      </c>
      <c r="Q322" s="201">
        <v>-6200</v>
      </c>
      <c r="R322" s="201">
        <f t="shared" si="29"/>
        <v>0</v>
      </c>
      <c r="S322" s="202">
        <v>0.338555832480367</v>
      </c>
      <c r="T322" s="201">
        <f t="shared" si="32"/>
        <v>0</v>
      </c>
      <c r="U322" s="195" t="s">
        <v>2318</v>
      </c>
      <c r="V322" s="203" t="s">
        <v>375</v>
      </c>
      <c r="W322" s="204">
        <f>IF('附表1-面积统计表'!$D$29=0,"",IF(AND(V322="共同成本费用",Z322="总建筑面积法"),ROUND(T322/'附表1-面积统计表'!$D$29*'附表1-面积统计表'!$D$5,2),IF(AND(V322="共同成本费用",Z322="可售建筑面积法"),ROUND(T322/'附表1-面积统计表'!$F$29*'附表1-面积统计表'!$F$5,2),"请手工填写")))</f>
        <v>0</v>
      </c>
      <c r="X322" s="204">
        <f>IF(SUM('附表1-面积统计表'!$D$6)=0,"",SUM(T322)-SUM(W322)-SUM(Y322))</f>
        <v>0</v>
      </c>
      <c r="Y322" s="204">
        <f>IF(SUM('附表1-面积统计表'!$D$6)=0,SUM(T322)-SUM(W322),IF('附表1-面积统计表'!$D$29=0,"",IF(AND(V322="共同成本费用",Z322="总建筑面积法"),ROUND(T322/'附表1-面积统计表'!$D$29*'附表1-面积统计表'!$D$7,2),IF(AND(V322="共同成本费用",Z322="可售建筑面积法"),ROUND(T322/'附表1-面积统计表'!$F$29*'附表1-面积统计表'!$F$7,2),"请手工填写"))))</f>
        <v>0</v>
      </c>
      <c r="Z322" s="205" t="s">
        <v>351</v>
      </c>
      <c r="AA322" s="195"/>
      <c r="AB322" s="206" t="s">
        <v>2319</v>
      </c>
      <c r="AC322" s="132">
        <f t="shared" si="26"/>
        <v>0</v>
      </c>
    </row>
    <row r="323" s="132" customFormat="1" ht="24" customHeight="1" spans="1:29">
      <c r="A323" s="150">
        <v>317</v>
      </c>
      <c r="B323" s="166" t="s">
        <v>3322</v>
      </c>
      <c r="C323" s="166" t="s">
        <v>3323</v>
      </c>
      <c r="D323" s="157" t="s">
        <v>2533</v>
      </c>
      <c r="E323" s="158" t="s">
        <v>2690</v>
      </c>
      <c r="F323" s="189" t="s">
        <v>3324</v>
      </c>
      <c r="G323" s="156" t="s">
        <v>3230</v>
      </c>
      <c r="H323" s="157" t="str">
        <f>IF(G323="","",VLOOKUP(G323,'附表8-合同明细采集底稿'!B:I,2,0))</f>
        <v>沁春锦苑26#28#30#楼门斗装修</v>
      </c>
      <c r="I323" s="165" t="str">
        <f>IF(G323="","",VLOOKUP(G323,'附表8-合同明细采集底稿'!B:I,3,0))</f>
        <v>建设工程合同</v>
      </c>
      <c r="J323" s="187" t="s">
        <v>3231</v>
      </c>
      <c r="K323" s="157" t="s">
        <v>2355</v>
      </c>
      <c r="L323" s="191">
        <v>6500193130</v>
      </c>
      <c r="M323" s="155" t="s">
        <v>3325</v>
      </c>
      <c r="N323" s="167">
        <v>173944.96</v>
      </c>
      <c r="O323" s="167">
        <v>189600</v>
      </c>
      <c r="P323" s="167">
        <v>173944.96</v>
      </c>
      <c r="Q323" s="167"/>
      <c r="R323" s="167">
        <f t="shared" si="29"/>
        <v>173944.96</v>
      </c>
      <c r="S323" s="178">
        <f>IFERROR(VLOOKUP(G323,'附表8-合同明细采集底稿'!B:N,12,0),100%)</f>
        <v>1</v>
      </c>
      <c r="T323" s="167">
        <f t="shared" si="32"/>
        <v>173944.96</v>
      </c>
      <c r="U323" s="157" t="s">
        <v>2416</v>
      </c>
      <c r="V323" s="179" t="s">
        <v>374</v>
      </c>
      <c r="W323" s="182">
        <f>ROUND(T323*成本分摊比例!$G$13/(成本分摊比例!$G$13+成本分摊比例!$H$13+成本分摊比例!$I$13),2)</f>
        <v>93982.77</v>
      </c>
      <c r="X323" s="182">
        <f>ROUND(T323*成本分摊比例!$H$13/(成本分摊比例!$G$13+成本分摊比例!$H$13+成本分摊比例!$I$13),2)</f>
        <v>62181.59</v>
      </c>
      <c r="Y323" s="182">
        <f t="shared" ref="Y323:Y328" si="33">T323-W323-X323</f>
        <v>17780.6</v>
      </c>
      <c r="Z323" s="183" t="s">
        <v>2406</v>
      </c>
      <c r="AA323" s="157"/>
      <c r="AB323" s="184" t="s">
        <v>2319</v>
      </c>
      <c r="AC323" s="132">
        <f t="shared" si="26"/>
        <v>0</v>
      </c>
    </row>
    <row r="324" s="132" customFormat="1" ht="24" customHeight="1" spans="1:29">
      <c r="A324" s="150">
        <v>318</v>
      </c>
      <c r="B324" s="166" t="s">
        <v>3322</v>
      </c>
      <c r="C324" s="166" t="s">
        <v>2910</v>
      </c>
      <c r="D324" s="157" t="s">
        <v>2346</v>
      </c>
      <c r="E324" s="158" t="s">
        <v>2453</v>
      </c>
      <c r="F324" s="189" t="s">
        <v>3326</v>
      </c>
      <c r="G324" s="156" t="s">
        <v>3327</v>
      </c>
      <c r="H324" s="157" t="str">
        <f>IF(G324="","",VLOOKUP(G324,'附表8-合同明细采集底稿'!B:I,2,0))</f>
        <v>35#1#警卫室、消防控制室空气检测（刘品全、孟凡勇、刘建军）</v>
      </c>
      <c r="I324" s="165" t="str">
        <f>IF(G324="","",VLOOKUP(G324,'附表8-合同明细采集底稿'!B:I,3,0))</f>
        <v>技术合同</v>
      </c>
      <c r="J324" s="169" t="s">
        <v>3328</v>
      </c>
      <c r="K324" s="157" t="s">
        <v>2355</v>
      </c>
      <c r="L324" s="166">
        <v>6500201130</v>
      </c>
      <c r="M324" s="555" t="s">
        <v>3329</v>
      </c>
      <c r="N324" s="167">
        <v>2339.62</v>
      </c>
      <c r="O324" s="167">
        <v>2480</v>
      </c>
      <c r="P324" s="167">
        <v>2339.62</v>
      </c>
      <c r="Q324" s="167"/>
      <c r="R324" s="167">
        <f t="shared" si="29"/>
        <v>2339.62</v>
      </c>
      <c r="S324" s="178">
        <f>IFERROR(VLOOKUP(G324,'附表8-合同明细采集底稿'!B:N,12,0),100%)</f>
        <v>1</v>
      </c>
      <c r="T324" s="167">
        <f t="shared" si="32"/>
        <v>2339.62</v>
      </c>
      <c r="U324" s="157" t="s">
        <v>2344</v>
      </c>
      <c r="V324" s="179" t="s">
        <v>375</v>
      </c>
      <c r="W324" s="180">
        <f>IF('附表1-面积统计表'!$D$29=0,"",IF(AND(V324="共同成本费用",Z324="总建筑面积法"),ROUND(T324/'附表1-面积统计表'!$D$29*'附表1-面积统计表'!$D$5,2),IF(AND(V324="共同成本费用",Z324="可售建筑面积法"),ROUND(T324/'附表1-面积统计表'!$F$29*'附表1-面积统计表'!$F$5,2),"请手工填写")))</f>
        <v>1133.46</v>
      </c>
      <c r="X324" s="180">
        <f>IF(SUM('附表1-面积统计表'!$D$6)=0,"",SUM(T324)-SUM(W324)-SUM(Y324))</f>
        <v>749.93</v>
      </c>
      <c r="Y324" s="180">
        <f>IF(SUM('附表1-面积统计表'!$D$6)=0,SUM(T324)-SUM(W324),IF('附表1-面积统计表'!$D$29=0,"",IF(AND(V324="共同成本费用",Z324="总建筑面积法"),ROUND(T324/'附表1-面积统计表'!$D$29*'附表1-面积统计表'!$D$7,2),IF(AND(V324="共同成本费用",Z324="可售建筑面积法"),ROUND(T324/'附表1-面积统计表'!$F$29*'附表1-面积统计表'!$F$7,2),"请手工填写"))))</f>
        <v>456.23</v>
      </c>
      <c r="Z324" s="183" t="s">
        <v>351</v>
      </c>
      <c r="AA324" s="157"/>
      <c r="AB324" s="184" t="s">
        <v>2319</v>
      </c>
      <c r="AC324" s="132">
        <f t="shared" si="26"/>
        <v>0</v>
      </c>
    </row>
    <row r="325" s="132" customFormat="1" ht="24" customHeight="1" spans="1:29">
      <c r="A325" s="150">
        <v>319</v>
      </c>
      <c r="B325" s="166" t="s">
        <v>3322</v>
      </c>
      <c r="C325" s="166" t="s">
        <v>2910</v>
      </c>
      <c r="D325" s="157" t="s">
        <v>2346</v>
      </c>
      <c r="E325" s="158" t="s">
        <v>2453</v>
      </c>
      <c r="F325" s="189" t="s">
        <v>3326</v>
      </c>
      <c r="G325" s="156" t="s">
        <v>3327</v>
      </c>
      <c r="H325" s="157" t="str">
        <f>IF(G325="","",VLOOKUP(G325,'附表8-合同明细采集底稿'!B:I,2,0))</f>
        <v>35#1#警卫室、消防控制室空气检测（刘品全、孟凡勇、刘建军）</v>
      </c>
      <c r="I325" s="165" t="str">
        <f>IF(G325="","",VLOOKUP(G325,'附表8-合同明细采集底稿'!B:I,3,0))</f>
        <v>技术合同</v>
      </c>
      <c r="J325" s="169" t="s">
        <v>3328</v>
      </c>
      <c r="K325" s="157" t="s">
        <v>2355</v>
      </c>
      <c r="L325" s="166">
        <v>6500201130</v>
      </c>
      <c r="M325" s="555" t="s">
        <v>3329</v>
      </c>
      <c r="N325" s="167">
        <v>2339.62</v>
      </c>
      <c r="O325" s="167">
        <v>2480</v>
      </c>
      <c r="P325" s="167">
        <v>2339.62</v>
      </c>
      <c r="Q325" s="167"/>
      <c r="R325" s="167">
        <f t="shared" si="29"/>
        <v>2339.62</v>
      </c>
      <c r="S325" s="178">
        <f>IFERROR(VLOOKUP(G325,'附表8-合同明细采集底稿'!B:N,12,0),100%)</f>
        <v>1</v>
      </c>
      <c r="T325" s="167">
        <f t="shared" si="32"/>
        <v>2339.62</v>
      </c>
      <c r="U325" s="157" t="s">
        <v>2344</v>
      </c>
      <c r="V325" s="179" t="s">
        <v>375</v>
      </c>
      <c r="W325" s="180">
        <f>IF('附表1-面积统计表'!$D$29=0,"",IF(AND(V325="共同成本费用",Z325="总建筑面积法"),ROUND(T325/'附表1-面积统计表'!$D$29*'附表1-面积统计表'!$D$5,2),IF(AND(V325="共同成本费用",Z325="可售建筑面积法"),ROUND(T325/'附表1-面积统计表'!$F$29*'附表1-面积统计表'!$F$5,2),"请手工填写")))</f>
        <v>1133.46</v>
      </c>
      <c r="X325" s="180">
        <f>IF(SUM('附表1-面积统计表'!$D$6)=0,"",SUM(T325)-SUM(W325)-SUM(Y325))</f>
        <v>749.93</v>
      </c>
      <c r="Y325" s="180">
        <f>IF(SUM('附表1-面积统计表'!$D$6)=0,SUM(T325)-SUM(W325),IF('附表1-面积统计表'!$D$29=0,"",IF(AND(V325="共同成本费用",Z325="总建筑面积法"),ROUND(T325/'附表1-面积统计表'!$D$29*'附表1-面积统计表'!$D$7,2),IF(AND(V325="共同成本费用",Z325="可售建筑面积法"),ROUND(T325/'附表1-面积统计表'!$F$29*'附表1-面积统计表'!$F$7,2),"请手工填写"))))</f>
        <v>456.23</v>
      </c>
      <c r="Z325" s="183" t="s">
        <v>351</v>
      </c>
      <c r="AA325" s="157"/>
      <c r="AB325" s="184" t="s">
        <v>2319</v>
      </c>
      <c r="AC325" s="132">
        <f t="shared" si="26"/>
        <v>0</v>
      </c>
    </row>
    <row r="326" s="132" customFormat="1" ht="24" customHeight="1" spans="1:29">
      <c r="A326" s="150">
        <v>320</v>
      </c>
      <c r="B326" s="166" t="s">
        <v>3322</v>
      </c>
      <c r="C326" s="166" t="s">
        <v>2910</v>
      </c>
      <c r="D326" s="157" t="s">
        <v>2346</v>
      </c>
      <c r="E326" s="158" t="s">
        <v>2453</v>
      </c>
      <c r="F326" s="189" t="s">
        <v>3326</v>
      </c>
      <c r="G326" s="156" t="s">
        <v>3327</v>
      </c>
      <c r="H326" s="157" t="str">
        <f>IF(G326="","",VLOOKUP(G326,'附表8-合同明细采集底稿'!B:I,2,0))</f>
        <v>35#1#警卫室、消防控制室空气检测（刘品全、孟凡勇、刘建军）</v>
      </c>
      <c r="I326" s="165" t="str">
        <f>IF(G326="","",VLOOKUP(G326,'附表8-合同明细采集底稿'!B:I,3,0))</f>
        <v>技术合同</v>
      </c>
      <c r="J326" s="169" t="s">
        <v>3328</v>
      </c>
      <c r="K326" s="157" t="s">
        <v>2355</v>
      </c>
      <c r="L326" s="166">
        <v>6500201130</v>
      </c>
      <c r="M326" s="555" t="s">
        <v>3329</v>
      </c>
      <c r="N326" s="167">
        <v>2339.62</v>
      </c>
      <c r="O326" s="167">
        <v>2480</v>
      </c>
      <c r="P326" s="167">
        <v>2339.63</v>
      </c>
      <c r="Q326" s="167"/>
      <c r="R326" s="167">
        <f t="shared" si="29"/>
        <v>2339.63</v>
      </c>
      <c r="S326" s="178">
        <f>IFERROR(VLOOKUP(G326,'附表8-合同明细采集底稿'!B:N,12,0),100%)</f>
        <v>1</v>
      </c>
      <c r="T326" s="167">
        <f t="shared" si="32"/>
        <v>2339.63</v>
      </c>
      <c r="U326" s="157" t="s">
        <v>2344</v>
      </c>
      <c r="V326" s="179" t="s">
        <v>375</v>
      </c>
      <c r="W326" s="180">
        <f>IF('附表1-面积统计表'!$D$29=0,"",IF(AND(V326="共同成本费用",Z326="总建筑面积法"),ROUND(T326/'附表1-面积统计表'!$D$29*'附表1-面积统计表'!$D$5,2),IF(AND(V326="共同成本费用",Z326="可售建筑面积法"),ROUND(T326/'附表1-面积统计表'!$F$29*'附表1-面积统计表'!$F$5,2),"请手工填写")))</f>
        <v>1133.46</v>
      </c>
      <c r="X326" s="180">
        <f>IF(SUM('附表1-面积统计表'!$D$6)=0,"",SUM(T326)-SUM(W326)-SUM(Y326))</f>
        <v>749.94</v>
      </c>
      <c r="Y326" s="180">
        <f>IF(SUM('附表1-面积统计表'!$D$6)=0,SUM(T326)-SUM(W326),IF('附表1-面积统计表'!$D$29=0,"",IF(AND(V326="共同成本费用",Z326="总建筑面积法"),ROUND(T326/'附表1-面积统计表'!$D$29*'附表1-面积统计表'!$D$7,2),IF(AND(V326="共同成本费用",Z326="可售建筑面积法"),ROUND(T326/'附表1-面积统计表'!$F$29*'附表1-面积统计表'!$F$7,2),"请手工填写"))))</f>
        <v>456.23</v>
      </c>
      <c r="Z326" s="183" t="s">
        <v>351</v>
      </c>
      <c r="AA326" s="157"/>
      <c r="AB326" s="184" t="s">
        <v>2319</v>
      </c>
      <c r="AC326" s="132">
        <f t="shared" si="26"/>
        <v>0</v>
      </c>
    </row>
    <row r="327" s="132" customFormat="1" ht="24" customHeight="1" spans="1:29">
      <c r="A327" s="150">
        <v>321</v>
      </c>
      <c r="B327" s="166" t="s">
        <v>3330</v>
      </c>
      <c r="C327" s="166" t="s">
        <v>3331</v>
      </c>
      <c r="D327" s="157" t="s">
        <v>2533</v>
      </c>
      <c r="E327" s="158" t="s">
        <v>2690</v>
      </c>
      <c r="F327" s="189" t="s">
        <v>3332</v>
      </c>
      <c r="G327" s="156" t="s">
        <v>3017</v>
      </c>
      <c r="H327" s="157" t="str">
        <f>IF(G327="","",VLOOKUP(G327,'附表8-合同明细采集底稿'!B:I,2,0))</f>
        <v>沁春锦苑25#-30#号楼防火防盗门</v>
      </c>
      <c r="I327" s="165" t="str">
        <f>IF(G327="","",VLOOKUP(G327,'附表8-合同明细采集底稿'!B:I,3,0))</f>
        <v>买卖合同</v>
      </c>
      <c r="J327" s="187" t="s">
        <v>3018</v>
      </c>
      <c r="K327" s="157" t="s">
        <v>2355</v>
      </c>
      <c r="L327" s="191">
        <v>6500193130</v>
      </c>
      <c r="M327" s="155" t="s">
        <v>3333</v>
      </c>
      <c r="N327" s="167">
        <v>105079.64</v>
      </c>
      <c r="O327" s="167">
        <v>118740</v>
      </c>
      <c r="P327" s="167">
        <v>105079.64</v>
      </c>
      <c r="Q327" s="167"/>
      <c r="R327" s="167">
        <f t="shared" si="29"/>
        <v>105079.64</v>
      </c>
      <c r="S327" s="178">
        <f>IFERROR(VLOOKUP(G327,'附表8-合同明细采集底稿'!B:N,12,0),100%)</f>
        <v>1</v>
      </c>
      <c r="T327" s="167">
        <f t="shared" si="32"/>
        <v>105079.64</v>
      </c>
      <c r="U327" s="157" t="s">
        <v>2416</v>
      </c>
      <c r="V327" s="179" t="s">
        <v>374</v>
      </c>
      <c r="W327" s="182">
        <f>ROUND(T327*成本分摊比例!$G$13/(成本分摊比例!$G$13+成本分摊比例!$H$13+成本分摊比例!$I$13),2)</f>
        <v>56774.72</v>
      </c>
      <c r="X327" s="182">
        <f>ROUND(T327*成本分摊比例!$H$13/(成本分摊比例!$G$13+成本分摊比例!$H$13+成本分摊比例!$I$13),2)</f>
        <v>37563.72</v>
      </c>
      <c r="Y327" s="182">
        <f t="shared" si="33"/>
        <v>10741.2</v>
      </c>
      <c r="Z327" s="183" t="s">
        <v>2406</v>
      </c>
      <c r="AA327" s="157"/>
      <c r="AB327" s="184" t="s">
        <v>2319</v>
      </c>
      <c r="AC327" s="132">
        <f t="shared" si="26"/>
        <v>0</v>
      </c>
    </row>
    <row r="328" s="132" customFormat="1" ht="24" customHeight="1" spans="1:29">
      <c r="A328" s="150">
        <v>322</v>
      </c>
      <c r="B328" s="166" t="s">
        <v>3330</v>
      </c>
      <c r="C328" s="166" t="s">
        <v>3334</v>
      </c>
      <c r="D328" s="157" t="s">
        <v>2533</v>
      </c>
      <c r="E328" s="158" t="s">
        <v>2690</v>
      </c>
      <c r="F328" s="189" t="s">
        <v>3335</v>
      </c>
      <c r="G328" s="156" t="s">
        <v>3202</v>
      </c>
      <c r="H328" s="157" t="str">
        <f>IF(G328="","",VLOOKUP(G328,'附表8-合同明细采集底稿'!B:I,2,0))</f>
        <v>沁春锦苑一期地下室钢质门（19-24#）</v>
      </c>
      <c r="I328" s="165" t="str">
        <f>IF(G328="","",VLOOKUP(G328,'附表8-合同明细采集底稿'!B:I,3,0))</f>
        <v>买卖合同</v>
      </c>
      <c r="J328" s="187" t="s">
        <v>3018</v>
      </c>
      <c r="K328" s="157" t="s">
        <v>2355</v>
      </c>
      <c r="L328" s="166">
        <v>6500193130</v>
      </c>
      <c r="M328" s="555" t="s">
        <v>3336</v>
      </c>
      <c r="N328" s="167">
        <v>20707.96</v>
      </c>
      <c r="O328" s="167">
        <v>23400</v>
      </c>
      <c r="P328" s="167">
        <v>20707.96</v>
      </c>
      <c r="Q328" s="167"/>
      <c r="R328" s="167">
        <f t="shared" si="29"/>
        <v>20707.96</v>
      </c>
      <c r="S328" s="178">
        <f>IFERROR(VLOOKUP(G328,'附表8-合同明细采集底稿'!B:N,12,0),100%)</f>
        <v>1</v>
      </c>
      <c r="T328" s="167">
        <f t="shared" ref="T328:T391" si="34">ROUND(SUM(R328)*SUM(S328),2)</f>
        <v>20707.96</v>
      </c>
      <c r="U328" s="157" t="s">
        <v>2416</v>
      </c>
      <c r="V328" s="179" t="s">
        <v>374</v>
      </c>
      <c r="W328" s="182">
        <f>ROUND(T328*成本分摊比例!$G$13/(成本分摊比例!$G$13+成本分摊比例!$H$13+成本分摊比例!$I$13),2)</f>
        <v>11188.55</v>
      </c>
      <c r="X328" s="182">
        <f>ROUND(T328*成本分摊比例!$H$13/(成本分摊比例!$G$13+成本分摊比例!$H$13+成本分摊比例!$I$13),2)</f>
        <v>7402.65</v>
      </c>
      <c r="Y328" s="182">
        <f t="shared" si="33"/>
        <v>2116.76</v>
      </c>
      <c r="Z328" s="183" t="s">
        <v>2406</v>
      </c>
      <c r="AA328" s="157"/>
      <c r="AB328" s="184" t="s">
        <v>2319</v>
      </c>
      <c r="AC328" s="132">
        <f t="shared" ref="AC328:AC391" si="35">T328-W328-X328-Y328</f>
        <v>0</v>
      </c>
    </row>
    <row r="329" s="132" customFormat="1" ht="24" customHeight="1" spans="1:29">
      <c r="A329" s="150">
        <v>323</v>
      </c>
      <c r="B329" s="166" t="s">
        <v>3330</v>
      </c>
      <c r="C329" s="166" t="s">
        <v>3337</v>
      </c>
      <c r="D329" s="157" t="s">
        <v>2339</v>
      </c>
      <c r="E329" s="158" t="s">
        <v>2370</v>
      </c>
      <c r="F329" s="189" t="s">
        <v>3338</v>
      </c>
      <c r="G329" s="156" t="s">
        <v>3339</v>
      </c>
      <c r="H329" s="157" t="str">
        <f>IF(G329="","",VLOOKUP(G329,'附表8-合同明细采集底稿'!B:I,2,0))</f>
        <v>测绘合同书1#2#3#35#36#测绘</v>
      </c>
      <c r="I329" s="165" t="str">
        <f>IF(G329="","",VLOOKUP(G329,'附表8-合同明细采集底稿'!B:I,3,0))</f>
        <v>技术合同</v>
      </c>
      <c r="J329" s="187" t="s">
        <v>2624</v>
      </c>
      <c r="K329" s="157" t="s">
        <v>2355</v>
      </c>
      <c r="L329" s="166">
        <v>6500192130</v>
      </c>
      <c r="M329" s="555" t="s">
        <v>3340</v>
      </c>
      <c r="N329" s="167">
        <v>828.78</v>
      </c>
      <c r="O329" s="167">
        <v>837.07</v>
      </c>
      <c r="P329" s="167">
        <v>828.78</v>
      </c>
      <c r="Q329" s="167"/>
      <c r="R329" s="167">
        <f t="shared" si="29"/>
        <v>828.78</v>
      </c>
      <c r="S329" s="178">
        <f>IFERROR(VLOOKUP(G329,'附表8-合同明细采集底稿'!B:N,12,0),100%)</f>
        <v>1</v>
      </c>
      <c r="T329" s="167">
        <f t="shared" si="34"/>
        <v>828.78</v>
      </c>
      <c r="U329" s="157" t="s">
        <v>2405</v>
      </c>
      <c r="V329" s="179" t="s">
        <v>374</v>
      </c>
      <c r="W329" s="181">
        <v>0</v>
      </c>
      <c r="X329" s="181">
        <v>0</v>
      </c>
      <c r="Y329" s="181">
        <v>828.78</v>
      </c>
      <c r="Z329" s="183" t="s">
        <v>2406</v>
      </c>
      <c r="AA329" s="157"/>
      <c r="AB329" s="184" t="s">
        <v>2319</v>
      </c>
      <c r="AC329" s="132">
        <f t="shared" si="35"/>
        <v>0</v>
      </c>
    </row>
    <row r="330" s="132" customFormat="1" ht="24" customHeight="1" spans="1:29">
      <c r="A330" s="150">
        <v>324</v>
      </c>
      <c r="B330" s="166" t="s">
        <v>3330</v>
      </c>
      <c r="C330" s="166" t="s">
        <v>3337</v>
      </c>
      <c r="D330" s="157" t="s">
        <v>2339</v>
      </c>
      <c r="E330" s="158" t="s">
        <v>2370</v>
      </c>
      <c r="F330" s="189" t="s">
        <v>3338</v>
      </c>
      <c r="G330" s="156" t="s">
        <v>3339</v>
      </c>
      <c r="H330" s="157" t="str">
        <f>IF(G330="","",VLOOKUP(G330,'附表8-合同明细采集底稿'!B:I,2,0))</f>
        <v>测绘合同书1#2#3#35#36#测绘</v>
      </c>
      <c r="I330" s="165" t="str">
        <f>IF(G330="","",VLOOKUP(G330,'附表8-合同明细采集底稿'!B:I,3,0))</f>
        <v>技术合同</v>
      </c>
      <c r="J330" s="187" t="s">
        <v>2624</v>
      </c>
      <c r="K330" s="157" t="s">
        <v>2355</v>
      </c>
      <c r="L330" s="166">
        <v>6500192130</v>
      </c>
      <c r="M330" s="555" t="s">
        <v>3340</v>
      </c>
      <c r="N330" s="167">
        <v>720.25</v>
      </c>
      <c r="O330" s="167">
        <v>727.45</v>
      </c>
      <c r="P330" s="167">
        <v>720.25</v>
      </c>
      <c r="Q330" s="167"/>
      <c r="R330" s="167">
        <f t="shared" si="29"/>
        <v>720.25</v>
      </c>
      <c r="S330" s="178">
        <f>IFERROR(VLOOKUP(G330,'附表8-合同明细采集底稿'!B:N,12,0),100%)</f>
        <v>1</v>
      </c>
      <c r="T330" s="167">
        <f t="shared" si="34"/>
        <v>720.25</v>
      </c>
      <c r="U330" s="157" t="s">
        <v>2405</v>
      </c>
      <c r="V330" s="179" t="s">
        <v>374</v>
      </c>
      <c r="W330" s="181">
        <v>0</v>
      </c>
      <c r="X330" s="181">
        <v>0</v>
      </c>
      <c r="Y330" s="181">
        <v>720.25</v>
      </c>
      <c r="Z330" s="183" t="s">
        <v>2406</v>
      </c>
      <c r="AA330" s="157"/>
      <c r="AB330" s="184" t="s">
        <v>2319</v>
      </c>
      <c r="AC330" s="132">
        <f t="shared" si="35"/>
        <v>0</v>
      </c>
    </row>
    <row r="331" s="132" customFormat="1" ht="24" customHeight="1" spans="1:29">
      <c r="A331" s="150">
        <v>325</v>
      </c>
      <c r="B331" s="166" t="s">
        <v>3330</v>
      </c>
      <c r="C331" s="166" t="s">
        <v>3021</v>
      </c>
      <c r="D331" s="157" t="s">
        <v>2346</v>
      </c>
      <c r="E331" s="158" t="s">
        <v>2453</v>
      </c>
      <c r="F331" s="189" t="s">
        <v>3341</v>
      </c>
      <c r="G331" s="156"/>
      <c r="H331" s="157" t="str">
        <f>IF(G331="","",VLOOKUP(G331,'附表8-合同明细采集底稿'!B:I,2,0))</f>
        <v/>
      </c>
      <c r="I331" s="165" t="str">
        <f>IF(G331="","",VLOOKUP(G331,'附表8-合同明细采集底稿'!B:I,3,0))</f>
        <v/>
      </c>
      <c r="J331" s="169" t="s">
        <v>3342</v>
      </c>
      <c r="K331" s="157" t="s">
        <v>2335</v>
      </c>
      <c r="L331" s="168" t="s">
        <v>2336</v>
      </c>
      <c r="M331" s="166">
        <v>18402776</v>
      </c>
      <c r="N331" s="167">
        <v>895</v>
      </c>
      <c r="O331" s="167">
        <v>895</v>
      </c>
      <c r="P331" s="167">
        <v>895</v>
      </c>
      <c r="Q331" s="167">
        <v>-895</v>
      </c>
      <c r="R331" s="167">
        <f t="shared" si="29"/>
        <v>0</v>
      </c>
      <c r="S331" s="178">
        <v>1</v>
      </c>
      <c r="T331" s="167">
        <f t="shared" si="34"/>
        <v>0</v>
      </c>
      <c r="U331" s="157" t="s">
        <v>2416</v>
      </c>
      <c r="V331" s="179" t="s">
        <v>374</v>
      </c>
      <c r="W331" s="182">
        <f>ROUND(T331*成本分摊比例!$G$13/(成本分摊比例!$G$13+成本分摊比例!$H$13+成本分摊比例!$I$13),2)</f>
        <v>0</v>
      </c>
      <c r="X331" s="182">
        <f>ROUND(T331*成本分摊比例!$H$13/(成本分摊比例!$G$13+成本分摊比例!$H$13+成本分摊比例!$I$13),2)</f>
        <v>0</v>
      </c>
      <c r="Y331" s="182">
        <f>T331-W331-X331</f>
        <v>0</v>
      </c>
      <c r="Z331" s="183" t="s">
        <v>2406</v>
      </c>
      <c r="AA331" s="157"/>
      <c r="AB331" s="184" t="s">
        <v>2319</v>
      </c>
      <c r="AC331" s="132">
        <f t="shared" si="35"/>
        <v>0</v>
      </c>
    </row>
    <row r="332" s="132" customFormat="1" ht="24" customHeight="1" spans="1:29">
      <c r="A332" s="150">
        <v>326</v>
      </c>
      <c r="B332" s="166" t="s">
        <v>3330</v>
      </c>
      <c r="C332" s="166" t="s">
        <v>3343</v>
      </c>
      <c r="D332" s="157" t="s">
        <v>2533</v>
      </c>
      <c r="E332" s="158" t="s">
        <v>2690</v>
      </c>
      <c r="F332" s="189" t="s">
        <v>3344</v>
      </c>
      <c r="G332" s="156" t="s">
        <v>3345</v>
      </c>
      <c r="H332" s="157" t="str">
        <f>IF(G332="","",VLOOKUP(G332,'附表8-合同明细采集底稿'!B:I,2,0))</f>
        <v>沁春锦苑25#27#29#楼门斗装修</v>
      </c>
      <c r="I332" s="165" t="str">
        <f>IF(G332="","",VLOOKUP(G332,'附表8-合同明细采集底稿'!B:I,3,0))</f>
        <v>建设工程合同</v>
      </c>
      <c r="J332" s="187" t="s">
        <v>2791</v>
      </c>
      <c r="K332" s="157" t="s">
        <v>2355</v>
      </c>
      <c r="L332" s="166">
        <v>6500193130</v>
      </c>
      <c r="M332" s="554" t="s">
        <v>3346</v>
      </c>
      <c r="N332" s="167">
        <v>187722.77</v>
      </c>
      <c r="O332" s="167">
        <v>189600</v>
      </c>
      <c r="P332" s="167">
        <v>187722.77</v>
      </c>
      <c r="Q332" s="167"/>
      <c r="R332" s="167">
        <f t="shared" si="29"/>
        <v>187722.77</v>
      </c>
      <c r="S332" s="178">
        <f>IFERROR(VLOOKUP(G332,'附表8-合同明细采集底稿'!B:N,12,0),100%)</f>
        <v>1</v>
      </c>
      <c r="T332" s="167">
        <f t="shared" si="34"/>
        <v>187722.77</v>
      </c>
      <c r="U332" s="157" t="s">
        <v>2416</v>
      </c>
      <c r="V332" s="179" t="s">
        <v>374</v>
      </c>
      <c r="W332" s="182">
        <f>ROUND(T332*成本分摊比例!$G$13/(成本分摊比例!$G$13+成本分摊比例!$H$13+成本分摊比例!$I$13),2)</f>
        <v>101426.95</v>
      </c>
      <c r="X332" s="182">
        <f>ROUND(T332*成本分摊比例!$H$13/(成本分摊比例!$G$13+成本分摊比例!$H$13+成本分摊比例!$I$13),2)</f>
        <v>67106.86</v>
      </c>
      <c r="Y332" s="182">
        <f t="shared" ref="Y332:Y339" si="36">T332-W332-X332</f>
        <v>19188.96</v>
      </c>
      <c r="Z332" s="183" t="s">
        <v>2406</v>
      </c>
      <c r="AA332" s="157"/>
      <c r="AB332" s="184" t="s">
        <v>2319</v>
      </c>
      <c r="AC332" s="132">
        <f t="shared" si="35"/>
        <v>0</v>
      </c>
    </row>
    <row r="333" s="132" customFormat="1" ht="24" customHeight="1" spans="1:29">
      <c r="A333" s="150">
        <v>327</v>
      </c>
      <c r="B333" s="166" t="s">
        <v>3330</v>
      </c>
      <c r="C333" s="166" t="s">
        <v>3024</v>
      </c>
      <c r="D333" s="157" t="s">
        <v>2533</v>
      </c>
      <c r="E333" s="158" t="s">
        <v>2564</v>
      </c>
      <c r="F333" s="189" t="s">
        <v>3347</v>
      </c>
      <c r="G333" s="156" t="s">
        <v>2900</v>
      </c>
      <c r="H333" s="157" t="str">
        <f>IF(G333="","",VLOOKUP(G333,'附表8-合同明细采集底稿'!B:I,2,0))</f>
        <v>沁春锦苑25、26、28#施工协议</v>
      </c>
      <c r="I333" s="165" t="str">
        <f>IF(G333="","",VLOOKUP(G333,'附表8-合同明细采集底稿'!B:I,3,0))</f>
        <v>建设工程合同</v>
      </c>
      <c r="J333" s="187" t="s">
        <v>144</v>
      </c>
      <c r="K333" s="157" t="s">
        <v>2355</v>
      </c>
      <c r="L333" s="166">
        <v>6500193130</v>
      </c>
      <c r="M333" s="555" t="s">
        <v>3348</v>
      </c>
      <c r="N333" s="167">
        <v>181651.38</v>
      </c>
      <c r="O333" s="167">
        <v>198000</v>
      </c>
      <c r="P333" s="167">
        <v>181651.38</v>
      </c>
      <c r="Q333" s="167"/>
      <c r="R333" s="167">
        <f t="shared" si="29"/>
        <v>181651.38</v>
      </c>
      <c r="S333" s="178">
        <f>IFERROR(VLOOKUP(G333,'附表8-合同明细采集底稿'!B:N,12,0),100%)</f>
        <v>1</v>
      </c>
      <c r="T333" s="167">
        <f t="shared" si="34"/>
        <v>181651.38</v>
      </c>
      <c r="U333" s="157" t="s">
        <v>2416</v>
      </c>
      <c r="V333" s="179" t="s">
        <v>374</v>
      </c>
      <c r="W333" s="182">
        <f>ROUND(T333*成本分摊比例!$G$13/(成本分摊比例!$G$13+成本分摊比例!$H$13+成本分摊比例!$I$13),2)</f>
        <v>98146.56</v>
      </c>
      <c r="X333" s="182">
        <f>ROUND(T333*成本分摊比例!$H$13/(成本分摊比例!$G$13+成本分摊比例!$H$13+成本分摊比例!$I$13),2)</f>
        <v>64936.47</v>
      </c>
      <c r="Y333" s="182">
        <f t="shared" si="36"/>
        <v>18568.35</v>
      </c>
      <c r="Z333" s="183" t="s">
        <v>2406</v>
      </c>
      <c r="AA333" s="157"/>
      <c r="AB333" s="184" t="s">
        <v>2319</v>
      </c>
      <c r="AC333" s="132">
        <f t="shared" si="35"/>
        <v>0</v>
      </c>
    </row>
    <row r="334" s="132" customFormat="1" ht="24" customHeight="1" spans="1:29">
      <c r="A334" s="150">
        <v>328</v>
      </c>
      <c r="B334" s="166" t="s">
        <v>3349</v>
      </c>
      <c r="C334" s="166" t="s">
        <v>3350</v>
      </c>
      <c r="D334" s="157" t="s">
        <v>2346</v>
      </c>
      <c r="E334" s="158" t="s">
        <v>2453</v>
      </c>
      <c r="F334" s="189" t="s">
        <v>3351</v>
      </c>
      <c r="G334" s="156"/>
      <c r="H334" s="157" t="str">
        <f>IF(G334="","",VLOOKUP(G334,'附表8-合同明细采集底稿'!B:I,2,0))</f>
        <v/>
      </c>
      <c r="I334" s="165" t="str">
        <f>IF(G334="","",VLOOKUP(G334,'附表8-合同明细采集底稿'!B:I,3,0))</f>
        <v/>
      </c>
      <c r="J334" s="169" t="s">
        <v>3321</v>
      </c>
      <c r="K334" s="157" t="s">
        <v>2335</v>
      </c>
      <c r="L334" s="168" t="s">
        <v>2336</v>
      </c>
      <c r="M334" s="166">
        <v>62410894</v>
      </c>
      <c r="N334" s="167">
        <v>15000</v>
      </c>
      <c r="O334" s="167">
        <v>15000</v>
      </c>
      <c r="P334" s="167">
        <v>15000</v>
      </c>
      <c r="Q334" s="167"/>
      <c r="R334" s="167">
        <f t="shared" si="29"/>
        <v>15000</v>
      </c>
      <c r="S334" s="178">
        <v>0.338555832480367</v>
      </c>
      <c r="T334" s="167">
        <f t="shared" si="34"/>
        <v>5078.34</v>
      </c>
      <c r="U334" s="157" t="s">
        <v>2318</v>
      </c>
      <c r="V334" s="179" t="s">
        <v>375</v>
      </c>
      <c r="W334" s="180">
        <f>IF('附表1-面积统计表'!$D$29=0,"",IF(AND(V334="共同成本费用",Z334="总建筑面积法"),ROUND(T334/'附表1-面积统计表'!$D$29*'附表1-面积统计表'!$D$5,2),IF(AND(V334="共同成本费用",Z334="可售建筑面积法"),ROUND(T334/'附表1-面积统计表'!$F$29*'附表1-面积统计表'!$F$5,2),"请手工填写")))</f>
        <v>2460.27</v>
      </c>
      <c r="X334" s="180">
        <f>IF(SUM('附表1-面积统计表'!$D$6)=0,"",SUM(T334)-SUM(W334)-SUM(Y334))</f>
        <v>1627.78</v>
      </c>
      <c r="Y334" s="180">
        <f>IF(SUM('附表1-面积统计表'!$D$6)=0,SUM(T334)-SUM(W334),IF('附表1-面积统计表'!$D$29=0,"",IF(AND(V334="共同成本费用",Z334="总建筑面积法"),ROUND(T334/'附表1-面积统计表'!$D$29*'附表1-面积统计表'!$D$7,2),IF(AND(V334="共同成本费用",Z334="可售建筑面积法"),ROUND(T334/'附表1-面积统计表'!$F$29*'附表1-面积统计表'!$F$7,2),"请手工填写"))))</f>
        <v>990.29</v>
      </c>
      <c r="Z334" s="183" t="s">
        <v>351</v>
      </c>
      <c r="AA334" s="157"/>
      <c r="AB334" s="184" t="s">
        <v>2319</v>
      </c>
      <c r="AC334" s="132">
        <f t="shared" si="35"/>
        <v>0</v>
      </c>
    </row>
    <row r="335" s="132" customFormat="1" ht="24" customHeight="1" spans="1:29">
      <c r="A335" s="150">
        <v>329</v>
      </c>
      <c r="B335" s="166" t="s">
        <v>3352</v>
      </c>
      <c r="C335" s="166" t="s">
        <v>3353</v>
      </c>
      <c r="D335" s="157" t="s">
        <v>2470</v>
      </c>
      <c r="E335" s="158" t="s">
        <v>2471</v>
      </c>
      <c r="F335" s="189" t="s">
        <v>3354</v>
      </c>
      <c r="G335" s="156" t="s">
        <v>3355</v>
      </c>
      <c r="H335" s="157" t="str">
        <f>IF(G335="","",VLOOKUP(G335,'附表8-合同明细采集底稿'!B:I,2,0))</f>
        <v>土石方、垃圾</v>
      </c>
      <c r="I335" s="165" t="str">
        <f>IF(G335="","",VLOOKUP(G335,'附表8-合同明细采集底稿'!B:I,3,0))</f>
        <v>运输合同</v>
      </c>
      <c r="J335" s="154" t="s">
        <v>3356</v>
      </c>
      <c r="K335" s="157" t="s">
        <v>2355</v>
      </c>
      <c r="L335" s="166">
        <v>6500193160</v>
      </c>
      <c r="M335" s="555" t="s">
        <v>3357</v>
      </c>
      <c r="N335" s="167">
        <v>330816.83</v>
      </c>
      <c r="O335" s="167">
        <v>334125</v>
      </c>
      <c r="P335" s="167">
        <v>330816.83</v>
      </c>
      <c r="Q335" s="167"/>
      <c r="R335" s="167">
        <f t="shared" si="29"/>
        <v>330816.83</v>
      </c>
      <c r="S335" s="178">
        <f>IFERROR(VLOOKUP(G335,'附表8-合同明细采集底稿'!B:N,12,0),100%)</f>
        <v>1</v>
      </c>
      <c r="T335" s="167">
        <f t="shared" si="34"/>
        <v>330816.83</v>
      </c>
      <c r="U335" s="157" t="s">
        <v>2344</v>
      </c>
      <c r="V335" s="179" t="s">
        <v>375</v>
      </c>
      <c r="W335" s="180">
        <f>IF('附表1-面积统计表'!$D$29=0,"",IF(AND(V335="共同成本费用",Z335="总建筑面积法"),ROUND(T335/'附表1-面积统计表'!$D$29*'附表1-面积统计表'!$D$5,2),IF(AND(V335="共同成本费用",Z335="可售建筑面积法"),ROUND(T335/'附表1-面积统计表'!$F$29*'附表1-面积统计表'!$F$5,2),"请手工填写")))</f>
        <v>160268.54</v>
      </c>
      <c r="X335" s="180">
        <f>IF(SUM('附表1-面积统计表'!$D$6)=0,"",SUM(T335)-SUM(W335)-SUM(Y335))</f>
        <v>106038.08</v>
      </c>
      <c r="Y335" s="180">
        <f>IF(SUM('附表1-面积统计表'!$D$6)=0,SUM(T335)-SUM(W335),IF('附表1-面积统计表'!$D$29=0,"",IF(AND(V335="共同成本费用",Z335="总建筑面积法"),ROUND(T335/'附表1-面积统计表'!$D$29*'附表1-面积统计表'!$D$7,2),IF(AND(V335="共同成本费用",Z335="可售建筑面积法"),ROUND(T335/'附表1-面积统计表'!$F$29*'附表1-面积统计表'!$F$7,2),"请手工填写"))))</f>
        <v>64510.21</v>
      </c>
      <c r="Z335" s="183" t="s">
        <v>351</v>
      </c>
      <c r="AA335" s="157"/>
      <c r="AB335" s="184" t="s">
        <v>2319</v>
      </c>
      <c r="AC335" s="132">
        <f t="shared" si="35"/>
        <v>0</v>
      </c>
    </row>
    <row r="336" s="132" customFormat="1" ht="24" customHeight="1" spans="1:29">
      <c r="A336" s="150">
        <v>330</v>
      </c>
      <c r="B336" s="166" t="s">
        <v>3352</v>
      </c>
      <c r="C336" s="166" t="s">
        <v>3358</v>
      </c>
      <c r="D336" s="157" t="s">
        <v>2533</v>
      </c>
      <c r="E336" s="158" t="s">
        <v>2690</v>
      </c>
      <c r="F336" s="189" t="s">
        <v>3359</v>
      </c>
      <c r="G336" s="156" t="s">
        <v>3250</v>
      </c>
      <c r="H336" s="157" t="str">
        <f>IF(G336="","",VLOOKUP(G336,'附表8-合同明细采集底稿'!B:I,2,0))</f>
        <v>沁春锦苑32#33#34#楼外墙装修</v>
      </c>
      <c r="I336" s="165" t="str">
        <f>IF(G336="","",VLOOKUP(G336,'附表8-合同明细采集底稿'!B:I,3,0))</f>
        <v>建设工程合同</v>
      </c>
      <c r="J336" s="187" t="s">
        <v>3231</v>
      </c>
      <c r="K336" s="157" t="s">
        <v>2355</v>
      </c>
      <c r="L336" s="191">
        <v>6500193130</v>
      </c>
      <c r="M336" s="166" t="s">
        <v>3360</v>
      </c>
      <c r="N336" s="167">
        <v>191743.12</v>
      </c>
      <c r="O336" s="167">
        <v>209000</v>
      </c>
      <c r="P336" s="167">
        <v>191743.12</v>
      </c>
      <c r="Q336" s="167"/>
      <c r="R336" s="167">
        <f t="shared" si="29"/>
        <v>191743.12</v>
      </c>
      <c r="S336" s="178">
        <f>IFERROR(VLOOKUP(G336,'附表8-合同明细采集底稿'!B:N,12,0),100%)</f>
        <v>1</v>
      </c>
      <c r="T336" s="167">
        <f t="shared" si="34"/>
        <v>191743.12</v>
      </c>
      <c r="U336" s="157" t="s">
        <v>2405</v>
      </c>
      <c r="V336" s="179" t="s">
        <v>374</v>
      </c>
      <c r="W336" s="181">
        <v>0</v>
      </c>
      <c r="X336" s="181">
        <v>0</v>
      </c>
      <c r="Y336" s="181">
        <v>191743.12</v>
      </c>
      <c r="Z336" s="183" t="s">
        <v>2406</v>
      </c>
      <c r="AA336" s="157"/>
      <c r="AB336" s="184" t="s">
        <v>2319</v>
      </c>
      <c r="AC336" s="132">
        <f t="shared" si="35"/>
        <v>0</v>
      </c>
    </row>
    <row r="337" s="132" customFormat="1" ht="24" customHeight="1" spans="1:29">
      <c r="A337" s="150">
        <v>331</v>
      </c>
      <c r="B337" s="166" t="s">
        <v>3352</v>
      </c>
      <c r="C337" s="166" t="s">
        <v>3361</v>
      </c>
      <c r="D337" s="157" t="s">
        <v>2533</v>
      </c>
      <c r="E337" s="158" t="s">
        <v>2690</v>
      </c>
      <c r="F337" s="189" t="s">
        <v>3362</v>
      </c>
      <c r="G337" s="156" t="s">
        <v>3363</v>
      </c>
      <c r="H337" s="157" t="str">
        <f>IF(G337="","",VLOOKUP(G337,'附表8-合同明细采集底稿'!B:I,2,0))</f>
        <v>沁春锦苑19#20#23#24#楼吊顶隔墙装修合同</v>
      </c>
      <c r="I337" s="165" t="str">
        <f>IF(G337="","",VLOOKUP(G337,'附表8-合同明细采集底稿'!B:I,3,0))</f>
        <v>建设工程合同</v>
      </c>
      <c r="J337" s="187" t="s">
        <v>3231</v>
      </c>
      <c r="K337" s="157" t="s">
        <v>2355</v>
      </c>
      <c r="L337" s="191">
        <v>6500193130</v>
      </c>
      <c r="M337" s="155" t="s">
        <v>3364</v>
      </c>
      <c r="N337" s="167">
        <v>917431.2</v>
      </c>
      <c r="O337" s="167">
        <v>1000000</v>
      </c>
      <c r="P337" s="167">
        <v>917431.2</v>
      </c>
      <c r="Q337" s="167"/>
      <c r="R337" s="167">
        <f t="shared" si="29"/>
        <v>917431.2</v>
      </c>
      <c r="S337" s="178">
        <f>IFERROR(VLOOKUP(G337,'附表8-合同明细采集底稿'!B:N,12,0),100%)</f>
        <v>1</v>
      </c>
      <c r="T337" s="167">
        <f t="shared" si="34"/>
        <v>917431.2</v>
      </c>
      <c r="U337" s="157" t="s">
        <v>2416</v>
      </c>
      <c r="V337" s="179" t="s">
        <v>374</v>
      </c>
      <c r="W337" s="182">
        <f>ROUND(T337*成本分摊比例!$G$13/(成本分摊比例!$G$13+成本分摊比例!$H$13+成本分摊比例!$I$13),2)</f>
        <v>495689.71</v>
      </c>
      <c r="X337" s="182">
        <f>ROUND(T337*成本分摊比例!$H$13/(成本分摊比例!$G$13+成本分摊比例!$H$13+成本分摊比例!$I$13),2)</f>
        <v>327961.96</v>
      </c>
      <c r="Y337" s="182">
        <f t="shared" si="36"/>
        <v>93779.5299999999</v>
      </c>
      <c r="Z337" s="183" t="s">
        <v>2406</v>
      </c>
      <c r="AA337" s="157"/>
      <c r="AB337" s="184" t="s">
        <v>2319</v>
      </c>
      <c r="AC337" s="132">
        <f t="shared" si="35"/>
        <v>0</v>
      </c>
    </row>
    <row r="338" s="132" customFormat="1" ht="24" customHeight="1" spans="1:29">
      <c r="A338" s="150">
        <v>332</v>
      </c>
      <c r="B338" s="166" t="s">
        <v>3352</v>
      </c>
      <c r="C338" s="166" t="s">
        <v>3365</v>
      </c>
      <c r="D338" s="157" t="s">
        <v>2533</v>
      </c>
      <c r="E338" s="158" t="s">
        <v>2690</v>
      </c>
      <c r="F338" s="189" t="s">
        <v>3366</v>
      </c>
      <c r="G338" s="156"/>
      <c r="H338" s="157" t="str">
        <f>IF(G338="","",VLOOKUP(G338,'附表8-合同明细采集底稿'!B:I,2,0))</f>
        <v/>
      </c>
      <c r="I338" s="165" t="str">
        <f>IF(G338="","",VLOOKUP(G338,'附表8-合同明细采集底稿'!B:I,3,0))</f>
        <v/>
      </c>
      <c r="J338" s="187" t="s">
        <v>3367</v>
      </c>
      <c r="K338" s="157" t="s">
        <v>2335</v>
      </c>
      <c r="L338" s="168" t="s">
        <v>2336</v>
      </c>
      <c r="M338" s="166">
        <v>37862407</v>
      </c>
      <c r="N338" s="167">
        <v>2646</v>
      </c>
      <c r="O338" s="167">
        <v>2646</v>
      </c>
      <c r="P338" s="167">
        <v>2646</v>
      </c>
      <c r="Q338" s="167"/>
      <c r="R338" s="167">
        <f t="shared" si="29"/>
        <v>2646</v>
      </c>
      <c r="S338" s="178">
        <v>1</v>
      </c>
      <c r="T338" s="167">
        <f t="shared" si="34"/>
        <v>2646</v>
      </c>
      <c r="U338" s="157" t="s">
        <v>2416</v>
      </c>
      <c r="V338" s="179" t="s">
        <v>374</v>
      </c>
      <c r="W338" s="182">
        <f>ROUND(T338*成本分摊比例!$G$13/(成本分摊比例!$G$13+成本分摊比例!$H$13+成本分摊比例!$I$13),2)</f>
        <v>1429.64</v>
      </c>
      <c r="X338" s="182">
        <f>ROUND(T338*成本分摊比例!$H$13/(成本分摊比例!$G$13+成本分摊比例!$H$13+成本分摊比例!$I$13),2)</f>
        <v>945.89</v>
      </c>
      <c r="Y338" s="182">
        <f t="shared" si="36"/>
        <v>270.47</v>
      </c>
      <c r="Z338" s="183" t="s">
        <v>2406</v>
      </c>
      <c r="AA338" s="157"/>
      <c r="AB338" s="184" t="s">
        <v>2319</v>
      </c>
      <c r="AC338" s="132">
        <f t="shared" si="35"/>
        <v>0</v>
      </c>
    </row>
    <row r="339" s="132" customFormat="1" ht="24" customHeight="1" spans="1:29">
      <c r="A339" s="150">
        <v>333</v>
      </c>
      <c r="B339" s="166" t="s">
        <v>3352</v>
      </c>
      <c r="C339" s="166" t="s">
        <v>3365</v>
      </c>
      <c r="D339" s="157" t="s">
        <v>2533</v>
      </c>
      <c r="E339" s="158" t="s">
        <v>2690</v>
      </c>
      <c r="F339" s="189" t="s">
        <v>3366</v>
      </c>
      <c r="G339" s="156"/>
      <c r="H339" s="157" t="str">
        <f>IF(G339="","",VLOOKUP(G339,'附表8-合同明细采集底稿'!B:I,2,0))</f>
        <v/>
      </c>
      <c r="I339" s="165" t="str">
        <f>IF(G339="","",VLOOKUP(G339,'附表8-合同明细采集底稿'!B:I,3,0))</f>
        <v/>
      </c>
      <c r="J339" s="187" t="s">
        <v>3368</v>
      </c>
      <c r="K339" s="157" t="s">
        <v>2335</v>
      </c>
      <c r="L339" s="168" t="s">
        <v>2336</v>
      </c>
      <c r="M339" s="166">
        <v>37658424</v>
      </c>
      <c r="N339" s="167">
        <v>8453</v>
      </c>
      <c r="O339" s="167">
        <v>8453</v>
      </c>
      <c r="P339" s="167">
        <v>8453</v>
      </c>
      <c r="Q339" s="167">
        <v>-8453</v>
      </c>
      <c r="R339" s="167">
        <f t="shared" si="29"/>
        <v>0</v>
      </c>
      <c r="S339" s="178">
        <v>1</v>
      </c>
      <c r="T339" s="167">
        <f t="shared" si="34"/>
        <v>0</v>
      </c>
      <c r="U339" s="157" t="s">
        <v>2416</v>
      </c>
      <c r="V339" s="179" t="s">
        <v>374</v>
      </c>
      <c r="W339" s="182">
        <f>ROUND(T339*成本分摊比例!$G$13/(成本分摊比例!$G$13+成本分摊比例!$H$13+成本分摊比例!$I$13),2)</f>
        <v>0</v>
      </c>
      <c r="X339" s="182">
        <f>ROUND(T339*成本分摊比例!$H$13/(成本分摊比例!$G$13+成本分摊比例!$H$13+成本分摊比例!$I$13),2)</f>
        <v>0</v>
      </c>
      <c r="Y339" s="182">
        <f t="shared" si="36"/>
        <v>0</v>
      </c>
      <c r="Z339" s="183" t="s">
        <v>2406</v>
      </c>
      <c r="AA339" s="157"/>
      <c r="AB339" s="184" t="s">
        <v>2319</v>
      </c>
      <c r="AC339" s="132">
        <f t="shared" si="35"/>
        <v>0</v>
      </c>
    </row>
    <row r="340" s="132" customFormat="1" ht="24" customHeight="1" spans="1:29">
      <c r="A340" s="150">
        <v>334</v>
      </c>
      <c r="B340" s="166" t="s">
        <v>3369</v>
      </c>
      <c r="C340" s="166" t="s">
        <v>3370</v>
      </c>
      <c r="D340" s="157" t="s">
        <v>2346</v>
      </c>
      <c r="E340" s="158" t="s">
        <v>2501</v>
      </c>
      <c r="F340" s="189" t="s">
        <v>3371</v>
      </c>
      <c r="G340" s="156" t="s">
        <v>2560</v>
      </c>
      <c r="H340" s="157" t="str">
        <f>IF(G340="","",VLOOKUP(G340,'附表8-合同明细采集底稿'!B:I,2,0))</f>
        <v>一期景观混凝土</v>
      </c>
      <c r="I340" s="165" t="str">
        <f>IF(G340="","",VLOOKUP(G340,'附表8-合同明细采集底稿'!B:I,3,0))</f>
        <v>其他合同</v>
      </c>
      <c r="J340" s="169" t="s">
        <v>2561</v>
      </c>
      <c r="K340" s="157" t="s">
        <v>2355</v>
      </c>
      <c r="L340" s="166">
        <v>6500193130</v>
      </c>
      <c r="M340" s="555" t="s">
        <v>3372</v>
      </c>
      <c r="N340" s="167">
        <v>51690.27</v>
      </c>
      <c r="O340" s="167">
        <v>58410</v>
      </c>
      <c r="P340" s="167">
        <v>51690.27</v>
      </c>
      <c r="Q340" s="167"/>
      <c r="R340" s="167">
        <f t="shared" si="29"/>
        <v>51690.27</v>
      </c>
      <c r="S340" s="178">
        <f>IFERROR(VLOOKUP(G340,'附表8-合同明细采集底稿'!B:N,12,0),100%)</f>
        <v>1</v>
      </c>
      <c r="T340" s="167">
        <f t="shared" si="34"/>
        <v>51690.27</v>
      </c>
      <c r="U340" s="157" t="s">
        <v>2344</v>
      </c>
      <c r="V340" s="179" t="s">
        <v>375</v>
      </c>
      <c r="W340" s="180">
        <f>IF('附表1-面积统计表'!$D$29=0,"",IF(AND(V340="共同成本费用",Z340="总建筑面积法"),ROUND(T340/'附表1-面积统计表'!$D$29*'附表1-面积统计表'!$D$5,2),IF(AND(V340="共同成本费用",Z340="可售建筑面积法"),ROUND(T340/'附表1-面积统计表'!$F$29*'附表1-面积统计表'!$F$5,2),"请手工填写")))</f>
        <v>25042.03</v>
      </c>
      <c r="X340" s="180">
        <f>IF(SUM('附表1-面积统计表'!$D$6)=0,"",SUM(T340)-SUM(W340)-SUM(Y340))</f>
        <v>16568.49</v>
      </c>
      <c r="Y340" s="180">
        <f>IF(SUM('附表1-面积统计表'!$D$6)=0,SUM(T340)-SUM(W340),IF('附表1-面积统计表'!$D$29=0,"",IF(AND(V340="共同成本费用",Z340="总建筑面积法"),ROUND(T340/'附表1-面积统计表'!$D$29*'附表1-面积统计表'!$D$7,2),IF(AND(V340="共同成本费用",Z340="可售建筑面积法"),ROUND(T340/'附表1-面积统计表'!$F$29*'附表1-面积统计表'!$F$7,2),"请手工填写"))))</f>
        <v>10079.75</v>
      </c>
      <c r="Z340" s="183" t="s">
        <v>351</v>
      </c>
      <c r="AA340" s="157"/>
      <c r="AB340" s="184" t="s">
        <v>2319</v>
      </c>
      <c r="AC340" s="132">
        <f t="shared" si="35"/>
        <v>0</v>
      </c>
    </row>
    <row r="341" s="132" customFormat="1" ht="24" customHeight="1" spans="1:29">
      <c r="A341" s="150">
        <v>335</v>
      </c>
      <c r="B341" s="166" t="s">
        <v>3373</v>
      </c>
      <c r="C341" s="166" t="s">
        <v>3374</v>
      </c>
      <c r="D341" s="157" t="s">
        <v>2533</v>
      </c>
      <c r="E341" s="158" t="s">
        <v>2534</v>
      </c>
      <c r="F341" s="189" t="s">
        <v>3375</v>
      </c>
      <c r="G341" s="156" t="s">
        <v>3376</v>
      </c>
      <c r="H341" s="157" t="str">
        <f>IF(G341="","",VLOOKUP(G341,'附表8-合同明细采集底稿'!B:I,2,0))</f>
        <v>卫浴款</v>
      </c>
      <c r="I341" s="165" t="str">
        <f>IF(G341="","",VLOOKUP(G341,'附表8-合同明细采集底稿'!B:I,3,0))</f>
        <v>其他合同</v>
      </c>
      <c r="J341" s="187" t="s">
        <v>3377</v>
      </c>
      <c r="K341" s="157" t="s">
        <v>2335</v>
      </c>
      <c r="L341" s="168" t="s">
        <v>2336</v>
      </c>
      <c r="M341" s="155" t="s">
        <v>3378</v>
      </c>
      <c r="N341" s="167">
        <v>150000</v>
      </c>
      <c r="O341" s="167">
        <v>150000</v>
      </c>
      <c r="P341" s="167">
        <v>150000</v>
      </c>
      <c r="Q341" s="167">
        <v>-32361</v>
      </c>
      <c r="R341" s="167">
        <f t="shared" si="29"/>
        <v>117639</v>
      </c>
      <c r="S341" s="178">
        <f>IFERROR(VLOOKUP(G341,'附表8-合同明细采集底稿'!B:N,12,0),100%)</f>
        <v>1</v>
      </c>
      <c r="T341" s="167">
        <f t="shared" si="34"/>
        <v>117639</v>
      </c>
      <c r="U341" s="157" t="s">
        <v>2416</v>
      </c>
      <c r="V341" s="179" t="s">
        <v>374</v>
      </c>
      <c r="W341" s="182">
        <f>ROUND(T341*成本分摊比例!$G$13/(成本分摊比例!$G$13+成本分摊比例!$H$13+成本分摊比例!$I$13),2)</f>
        <v>63560.56</v>
      </c>
      <c r="X341" s="182">
        <f>ROUND(T341*成本分摊比例!$H$13/(成本分摊比例!$G$13+成本分摊比例!$H$13+成本分摊比例!$I$13),2)</f>
        <v>42053.42</v>
      </c>
      <c r="Y341" s="182">
        <f>T341-W341-X341</f>
        <v>12025.02</v>
      </c>
      <c r="Z341" s="183" t="s">
        <v>2406</v>
      </c>
      <c r="AA341" s="157"/>
      <c r="AB341" s="184" t="s">
        <v>2319</v>
      </c>
      <c r="AC341" s="132">
        <f t="shared" si="35"/>
        <v>0</v>
      </c>
    </row>
    <row r="342" s="132" customFormat="1" ht="24" customHeight="1" spans="1:29">
      <c r="A342" s="150">
        <v>336</v>
      </c>
      <c r="B342" s="166" t="s">
        <v>3373</v>
      </c>
      <c r="C342" s="166" t="s">
        <v>3379</v>
      </c>
      <c r="D342" s="157" t="s">
        <v>2533</v>
      </c>
      <c r="E342" s="158" t="s">
        <v>2534</v>
      </c>
      <c r="F342" s="189" t="s">
        <v>3380</v>
      </c>
      <c r="G342" s="156"/>
      <c r="H342" s="157" t="str">
        <f>IF(G342="","",VLOOKUP(G342,'附表8-合同明细采集底稿'!B:I,2,0))</f>
        <v/>
      </c>
      <c r="I342" s="165" t="str">
        <f>IF(G342="","",VLOOKUP(G342,'附表8-合同明细采集底稿'!B:I,3,0))</f>
        <v/>
      </c>
      <c r="J342" s="187" t="s">
        <v>3381</v>
      </c>
      <c r="K342" s="157" t="s">
        <v>2335</v>
      </c>
      <c r="L342" s="168" t="s">
        <v>2336</v>
      </c>
      <c r="M342" s="166">
        <v>59382452</v>
      </c>
      <c r="N342" s="167">
        <v>56920</v>
      </c>
      <c r="O342" s="167">
        <v>0</v>
      </c>
      <c r="P342" s="167">
        <v>56920</v>
      </c>
      <c r="Q342" s="167">
        <v>-56920</v>
      </c>
      <c r="R342" s="167">
        <f t="shared" si="29"/>
        <v>0</v>
      </c>
      <c r="S342" s="178">
        <v>1</v>
      </c>
      <c r="T342" s="167">
        <f t="shared" si="34"/>
        <v>0</v>
      </c>
      <c r="U342" s="157" t="s">
        <v>2641</v>
      </c>
      <c r="V342" s="179" t="s">
        <v>375</v>
      </c>
      <c r="W342" s="180">
        <f>IF('附表1-面积统计表'!$D$29=0,"",IF(AND(V342="共同成本费用",Z342="总建筑面积法"),ROUND(T342/'附表1-面积统计表'!$D$29*'附表1-面积统计表'!$D$5,2),IF(AND(V342="共同成本费用",Z342="可售建筑面积法"),ROUND(T342/'附表1-面积统计表'!$F$29*'附表1-面积统计表'!$F$5,2),"请手工填写")))</f>
        <v>0</v>
      </c>
      <c r="X342" s="180">
        <f>IF(SUM('附表1-面积统计表'!$D$6)=0,"",SUM(T342)-SUM(W342)-SUM(Y342))</f>
        <v>0</v>
      </c>
      <c r="Y342" s="180">
        <f>IF(SUM('附表1-面积统计表'!$D$6)=0,SUM(T342)-SUM(W342),IF('附表1-面积统计表'!$D$29=0,"",IF(AND(V342="共同成本费用",Z342="总建筑面积法"),ROUND(T342/'附表1-面积统计表'!$D$29*'附表1-面积统计表'!$D$7,2),IF(AND(V342="共同成本费用",Z342="可售建筑面积法"),ROUND(T342/'附表1-面积统计表'!$F$29*'附表1-面积统计表'!$F$7,2),"请手工填写"))))</f>
        <v>0</v>
      </c>
      <c r="Z342" s="183" t="s">
        <v>351</v>
      </c>
      <c r="AA342" s="157"/>
      <c r="AB342" s="184" t="s">
        <v>2319</v>
      </c>
      <c r="AC342" s="132">
        <f t="shared" si="35"/>
        <v>0</v>
      </c>
    </row>
    <row r="343" s="132" customFormat="1" ht="24" customHeight="1" spans="1:29">
      <c r="A343" s="150">
        <v>337</v>
      </c>
      <c r="B343" s="166" t="s">
        <v>3373</v>
      </c>
      <c r="C343" s="166" t="s">
        <v>3382</v>
      </c>
      <c r="D343" s="157" t="s">
        <v>2346</v>
      </c>
      <c r="E343" s="158" t="s">
        <v>2453</v>
      </c>
      <c r="F343" s="189" t="s">
        <v>3383</v>
      </c>
      <c r="G343" s="156" t="s">
        <v>3246</v>
      </c>
      <c r="H343" s="157" t="str">
        <f>IF(G343="","",VLOOKUP(G343,'附表8-合同明细采集底稿'!B:I,2,0))</f>
        <v>沁春锦苑一期二批次景观绿化（25-30#）+提升附属合同</v>
      </c>
      <c r="I343" s="165" t="str">
        <f>IF(G343="","",VLOOKUP(G343,'附表8-合同明细采集底稿'!B:I,3,0))</f>
        <v>其他合同</v>
      </c>
      <c r="J343" s="169" t="s">
        <v>2498</v>
      </c>
      <c r="K343" s="157" t="s">
        <v>2355</v>
      </c>
      <c r="L343" s="191">
        <v>6500193130</v>
      </c>
      <c r="M343" s="155" t="s">
        <v>3384</v>
      </c>
      <c r="N343" s="167">
        <v>917431.2</v>
      </c>
      <c r="O343" s="167">
        <v>1000000</v>
      </c>
      <c r="P343" s="167">
        <v>917431.2</v>
      </c>
      <c r="Q343" s="167"/>
      <c r="R343" s="167">
        <f t="shared" si="29"/>
        <v>917431.2</v>
      </c>
      <c r="S343" s="178">
        <f>IFERROR(VLOOKUP(G343,'附表8-合同明细采集底稿'!B:N,12,0),100%)</f>
        <v>1</v>
      </c>
      <c r="T343" s="167">
        <f t="shared" si="34"/>
        <v>917431.2</v>
      </c>
      <c r="U343" s="157" t="s">
        <v>2344</v>
      </c>
      <c r="V343" s="179" t="s">
        <v>375</v>
      </c>
      <c r="W343" s="180">
        <f>IF('附表1-面积统计表'!$D$29=0,"",IF(AND(V343="共同成本费用",Z343="总建筑面积法"),ROUND(T343/'附表1-面积统计表'!$D$29*'附表1-面积统计表'!$D$5,2),IF(AND(V343="共同成本费用",Z343="可售建筑面积法"),ROUND(T343/'附表1-面积统计表'!$F$29*'附表1-面积统计表'!$F$5,2),"请手工填写")))</f>
        <v>444461.54</v>
      </c>
      <c r="X343" s="180">
        <f>IF(SUM('附表1-面积统计表'!$D$6)=0,"",SUM(T343)-SUM(W343)-SUM(Y343))</f>
        <v>294067.99</v>
      </c>
      <c r="Y343" s="180">
        <f>IF(SUM('附表1-面积统计表'!$D$6)=0,SUM(T343)-SUM(W343),IF('附表1-面积统计表'!$D$29=0,"",IF(AND(V343="共同成本费用",Z343="总建筑面积法"),ROUND(T343/'附表1-面积统计表'!$D$29*'附表1-面积统计表'!$D$7,2),IF(AND(V343="共同成本费用",Z343="可售建筑面积法"),ROUND(T343/'附表1-面积统计表'!$F$29*'附表1-面积统计表'!$F$7,2),"请手工填写"))))</f>
        <v>178901.67</v>
      </c>
      <c r="Z343" s="183" t="s">
        <v>351</v>
      </c>
      <c r="AA343" s="157"/>
      <c r="AB343" s="184" t="s">
        <v>2319</v>
      </c>
      <c r="AC343" s="132">
        <f t="shared" si="35"/>
        <v>0</v>
      </c>
    </row>
    <row r="344" s="132" customFormat="1" ht="24" customHeight="1" spans="1:29">
      <c r="A344" s="150">
        <v>338</v>
      </c>
      <c r="B344" s="166" t="s">
        <v>3373</v>
      </c>
      <c r="C344" s="166" t="s">
        <v>3385</v>
      </c>
      <c r="D344" s="157" t="s">
        <v>2533</v>
      </c>
      <c r="E344" s="158" t="s">
        <v>2690</v>
      </c>
      <c r="F344" s="189" t="s">
        <v>3386</v>
      </c>
      <c r="G344" s="156" t="s">
        <v>3009</v>
      </c>
      <c r="H344" s="157" t="str">
        <f>IF(G344="","",VLOOKUP(G344,'附表8-合同明细采集底稿'!B:I,2,0))</f>
        <v>25#-30#电梯销售安装合同</v>
      </c>
      <c r="I344" s="165" t="str">
        <f>IF(G344="","",VLOOKUP(G344,'附表8-合同明细采集底稿'!B:I,3,0))</f>
        <v>买卖合同</v>
      </c>
      <c r="J344" s="187" t="s">
        <v>2999</v>
      </c>
      <c r="K344" s="157" t="s">
        <v>2355</v>
      </c>
      <c r="L344" s="166">
        <v>6500193130</v>
      </c>
      <c r="M344" s="555" t="s">
        <v>3387</v>
      </c>
      <c r="N344" s="167">
        <v>495145.63</v>
      </c>
      <c r="O344" s="167">
        <v>510000</v>
      </c>
      <c r="P344" s="167">
        <v>495145.63</v>
      </c>
      <c r="Q344" s="167"/>
      <c r="R344" s="167">
        <f t="shared" si="29"/>
        <v>495145.63</v>
      </c>
      <c r="S344" s="178">
        <f>IFERROR(VLOOKUP(G344,'附表8-合同明细采集底稿'!B:N,12,0),100%)</f>
        <v>1</v>
      </c>
      <c r="T344" s="167">
        <f t="shared" si="34"/>
        <v>495145.63</v>
      </c>
      <c r="U344" s="157" t="s">
        <v>2416</v>
      </c>
      <c r="V344" s="179" t="s">
        <v>374</v>
      </c>
      <c r="W344" s="182">
        <f>ROUND(T344*成本分摊比例!$G$13/(成本分摊比例!$G$13+成本分摊比例!$H$13+成本分摊比例!$I$13),2)</f>
        <v>267528.06</v>
      </c>
      <c r="X344" s="182">
        <f>ROUND(T344*成本分摊比例!$H$13/(成本分摊比例!$G$13+成本分摊比例!$H$13+成本分摊比例!$I$13),2)</f>
        <v>177003.94</v>
      </c>
      <c r="Y344" s="182">
        <f>T344-W344-X344</f>
        <v>50613.63</v>
      </c>
      <c r="Z344" s="183" t="s">
        <v>2406</v>
      </c>
      <c r="AA344" s="157"/>
      <c r="AB344" s="184" t="s">
        <v>2319</v>
      </c>
      <c r="AC344" s="132">
        <f t="shared" si="35"/>
        <v>0</v>
      </c>
    </row>
    <row r="345" s="132" customFormat="1" ht="24" customHeight="1" spans="1:29">
      <c r="A345" s="150">
        <v>339</v>
      </c>
      <c r="B345" s="166" t="s">
        <v>3373</v>
      </c>
      <c r="C345" s="166" t="s">
        <v>3388</v>
      </c>
      <c r="D345" s="157" t="s">
        <v>2470</v>
      </c>
      <c r="E345" s="158" t="s">
        <v>2471</v>
      </c>
      <c r="F345" s="189" t="s">
        <v>3389</v>
      </c>
      <c r="G345" s="156" t="s">
        <v>2548</v>
      </c>
      <c r="H345" s="157" t="str">
        <f>IF(G345="","",VLOOKUP(G345,'附表8-合同明细采集底稿'!B:I,2,0))</f>
        <v>建设工程监理合同</v>
      </c>
      <c r="I345" s="165" t="str">
        <f>IF(G345="","",VLOOKUP(G345,'附表8-合同明细采集底稿'!B:I,3,0))</f>
        <v>技术合同</v>
      </c>
      <c r="J345" s="154" t="s">
        <v>3005</v>
      </c>
      <c r="K345" s="157" t="s">
        <v>2355</v>
      </c>
      <c r="L345" s="166">
        <v>6500193160</v>
      </c>
      <c r="M345" s="555" t="s">
        <v>3390</v>
      </c>
      <c r="N345" s="167">
        <v>81491.09</v>
      </c>
      <c r="O345" s="167">
        <v>82306</v>
      </c>
      <c r="P345" s="167">
        <v>81491.09</v>
      </c>
      <c r="Q345" s="167"/>
      <c r="R345" s="167">
        <f t="shared" si="29"/>
        <v>81491.09</v>
      </c>
      <c r="S345" s="178">
        <f>IFERROR(VLOOKUP(G345,'附表8-合同明细采集底稿'!B:N,12,0),100%)</f>
        <v>1</v>
      </c>
      <c r="T345" s="167">
        <f t="shared" si="34"/>
        <v>81491.09</v>
      </c>
      <c r="U345" s="157" t="s">
        <v>2344</v>
      </c>
      <c r="V345" s="179" t="s">
        <v>375</v>
      </c>
      <c r="W345" s="180">
        <f>IF('附表1-面积统计表'!$D$29=0,"",IF(AND(V345="共同成本费用",Z345="总建筑面积法"),ROUND(T345/'附表1-面积统计表'!$D$29*'附表1-面积统计表'!$D$5,2),IF(AND(V345="共同成本费用",Z345="可售建筑面积法"),ROUND(T345/'附表1-面积统计表'!$F$29*'附表1-面积统计表'!$F$5,2),"请手工填写")))</f>
        <v>39479.42</v>
      </c>
      <c r="X345" s="180">
        <f>IF(SUM('附表1-面积统计表'!$D$6)=0,"",SUM(T345)-SUM(W345)-SUM(Y345))</f>
        <v>26120.68</v>
      </c>
      <c r="Y345" s="180">
        <f>IF(SUM('附表1-面积统计表'!$D$6)=0,SUM(T345)-SUM(W345),IF('附表1-面积统计表'!$D$29=0,"",IF(AND(V345="共同成本费用",Z345="总建筑面积法"),ROUND(T345/'附表1-面积统计表'!$D$29*'附表1-面积统计表'!$D$7,2),IF(AND(V345="共同成本费用",Z345="可售建筑面积法"),ROUND(T345/'附表1-面积统计表'!$F$29*'附表1-面积统计表'!$F$7,2),"请手工填写"))))</f>
        <v>15890.99</v>
      </c>
      <c r="Z345" s="183" t="s">
        <v>351</v>
      </c>
      <c r="AA345" s="157"/>
      <c r="AB345" s="184" t="s">
        <v>2319</v>
      </c>
      <c r="AC345" s="132">
        <f t="shared" si="35"/>
        <v>0</v>
      </c>
    </row>
    <row r="346" s="132" customFormat="1" ht="24" customHeight="1" spans="1:29">
      <c r="A346" s="150">
        <v>340</v>
      </c>
      <c r="B346" s="166" t="s">
        <v>3373</v>
      </c>
      <c r="C346" s="166" t="s">
        <v>3391</v>
      </c>
      <c r="D346" s="157" t="s">
        <v>2346</v>
      </c>
      <c r="E346" s="158" t="s">
        <v>2453</v>
      </c>
      <c r="F346" s="189" t="s">
        <v>3392</v>
      </c>
      <c r="G346" s="165" t="s">
        <v>3393</v>
      </c>
      <c r="H346" s="157" t="str">
        <f>IF(G346="","",VLOOKUP(G346,'附表8-合同明细采集底稿'!B:I,2,0))</f>
        <v>水土保持方案编制合同</v>
      </c>
      <c r="I346" s="165" t="str">
        <f>IF(G346="","",VLOOKUP(G346,'附表8-合同明细采集底稿'!B:I,3,0))</f>
        <v>技术合同</v>
      </c>
      <c r="J346" s="169" t="s">
        <v>3394</v>
      </c>
      <c r="K346" s="157" t="s">
        <v>2355</v>
      </c>
      <c r="L346" s="166">
        <v>6500193130</v>
      </c>
      <c r="M346" s="555" t="s">
        <v>3395</v>
      </c>
      <c r="N346" s="167">
        <v>42079.21</v>
      </c>
      <c r="O346" s="167">
        <v>42500</v>
      </c>
      <c r="P346" s="167">
        <v>42079.21</v>
      </c>
      <c r="Q346" s="167"/>
      <c r="R346" s="167">
        <f t="shared" ref="R346:R409" si="37">P346+Q346</f>
        <v>42079.21</v>
      </c>
      <c r="S346" s="178">
        <f>IFERROR(VLOOKUP(G346,'附表8-合同明细采集底稿'!B:N,12,0),100%)</f>
        <v>0.338555832480367</v>
      </c>
      <c r="T346" s="167">
        <f t="shared" si="34"/>
        <v>14246.16</v>
      </c>
      <c r="U346" s="157" t="s">
        <v>2318</v>
      </c>
      <c r="V346" s="179" t="s">
        <v>375</v>
      </c>
      <c r="W346" s="180">
        <f>IF('附表1-面积统计表'!$D$29=0,"",IF(AND(V346="共同成本费用",Z346="总建筑面积法"),ROUND(T346/'附表1-面积统计表'!$D$29*'附表1-面积统计表'!$D$5,2),IF(AND(V346="共同成本费用",Z346="可售建筑面积法"),ROUND(T346/'附表1-面积统计表'!$F$29*'附表1-面积统计表'!$F$5,2),"请手工填写")))</f>
        <v>6901.74</v>
      </c>
      <c r="X346" s="180">
        <f>IF(SUM('附表1-面积统计表'!$D$6)=0,"",SUM(T346)-SUM(W346)-SUM(Y346))</f>
        <v>4566.38</v>
      </c>
      <c r="Y346" s="180">
        <f>IF(SUM('附表1-面积统计表'!$D$6)=0,SUM(T346)-SUM(W346),IF('附表1-面积统计表'!$D$29=0,"",IF(AND(V346="共同成本费用",Z346="总建筑面积法"),ROUND(T346/'附表1-面积统计表'!$D$29*'附表1-面积统计表'!$D$7,2),IF(AND(V346="共同成本费用",Z346="可售建筑面积法"),ROUND(T346/'附表1-面积统计表'!$F$29*'附表1-面积统计表'!$F$7,2),"请手工填写"))))</f>
        <v>2778.04</v>
      </c>
      <c r="Z346" s="183" t="s">
        <v>351</v>
      </c>
      <c r="AA346" s="157"/>
      <c r="AB346" s="184" t="s">
        <v>2319</v>
      </c>
      <c r="AC346" s="132">
        <f t="shared" si="35"/>
        <v>0</v>
      </c>
    </row>
    <row r="347" s="132" customFormat="1" ht="24" customHeight="1" spans="1:29">
      <c r="A347" s="150">
        <v>341</v>
      </c>
      <c r="B347" s="166" t="s">
        <v>3373</v>
      </c>
      <c r="C347" s="166" t="s">
        <v>3396</v>
      </c>
      <c r="D347" s="157" t="s">
        <v>2470</v>
      </c>
      <c r="E347" s="158" t="s">
        <v>3314</v>
      </c>
      <c r="F347" s="189" t="s">
        <v>3397</v>
      </c>
      <c r="G347" s="156"/>
      <c r="H347" s="157"/>
      <c r="I347" s="165"/>
      <c r="J347" s="187"/>
      <c r="K347" s="157" t="s">
        <v>2317</v>
      </c>
      <c r="L347" s="166"/>
      <c r="M347" s="166"/>
      <c r="N347" s="167">
        <v>875714.67</v>
      </c>
      <c r="O347" s="167">
        <v>875714.67</v>
      </c>
      <c r="P347" s="167">
        <v>875714.67</v>
      </c>
      <c r="Q347" s="167"/>
      <c r="R347" s="167">
        <f t="shared" si="37"/>
        <v>875714.67</v>
      </c>
      <c r="S347" s="202">
        <v>0.338555832480367</v>
      </c>
      <c r="T347" s="167">
        <f t="shared" si="34"/>
        <v>296478.31</v>
      </c>
      <c r="U347" s="157" t="s">
        <v>2344</v>
      </c>
      <c r="V347" s="179" t="s">
        <v>375</v>
      </c>
      <c r="W347" s="180">
        <f>IF('附表1-面积统计表'!$D$29=0,"",IF(AND(V347="共同成本费用",Z347="总建筑面积法"),ROUND(T347/'附表1-面积统计表'!$D$29*'附表1-面积统计表'!$D$5,2),IF(AND(V347="共同成本费用",Z347="可售建筑面积法"),ROUND(T347/'附表1-面积统计表'!$F$29*'附表1-面积统计表'!$F$5,2),"请手工填写")))</f>
        <v>143632.79</v>
      </c>
      <c r="X347" s="180">
        <f>IF(SUM('附表1-面积统计表'!$D$6)=0,"",SUM(T347)-SUM(W347)-SUM(Y347))</f>
        <v>95031.41</v>
      </c>
      <c r="Y347" s="180">
        <f>IF(SUM('附表1-面积统计表'!$D$6)=0,SUM(T347)-SUM(W347),IF('附表1-面积统计表'!$D$29=0,"",IF(AND(V347="共同成本费用",Z347="总建筑面积法"),ROUND(T347/'附表1-面积统计表'!$D$29*'附表1-面积统计表'!$D$7,2),IF(AND(V347="共同成本费用",Z347="可售建筑面积法"),ROUND(T347/'附表1-面积统计表'!$F$29*'附表1-面积统计表'!$F$7,2),"请手工填写"))))</f>
        <v>57814.11</v>
      </c>
      <c r="Z347" s="183" t="s">
        <v>351</v>
      </c>
      <c r="AA347" s="157"/>
      <c r="AB347" s="184" t="s">
        <v>2319</v>
      </c>
      <c r="AC347" s="132">
        <f t="shared" si="35"/>
        <v>0</v>
      </c>
    </row>
    <row r="348" s="132" customFormat="1" ht="24" customHeight="1" spans="1:29">
      <c r="A348" s="150">
        <v>342</v>
      </c>
      <c r="B348" s="166" t="s">
        <v>3373</v>
      </c>
      <c r="C348" s="166" t="s">
        <v>3396</v>
      </c>
      <c r="D348" s="157" t="s">
        <v>2470</v>
      </c>
      <c r="E348" s="158" t="s">
        <v>3314</v>
      </c>
      <c r="F348" s="189" t="s">
        <v>3397</v>
      </c>
      <c r="G348" s="156"/>
      <c r="H348" s="157"/>
      <c r="I348" s="165"/>
      <c r="J348" s="187"/>
      <c r="K348" s="157" t="s">
        <v>2317</v>
      </c>
      <c r="L348" s="166"/>
      <c r="M348" s="166"/>
      <c r="N348" s="167">
        <v>22166.5</v>
      </c>
      <c r="O348" s="167">
        <v>22166.5</v>
      </c>
      <c r="P348" s="167">
        <v>22166.5</v>
      </c>
      <c r="Q348" s="167"/>
      <c r="R348" s="167">
        <f t="shared" si="37"/>
        <v>22166.5</v>
      </c>
      <c r="S348" s="202">
        <v>0.338555832480367</v>
      </c>
      <c r="T348" s="167">
        <f t="shared" si="34"/>
        <v>7504.6</v>
      </c>
      <c r="U348" s="157" t="s">
        <v>2344</v>
      </c>
      <c r="V348" s="179" t="s">
        <v>375</v>
      </c>
      <c r="W348" s="180">
        <f>IF('附表1-面积统计表'!$D$29=0,"",IF(AND(V348="共同成本费用",Z348="总建筑面积法"),ROUND(T348/'附表1-面积统计表'!$D$29*'附表1-面积统计表'!$D$5,2),IF(AND(V348="共同成本费用",Z348="可售建筑面积法"),ROUND(T348/'附表1-面积统计表'!$F$29*'附表1-面积统计表'!$F$5,2),"请手工填写")))</f>
        <v>3635.7</v>
      </c>
      <c r="X348" s="180">
        <f>IF(SUM('附表1-面积统计表'!$D$6)=0,"",SUM(T348)-SUM(W348)-SUM(Y348))</f>
        <v>2405.48</v>
      </c>
      <c r="Y348" s="180">
        <f>IF(SUM('附表1-面积统计表'!$D$6)=0,SUM(T348)-SUM(W348),IF('附表1-面积统计表'!$D$29=0,"",IF(AND(V348="共同成本费用",Z348="总建筑面积法"),ROUND(T348/'附表1-面积统计表'!$D$29*'附表1-面积统计表'!$D$7,2),IF(AND(V348="共同成本费用",Z348="可售建筑面积法"),ROUND(T348/'附表1-面积统计表'!$F$29*'附表1-面积统计表'!$F$7,2),"请手工填写"))))</f>
        <v>1463.42</v>
      </c>
      <c r="Z348" s="183" t="s">
        <v>351</v>
      </c>
      <c r="AA348" s="157"/>
      <c r="AB348" s="184" t="s">
        <v>2319</v>
      </c>
      <c r="AC348" s="132">
        <f t="shared" si="35"/>
        <v>0</v>
      </c>
    </row>
    <row r="349" s="132" customFormat="1" ht="24" customHeight="1" spans="1:29">
      <c r="A349" s="150">
        <v>343</v>
      </c>
      <c r="B349" s="166" t="s">
        <v>3398</v>
      </c>
      <c r="C349" s="166" t="s">
        <v>3399</v>
      </c>
      <c r="D349" s="157" t="s">
        <v>2533</v>
      </c>
      <c r="E349" s="158" t="s">
        <v>2534</v>
      </c>
      <c r="F349" s="189" t="s">
        <v>3400</v>
      </c>
      <c r="G349" s="156"/>
      <c r="H349" s="157" t="str">
        <f>IF(G349="","",VLOOKUP(G349,'附表8-合同明细采集底稿'!B:I,2,0))</f>
        <v/>
      </c>
      <c r="I349" s="165" t="str">
        <f>IF(G349="","",VLOOKUP(G349,'附表8-合同明细采集底稿'!B:I,3,0))</f>
        <v/>
      </c>
      <c r="J349" s="187" t="s">
        <v>3401</v>
      </c>
      <c r="K349" s="157" t="s">
        <v>2335</v>
      </c>
      <c r="L349" s="168" t="s">
        <v>2336</v>
      </c>
      <c r="M349" s="166">
        <v>39808666</v>
      </c>
      <c r="N349" s="167">
        <v>5500</v>
      </c>
      <c r="O349" s="167">
        <v>5500</v>
      </c>
      <c r="P349" s="167">
        <v>5500</v>
      </c>
      <c r="Q349" s="167">
        <v>-5500</v>
      </c>
      <c r="R349" s="167">
        <f t="shared" si="37"/>
        <v>0</v>
      </c>
      <c r="S349" s="178">
        <v>1</v>
      </c>
      <c r="T349" s="167">
        <f t="shared" si="34"/>
        <v>0</v>
      </c>
      <c r="U349" s="157" t="s">
        <v>2416</v>
      </c>
      <c r="V349" s="179" t="s">
        <v>374</v>
      </c>
      <c r="W349" s="182">
        <f>ROUND(T349*成本分摊比例!$G$13/(成本分摊比例!$G$13+成本分摊比例!$H$13+成本分摊比例!$I$13),2)</f>
        <v>0</v>
      </c>
      <c r="X349" s="182">
        <f>ROUND(T349*成本分摊比例!$H$13/(成本分摊比例!$G$13+成本分摊比例!$H$13+成本分摊比例!$I$13),2)</f>
        <v>0</v>
      </c>
      <c r="Y349" s="182">
        <f t="shared" ref="Y349:Y352" si="38">T349-W349-X349</f>
        <v>0</v>
      </c>
      <c r="Z349" s="183" t="s">
        <v>2406</v>
      </c>
      <c r="AA349" s="157"/>
      <c r="AB349" s="184" t="s">
        <v>2319</v>
      </c>
      <c r="AC349" s="132">
        <f t="shared" si="35"/>
        <v>0</v>
      </c>
    </row>
    <row r="350" s="132" customFormat="1" ht="24" customHeight="1" spans="1:29">
      <c r="A350" s="150">
        <v>344</v>
      </c>
      <c r="B350" s="166" t="s">
        <v>3398</v>
      </c>
      <c r="C350" s="166" t="s">
        <v>3402</v>
      </c>
      <c r="D350" s="157" t="s">
        <v>2533</v>
      </c>
      <c r="E350" s="158" t="s">
        <v>2564</v>
      </c>
      <c r="F350" s="189" t="s">
        <v>3403</v>
      </c>
      <c r="G350" s="156" t="s">
        <v>2900</v>
      </c>
      <c r="H350" s="157" t="str">
        <f>IF(G350="","",VLOOKUP(G350,'附表8-合同明细采集底稿'!B:I,2,0))</f>
        <v>沁春锦苑25、26、28#施工协议</v>
      </c>
      <c r="I350" s="165" t="str">
        <f>IF(G350="","",VLOOKUP(G350,'附表8-合同明细采集底稿'!B:I,3,0))</f>
        <v>建设工程合同</v>
      </c>
      <c r="J350" s="187" t="s">
        <v>144</v>
      </c>
      <c r="K350" s="157" t="s">
        <v>2355</v>
      </c>
      <c r="L350" s="166">
        <v>6500193130</v>
      </c>
      <c r="M350" s="555" t="s">
        <v>3404</v>
      </c>
      <c r="N350" s="167">
        <v>676198.9</v>
      </c>
      <c r="O350" s="167">
        <v>737056.8</v>
      </c>
      <c r="P350" s="167">
        <v>676198.9</v>
      </c>
      <c r="Q350" s="167"/>
      <c r="R350" s="167">
        <f t="shared" si="37"/>
        <v>676198.9</v>
      </c>
      <c r="S350" s="178">
        <f>IFERROR(VLOOKUP(G350,'附表8-合同明细采集底稿'!B:N,12,0),100%)</f>
        <v>1</v>
      </c>
      <c r="T350" s="167">
        <f t="shared" si="34"/>
        <v>676198.9</v>
      </c>
      <c r="U350" s="157" t="s">
        <v>2416</v>
      </c>
      <c r="V350" s="179" t="s">
        <v>374</v>
      </c>
      <c r="W350" s="182">
        <f>ROUND(T350*成本分摊比例!$G$13/(成本分摊比例!$G$13+成本分摊比例!$H$13+成本分摊比例!$I$13),2)</f>
        <v>365351.47</v>
      </c>
      <c r="X350" s="182">
        <f>ROUND(T350*成本分摊比例!$H$13/(成本分摊比例!$G$13+成本分摊比例!$H$13+成本分摊比例!$I$13),2)</f>
        <v>241726.59</v>
      </c>
      <c r="Y350" s="182">
        <f t="shared" si="38"/>
        <v>69120.8400000001</v>
      </c>
      <c r="Z350" s="183" t="s">
        <v>2406</v>
      </c>
      <c r="AA350" s="157"/>
      <c r="AB350" s="184" t="s">
        <v>2319</v>
      </c>
      <c r="AC350" s="132">
        <f t="shared" si="35"/>
        <v>0</v>
      </c>
    </row>
    <row r="351" s="132" customFormat="1" ht="24" customHeight="1" spans="1:29">
      <c r="A351" s="150">
        <v>345</v>
      </c>
      <c r="B351" s="166" t="s">
        <v>3405</v>
      </c>
      <c r="C351" s="166" t="s">
        <v>3117</v>
      </c>
      <c r="D351" s="157" t="s">
        <v>2346</v>
      </c>
      <c r="E351" s="158" t="s">
        <v>2453</v>
      </c>
      <c r="F351" s="189" t="s">
        <v>3406</v>
      </c>
      <c r="G351" s="156"/>
      <c r="H351" s="157" t="str">
        <f>IF(G351="","",VLOOKUP(G351,'附表8-合同明细采集底稿'!B:I,2,0))</f>
        <v/>
      </c>
      <c r="I351" s="165" t="str">
        <f>IF(G351="","",VLOOKUP(G351,'附表8-合同明细采集底稿'!B:I,3,0))</f>
        <v/>
      </c>
      <c r="J351" s="169" t="s">
        <v>3321</v>
      </c>
      <c r="K351" s="157" t="s">
        <v>2335</v>
      </c>
      <c r="L351" s="168" t="s">
        <v>2336</v>
      </c>
      <c r="M351" s="166">
        <v>62410897</v>
      </c>
      <c r="N351" s="167">
        <v>17000</v>
      </c>
      <c r="O351" s="167">
        <v>17000</v>
      </c>
      <c r="P351" s="167">
        <v>17000</v>
      </c>
      <c r="Q351" s="167"/>
      <c r="R351" s="167">
        <f t="shared" si="37"/>
        <v>17000</v>
      </c>
      <c r="S351" s="178">
        <v>0.338555832480367</v>
      </c>
      <c r="T351" s="167">
        <f t="shared" si="34"/>
        <v>5755.45</v>
      </c>
      <c r="U351" s="157" t="s">
        <v>2318</v>
      </c>
      <c r="V351" s="179" t="s">
        <v>375</v>
      </c>
      <c r="W351" s="180">
        <f>IF('附表1-面积统计表'!$D$29=0,"",IF(AND(V351="共同成本费用",Z351="总建筑面积法"),ROUND(T351/'附表1-面积统计表'!$D$29*'附表1-面积统计表'!$D$5,2),IF(AND(V351="共同成本费用",Z351="可售建筑面积法"),ROUND(T351/'附表1-面积统计表'!$F$29*'附表1-面积统计表'!$F$5,2),"请手工填写")))</f>
        <v>2788.3</v>
      </c>
      <c r="X351" s="180">
        <f>IF(SUM('附表1-面积统计表'!$D$6)=0,"",SUM(T351)-SUM(W351)-SUM(Y351))</f>
        <v>1844.82</v>
      </c>
      <c r="Y351" s="180">
        <f>IF(SUM('附表1-面积统计表'!$D$6)=0,SUM(T351)-SUM(W351),IF('附表1-面积统计表'!$D$29=0,"",IF(AND(V351="共同成本费用",Z351="总建筑面积法"),ROUND(T351/'附表1-面积统计表'!$D$29*'附表1-面积统计表'!$D$7,2),IF(AND(V351="共同成本费用",Z351="可售建筑面积法"),ROUND(T351/'附表1-面积统计表'!$F$29*'附表1-面积统计表'!$F$7,2),"请手工填写"))))</f>
        <v>1122.33</v>
      </c>
      <c r="Z351" s="183" t="s">
        <v>351</v>
      </c>
      <c r="AA351" s="157"/>
      <c r="AB351" s="184" t="s">
        <v>2319</v>
      </c>
      <c r="AC351" s="132">
        <f t="shared" si="35"/>
        <v>0</v>
      </c>
    </row>
    <row r="352" s="132" customFormat="1" ht="24" customHeight="1" spans="1:29">
      <c r="A352" s="150">
        <v>346</v>
      </c>
      <c r="B352" s="166" t="s">
        <v>3405</v>
      </c>
      <c r="C352" s="166" t="s">
        <v>3308</v>
      </c>
      <c r="D352" s="157" t="s">
        <v>2533</v>
      </c>
      <c r="E352" s="158" t="s">
        <v>2690</v>
      </c>
      <c r="F352" s="189" t="s">
        <v>3407</v>
      </c>
      <c r="G352" s="156" t="s">
        <v>3408</v>
      </c>
      <c r="H352" s="157" t="str">
        <f>IF(G352="","",VLOOKUP(G352,'附表8-合同明细采集底稿'!B:I,2,0))</f>
        <v>沁春锦苑19#23#楼门斗装修</v>
      </c>
      <c r="I352" s="165" t="str">
        <f>IF(G352="","",VLOOKUP(G352,'附表8-合同明细采集底稿'!B:I,3,0))</f>
        <v>建设工程合同</v>
      </c>
      <c r="J352" s="187" t="s">
        <v>2791</v>
      </c>
      <c r="K352" s="157" t="s">
        <v>2355</v>
      </c>
      <c r="L352" s="166">
        <v>6500193130</v>
      </c>
      <c r="M352" s="155" t="s">
        <v>3409</v>
      </c>
      <c r="N352" s="167">
        <v>198019.8</v>
      </c>
      <c r="O352" s="167">
        <v>200000</v>
      </c>
      <c r="P352" s="167">
        <v>198019.8</v>
      </c>
      <c r="Q352" s="167"/>
      <c r="R352" s="167">
        <f t="shared" si="37"/>
        <v>198019.8</v>
      </c>
      <c r="S352" s="178">
        <f>IFERROR(VLOOKUP(G352,'附表8-合同明细采集底稿'!B:N,12,0),100%)</f>
        <v>1</v>
      </c>
      <c r="T352" s="167">
        <f t="shared" si="34"/>
        <v>198019.8</v>
      </c>
      <c r="U352" s="157" t="s">
        <v>2416</v>
      </c>
      <c r="V352" s="179" t="s">
        <v>374</v>
      </c>
      <c r="W352" s="182">
        <f>ROUND(T352*成本分摊比例!$G$13/(成本分摊比例!$G$13+成本分摊比例!$H$13+成本分摊比例!$I$13),2)</f>
        <v>106990.45</v>
      </c>
      <c r="X352" s="182">
        <f>ROUND(T352*成本分摊比例!$H$13/(成本分摊比例!$G$13+成本分摊比例!$H$13+成本分摊比例!$I$13),2)</f>
        <v>70787.83</v>
      </c>
      <c r="Y352" s="182">
        <f t="shared" si="38"/>
        <v>20241.52</v>
      </c>
      <c r="Z352" s="183" t="s">
        <v>2406</v>
      </c>
      <c r="AA352" s="157"/>
      <c r="AB352" s="184" t="s">
        <v>2319</v>
      </c>
      <c r="AC352" s="132">
        <f t="shared" si="35"/>
        <v>0</v>
      </c>
    </row>
    <row r="353" s="132" customFormat="1" ht="24" customHeight="1" spans="1:29">
      <c r="A353" s="150">
        <v>347</v>
      </c>
      <c r="B353" s="166" t="s">
        <v>3410</v>
      </c>
      <c r="C353" s="166" t="s">
        <v>3411</v>
      </c>
      <c r="D353" s="157" t="s">
        <v>2339</v>
      </c>
      <c r="E353" s="158" t="s">
        <v>2370</v>
      </c>
      <c r="F353" s="189" t="s">
        <v>3412</v>
      </c>
      <c r="G353" s="156" t="s">
        <v>3053</v>
      </c>
      <c r="H353" s="157" t="str">
        <f>IF(G353="","",VLOOKUP(G353,'附表8-合同明细采集底稿'!B:I,2,0))</f>
        <v>19#20#23#24#竣工测量</v>
      </c>
      <c r="I353" s="165" t="str">
        <f>IF(G353="","",VLOOKUP(G353,'附表8-合同明细采集底稿'!B:I,3,0))</f>
        <v>技术合同</v>
      </c>
      <c r="J353" s="187" t="s">
        <v>2830</v>
      </c>
      <c r="K353" s="157" t="s">
        <v>2355</v>
      </c>
      <c r="L353" s="166">
        <v>6500193130</v>
      </c>
      <c r="M353" s="555" t="s">
        <v>3413</v>
      </c>
      <c r="N353" s="167">
        <v>15366.98</v>
      </c>
      <c r="O353" s="167">
        <v>16289</v>
      </c>
      <c r="P353" s="167">
        <v>15366.98</v>
      </c>
      <c r="Q353" s="167"/>
      <c r="R353" s="167">
        <f t="shared" si="37"/>
        <v>15366.98</v>
      </c>
      <c r="S353" s="178">
        <f>IFERROR(VLOOKUP(G353,'附表8-合同明细采集底稿'!B:N,12,0),100%)</f>
        <v>1</v>
      </c>
      <c r="T353" s="167">
        <f t="shared" si="34"/>
        <v>15366.98</v>
      </c>
      <c r="U353" s="157" t="s">
        <v>2344</v>
      </c>
      <c r="V353" s="179" t="s">
        <v>375</v>
      </c>
      <c r="W353" s="180">
        <f>IF('附表1-面积统计表'!$D$29=0,"",IF(AND(V353="共同成本费用",Z353="总建筑面积法"),ROUND(T353/'附表1-面积统计表'!$D$29*'附表1-面积统计表'!$D$5,2),IF(AND(V353="共同成本费用",Z353="可售建筑面积法"),ROUND(T353/'附表1-面积统计表'!$F$29*'附表1-面积统计表'!$F$5,2),"请手工填写")))</f>
        <v>7444.73</v>
      </c>
      <c r="X353" s="180">
        <f>IF(SUM('附表1-面积统计表'!$D$6)=0,"",SUM(T353)-SUM(W353)-SUM(Y353))</f>
        <v>4925.65</v>
      </c>
      <c r="Y353" s="180">
        <f>IF(SUM('附表1-面积统计表'!$D$6)=0,SUM(T353)-SUM(W353),IF('附表1-面积统计表'!$D$29=0,"",IF(AND(V353="共同成本费用",Z353="总建筑面积法"),ROUND(T353/'附表1-面积统计表'!$D$29*'附表1-面积统计表'!$D$7,2),IF(AND(V353="共同成本费用",Z353="可售建筑面积法"),ROUND(T353/'附表1-面积统计表'!$F$29*'附表1-面积统计表'!$F$7,2),"请手工填写"))))</f>
        <v>2996.6</v>
      </c>
      <c r="Z353" s="183" t="s">
        <v>351</v>
      </c>
      <c r="AA353" s="157"/>
      <c r="AB353" s="184" t="s">
        <v>2319</v>
      </c>
      <c r="AC353" s="132">
        <f t="shared" si="35"/>
        <v>0</v>
      </c>
    </row>
    <row r="354" s="132" customFormat="1" ht="24" customHeight="1" spans="1:29">
      <c r="A354" s="150">
        <v>348</v>
      </c>
      <c r="B354" s="166" t="s">
        <v>3414</v>
      </c>
      <c r="C354" s="166" t="s">
        <v>2929</v>
      </c>
      <c r="D354" s="157" t="s">
        <v>2533</v>
      </c>
      <c r="E354" s="158" t="s">
        <v>2690</v>
      </c>
      <c r="F354" s="189" t="s">
        <v>3415</v>
      </c>
      <c r="G354" s="156" t="s">
        <v>3363</v>
      </c>
      <c r="H354" s="157" t="str">
        <f>IF(G354="","",VLOOKUP(G354,'附表8-合同明细采集底稿'!B:I,2,0))</f>
        <v>沁春锦苑19#20#23#24#楼吊顶隔墙装修合同</v>
      </c>
      <c r="I354" s="165" t="str">
        <f>IF(G354="","",VLOOKUP(G354,'附表8-合同明细采集底稿'!B:I,3,0))</f>
        <v>建设工程合同</v>
      </c>
      <c r="J354" s="187" t="s">
        <v>3231</v>
      </c>
      <c r="K354" s="157" t="s">
        <v>2355</v>
      </c>
      <c r="L354" s="191">
        <v>6500193130</v>
      </c>
      <c r="M354" s="155" t="s">
        <v>3416</v>
      </c>
      <c r="N354" s="167">
        <v>917431.2</v>
      </c>
      <c r="O354" s="167">
        <v>1000000</v>
      </c>
      <c r="P354" s="167">
        <v>917431.2</v>
      </c>
      <c r="Q354" s="167"/>
      <c r="R354" s="167">
        <f t="shared" si="37"/>
        <v>917431.2</v>
      </c>
      <c r="S354" s="178">
        <f>IFERROR(VLOOKUP(G354,'附表8-合同明细采集底稿'!B:N,12,0),100%)</f>
        <v>1</v>
      </c>
      <c r="T354" s="167">
        <f t="shared" si="34"/>
        <v>917431.2</v>
      </c>
      <c r="U354" s="157" t="s">
        <v>2416</v>
      </c>
      <c r="V354" s="179" t="s">
        <v>374</v>
      </c>
      <c r="W354" s="182">
        <f>ROUND(T354*成本分摊比例!$G$13/(成本分摊比例!$G$13+成本分摊比例!$H$13+成本分摊比例!$I$13),2)</f>
        <v>495689.71</v>
      </c>
      <c r="X354" s="182">
        <f>ROUND(T354*成本分摊比例!$H$13/(成本分摊比例!$G$13+成本分摊比例!$H$13+成本分摊比例!$I$13),2)</f>
        <v>327961.96</v>
      </c>
      <c r="Y354" s="182">
        <f t="shared" ref="Y354:Y359" si="39">T354-W354-X354</f>
        <v>93779.5299999999</v>
      </c>
      <c r="Z354" s="183" t="s">
        <v>2406</v>
      </c>
      <c r="AA354" s="157"/>
      <c r="AB354" s="184" t="s">
        <v>2319</v>
      </c>
      <c r="AC354" s="132">
        <f t="shared" si="35"/>
        <v>0</v>
      </c>
    </row>
    <row r="355" s="132" customFormat="1" ht="24" customHeight="1" spans="1:29">
      <c r="A355" s="150">
        <v>349</v>
      </c>
      <c r="B355" s="166" t="s">
        <v>3414</v>
      </c>
      <c r="C355" s="166" t="s">
        <v>3417</v>
      </c>
      <c r="D355" s="157" t="s">
        <v>2533</v>
      </c>
      <c r="E355" s="158" t="s">
        <v>2690</v>
      </c>
      <c r="F355" s="189" t="s">
        <v>3418</v>
      </c>
      <c r="G355" s="156" t="s">
        <v>3419</v>
      </c>
      <c r="H355" s="157" t="str">
        <f>IF(G355="","",VLOOKUP(G355,'附表8-合同明细采集底稿'!B:I,2,0))</f>
        <v>沁春锦苑19#楼隔墙装修合同</v>
      </c>
      <c r="I355" s="165" t="str">
        <f>IF(G355="","",VLOOKUP(G355,'附表8-合同明细采集底稿'!B:I,3,0))</f>
        <v>建设工程合同</v>
      </c>
      <c r="J355" s="154" t="s">
        <v>3420</v>
      </c>
      <c r="K355" s="157" t="s">
        <v>2355</v>
      </c>
      <c r="L355" s="166" t="s">
        <v>2367</v>
      </c>
      <c r="M355" s="555" t="s">
        <v>3421</v>
      </c>
      <c r="N355" s="167">
        <v>118811.88</v>
      </c>
      <c r="O355" s="167">
        <v>120000</v>
      </c>
      <c r="P355" s="167">
        <v>118811.88</v>
      </c>
      <c r="Q355" s="167">
        <v>-5940.59</v>
      </c>
      <c r="R355" s="167">
        <f t="shared" si="37"/>
        <v>112871.29</v>
      </c>
      <c r="S355" s="178">
        <f>IFERROR(VLOOKUP(G355,'附表8-合同明细采集底稿'!B:N,12,0),100%)</f>
        <v>1</v>
      </c>
      <c r="T355" s="167">
        <f t="shared" si="34"/>
        <v>112871.29</v>
      </c>
      <c r="U355" s="157" t="s">
        <v>2416</v>
      </c>
      <c r="V355" s="179" t="s">
        <v>374</v>
      </c>
      <c r="W355" s="182">
        <f>ROUND(T355*成本分摊比例!$G$13/(成本分摊比例!$G$13+成本分摊比例!$H$13+成本分摊比例!$I$13),2)</f>
        <v>60984.56</v>
      </c>
      <c r="X355" s="182">
        <f>ROUND(T355*成本分摊比例!$H$13/(成本分摊比例!$G$13+成本分摊比例!$H$13+成本分摊比例!$I$13),2)</f>
        <v>40349.06</v>
      </c>
      <c r="Y355" s="182">
        <f t="shared" si="39"/>
        <v>11537.67</v>
      </c>
      <c r="Z355" s="183" t="s">
        <v>2406</v>
      </c>
      <c r="AA355" s="157"/>
      <c r="AB355" s="184" t="s">
        <v>2319</v>
      </c>
      <c r="AC355" s="132">
        <f t="shared" si="35"/>
        <v>0</v>
      </c>
    </row>
    <row r="356" s="132" customFormat="1" ht="24" customHeight="1" spans="1:29">
      <c r="A356" s="150">
        <v>350</v>
      </c>
      <c r="B356" s="166" t="s">
        <v>3422</v>
      </c>
      <c r="C356" s="166" t="s">
        <v>2893</v>
      </c>
      <c r="D356" s="157" t="s">
        <v>2533</v>
      </c>
      <c r="E356" s="158" t="s">
        <v>2564</v>
      </c>
      <c r="F356" s="189" t="s">
        <v>3423</v>
      </c>
      <c r="G356" s="156" t="s">
        <v>3424</v>
      </c>
      <c r="H356" s="157" t="str">
        <f>IF(G356="","",VLOOKUP(G356,'附表8-合同明细采集底稿'!B:I,2,0))</f>
        <v>一期消防工程</v>
      </c>
      <c r="I356" s="165" t="str">
        <f>IF(G356="","",VLOOKUP(G356,'附表8-合同明细采集底稿'!B:I,3,0))</f>
        <v>其他合同</v>
      </c>
      <c r="J356" s="187" t="s">
        <v>3425</v>
      </c>
      <c r="K356" s="157" t="s">
        <v>2335</v>
      </c>
      <c r="L356" s="168" t="s">
        <v>2336</v>
      </c>
      <c r="M356" s="166" t="s">
        <v>3426</v>
      </c>
      <c r="N356" s="167">
        <v>1950000</v>
      </c>
      <c r="O356" s="167">
        <v>1950000</v>
      </c>
      <c r="P356" s="167">
        <v>1950000</v>
      </c>
      <c r="Q356" s="167"/>
      <c r="R356" s="167">
        <f t="shared" si="37"/>
        <v>1950000</v>
      </c>
      <c r="S356" s="178">
        <f>IFERROR(VLOOKUP(G356,'附表8-合同明细采集底稿'!B:N,12,0),100%)</f>
        <v>1</v>
      </c>
      <c r="T356" s="167">
        <f t="shared" si="34"/>
        <v>1950000</v>
      </c>
      <c r="U356" s="157" t="s">
        <v>2344</v>
      </c>
      <c r="V356" s="179" t="s">
        <v>375</v>
      </c>
      <c r="W356" s="180">
        <f>IF('附表1-面积统计表'!$D$29=0,"",IF(AND(V356="共同成本费用",Z356="总建筑面积法"),ROUND(T356/'附表1-面积统计表'!$D$29*'附表1-面积统计表'!$D$5,2),IF(AND(V356="共同成本费用",Z356="可售建筑面积法"),ROUND(T356/'附表1-面积统计表'!$F$29*'附表1-面积统计表'!$F$5,2),"请手工填写")))</f>
        <v>944702.99</v>
      </c>
      <c r="X356" s="180">
        <f>IF(SUM('附表1-面积统计表'!$D$6)=0,"",SUM(T356)-SUM(W356)-SUM(Y356))</f>
        <v>625041.52</v>
      </c>
      <c r="Y356" s="180">
        <f>IF(SUM('附表1-面积统计表'!$D$6)=0,SUM(T356)-SUM(W356),IF('附表1-面积统计表'!$D$29=0,"",IF(AND(V356="共同成本费用",Z356="总建筑面积法"),ROUND(T356/'附表1-面积统计表'!$D$29*'附表1-面积统计表'!$D$7,2),IF(AND(V356="共同成本费用",Z356="可售建筑面积法"),ROUND(T356/'附表1-面积统计表'!$F$29*'附表1-面积统计表'!$F$7,2),"请手工填写"))))</f>
        <v>380255.49</v>
      </c>
      <c r="Z356" s="183" t="s">
        <v>351</v>
      </c>
      <c r="AA356" s="157"/>
      <c r="AB356" s="184" t="s">
        <v>2319</v>
      </c>
      <c r="AC356" s="132">
        <f t="shared" si="35"/>
        <v>0</v>
      </c>
    </row>
    <row r="357" s="132" customFormat="1" ht="24" customHeight="1" spans="1:29">
      <c r="A357" s="150">
        <v>351</v>
      </c>
      <c r="B357" s="166" t="s">
        <v>3422</v>
      </c>
      <c r="C357" s="166" t="s">
        <v>2898</v>
      </c>
      <c r="D357" s="157" t="s">
        <v>2470</v>
      </c>
      <c r="E357" s="158" t="s">
        <v>2471</v>
      </c>
      <c r="F357" s="189" t="s">
        <v>3427</v>
      </c>
      <c r="G357" s="156" t="s">
        <v>2548</v>
      </c>
      <c r="H357" s="157" t="str">
        <f>IF(G357="","",VLOOKUP(G357,'附表8-合同明细采集底稿'!B:I,2,0))</f>
        <v>建设工程监理合同</v>
      </c>
      <c r="I357" s="165" t="str">
        <f>IF(G357="","",VLOOKUP(G357,'附表8-合同明细采集底稿'!B:I,3,0))</f>
        <v>技术合同</v>
      </c>
      <c r="J357" s="154" t="s">
        <v>3428</v>
      </c>
      <c r="K357" s="157" t="s">
        <v>2355</v>
      </c>
      <c r="L357" s="166">
        <v>6500182160</v>
      </c>
      <c r="M357" s="555" t="s">
        <v>3429</v>
      </c>
      <c r="N357" s="167">
        <v>89108.91</v>
      </c>
      <c r="O357" s="167">
        <v>90000</v>
      </c>
      <c r="P357" s="167">
        <v>89108.91</v>
      </c>
      <c r="Q357" s="167"/>
      <c r="R357" s="167">
        <f t="shared" si="37"/>
        <v>89108.91</v>
      </c>
      <c r="S357" s="178">
        <f>IFERROR(VLOOKUP(G357,'附表8-合同明细采集底稿'!B:N,12,0),100%)</f>
        <v>1</v>
      </c>
      <c r="T357" s="167">
        <f t="shared" si="34"/>
        <v>89108.91</v>
      </c>
      <c r="U357" s="157" t="s">
        <v>2344</v>
      </c>
      <c r="V357" s="179" t="s">
        <v>375</v>
      </c>
      <c r="W357" s="180">
        <f>IF('附表1-面积统计表'!$D$29=0,"",IF(AND(V357="共同成本费用",Z357="总建筑面积法"),ROUND(T357/'附表1-面积统计表'!$D$29*'附表1-面积统计表'!$D$5,2),IF(AND(V357="共同成本费用",Z357="可售建筑面积法"),ROUND(T357/'附表1-面积统计表'!$F$29*'附表1-面积统计表'!$F$5,2),"请手工填写")))</f>
        <v>43169.98</v>
      </c>
      <c r="X357" s="180">
        <f>IF(SUM('附表1-面积统计表'!$D$6)=0,"",SUM(T357)-SUM(W357)-SUM(Y357))</f>
        <v>28562.44</v>
      </c>
      <c r="Y357" s="180">
        <f>IF(SUM('附表1-面积统计表'!$D$6)=0,SUM(T357)-SUM(W357),IF('附表1-面积统计表'!$D$29=0,"",IF(AND(V357="共同成本费用",Z357="总建筑面积法"),ROUND(T357/'附表1-面积统计表'!$D$29*'附表1-面积统计表'!$D$7,2),IF(AND(V357="共同成本费用",Z357="可售建筑面积法"),ROUND(T357/'附表1-面积统计表'!$F$29*'附表1-面积统计表'!$F$7,2),"请手工填写"))))</f>
        <v>17376.49</v>
      </c>
      <c r="Z357" s="183" t="s">
        <v>351</v>
      </c>
      <c r="AA357" s="157"/>
      <c r="AB357" s="184" t="s">
        <v>2319</v>
      </c>
      <c r="AC357" s="132">
        <f t="shared" si="35"/>
        <v>0</v>
      </c>
    </row>
    <row r="358" s="132" customFormat="1" ht="24" customHeight="1" spans="1:29">
      <c r="A358" s="150">
        <v>352</v>
      </c>
      <c r="B358" s="166" t="s">
        <v>3422</v>
      </c>
      <c r="C358" s="166" t="s">
        <v>3430</v>
      </c>
      <c r="D358" s="157" t="s">
        <v>2533</v>
      </c>
      <c r="E358" s="158" t="s">
        <v>2564</v>
      </c>
      <c r="F358" s="189" t="s">
        <v>3431</v>
      </c>
      <c r="G358" s="156" t="s">
        <v>2900</v>
      </c>
      <c r="H358" s="157" t="str">
        <f>IF(G358="","",VLOOKUP(G358,'附表8-合同明细采集底稿'!B:I,2,0))</f>
        <v>沁春锦苑25、26、28#施工协议</v>
      </c>
      <c r="I358" s="165" t="str">
        <f>IF(G358="","",VLOOKUP(G358,'附表8-合同明细采集底稿'!B:I,3,0))</f>
        <v>建设工程合同</v>
      </c>
      <c r="J358" s="187" t="s">
        <v>144</v>
      </c>
      <c r="K358" s="157" t="s">
        <v>2355</v>
      </c>
      <c r="L358" s="166">
        <v>6500193130</v>
      </c>
      <c r="M358" s="555" t="s">
        <v>3432</v>
      </c>
      <c r="N358" s="167">
        <v>981205.5</v>
      </c>
      <c r="O358" s="167">
        <v>1069514</v>
      </c>
      <c r="P358" s="167">
        <v>981205.5</v>
      </c>
      <c r="Q358" s="167"/>
      <c r="R358" s="167">
        <f t="shared" si="37"/>
        <v>981205.5</v>
      </c>
      <c r="S358" s="178">
        <f>IFERROR(VLOOKUP(G358,'附表8-合同明细采集底稿'!B:N,12,0),100%)</f>
        <v>1</v>
      </c>
      <c r="T358" s="167">
        <f t="shared" si="34"/>
        <v>981205.5</v>
      </c>
      <c r="U358" s="157" t="s">
        <v>2416</v>
      </c>
      <c r="V358" s="179" t="s">
        <v>374</v>
      </c>
      <c r="W358" s="182">
        <f>ROUND(T358*成本分摊比例!$G$13/(成本分摊比例!$G$13+成本分摊比例!$H$13+成本分摊比例!$I$13),2)</f>
        <v>530147.07</v>
      </c>
      <c r="X358" s="182">
        <f>ROUND(T358*成本分摊比例!$H$13/(成本分摊比例!$G$13+成本分摊比例!$H$13+成本分摊比例!$I$13),2)</f>
        <v>350759.91</v>
      </c>
      <c r="Y358" s="182">
        <f t="shared" si="39"/>
        <v>100298.52</v>
      </c>
      <c r="Z358" s="183" t="s">
        <v>2406</v>
      </c>
      <c r="AA358" s="157"/>
      <c r="AB358" s="184" t="s">
        <v>2319</v>
      </c>
      <c r="AC358" s="132">
        <f t="shared" si="35"/>
        <v>0</v>
      </c>
    </row>
    <row r="359" s="132" customFormat="1" ht="24" customHeight="1" spans="1:29">
      <c r="A359" s="150">
        <v>353</v>
      </c>
      <c r="B359" s="166" t="s">
        <v>3433</v>
      </c>
      <c r="C359" s="166" t="s">
        <v>2933</v>
      </c>
      <c r="D359" s="157" t="s">
        <v>2346</v>
      </c>
      <c r="E359" s="158" t="s">
        <v>2347</v>
      </c>
      <c r="F359" s="189" t="s">
        <v>3434</v>
      </c>
      <c r="G359" s="186" t="s">
        <v>3435</v>
      </c>
      <c r="H359" s="157" t="str">
        <f>IF(G359="","",VLOOKUP(G359,'附表8-合同明细采集底稿'!B:I,2,0))</f>
        <v>地名数字门牌制作合同</v>
      </c>
      <c r="I359" s="165" t="str">
        <f>IF(G359="","",VLOOKUP(G359,'附表8-合同明细采集底稿'!B:I,3,0))</f>
        <v>技术合同</v>
      </c>
      <c r="J359" s="169" t="s">
        <v>3225</v>
      </c>
      <c r="K359" s="157" t="s">
        <v>2355</v>
      </c>
      <c r="L359" s="166">
        <v>6500193130</v>
      </c>
      <c r="M359" s="555" t="s">
        <v>3436</v>
      </c>
      <c r="N359" s="167">
        <v>18659.41</v>
      </c>
      <c r="O359" s="167">
        <v>18846</v>
      </c>
      <c r="P359" s="167">
        <v>18659.41</v>
      </c>
      <c r="Q359" s="167"/>
      <c r="R359" s="167">
        <f t="shared" si="37"/>
        <v>18659.41</v>
      </c>
      <c r="S359" s="178">
        <f>IFERROR(VLOOKUP(G359,'附表8-合同明细采集底稿'!B:N,12,0),100%)</f>
        <v>1</v>
      </c>
      <c r="T359" s="167">
        <f t="shared" si="34"/>
        <v>18659.41</v>
      </c>
      <c r="U359" s="157" t="s">
        <v>2416</v>
      </c>
      <c r="V359" s="179" t="s">
        <v>374</v>
      </c>
      <c r="W359" s="182">
        <f>ROUND(T359*成本分摊比例!$G$13/(成本分摊比例!$G$13+成本分摊比例!$H$13+成本分摊比例!$I$13),2)</f>
        <v>10081.71</v>
      </c>
      <c r="X359" s="182">
        <f>ROUND(T359*成本分摊比例!$H$13/(成本分摊比例!$G$13+成本分摊比例!$H$13+成本分摊比例!$I$13),2)</f>
        <v>6670.34</v>
      </c>
      <c r="Y359" s="182">
        <f t="shared" si="39"/>
        <v>1907.36</v>
      </c>
      <c r="Z359" s="183" t="s">
        <v>2406</v>
      </c>
      <c r="AA359" s="157"/>
      <c r="AB359" s="184" t="s">
        <v>2319</v>
      </c>
      <c r="AC359" s="132">
        <f t="shared" si="35"/>
        <v>0</v>
      </c>
    </row>
    <row r="360" s="132" customFormat="1" ht="24" customHeight="1" spans="1:29">
      <c r="A360" s="150">
        <v>354</v>
      </c>
      <c r="B360" s="166" t="s">
        <v>3433</v>
      </c>
      <c r="C360" s="166" t="s">
        <v>2905</v>
      </c>
      <c r="D360" s="157" t="s">
        <v>2331</v>
      </c>
      <c r="E360" s="158" t="s">
        <v>3111</v>
      </c>
      <c r="F360" s="189" t="s">
        <v>3437</v>
      </c>
      <c r="G360" s="156" t="s">
        <v>3113</v>
      </c>
      <c r="H360" s="157" t="str">
        <f>IF(G360="","",VLOOKUP(G360,'附表8-合同明细采集底稿'!B:I,2,0))</f>
        <v>建设工程设计合同（民用建设工程设计合同）</v>
      </c>
      <c r="I360" s="165" t="str">
        <f>IF(G360="","",VLOOKUP(G360,'附表8-合同明细采集底稿'!B:I,3,0))</f>
        <v>技术合同</v>
      </c>
      <c r="J360" s="187" t="s">
        <v>3114</v>
      </c>
      <c r="K360" s="157" t="s">
        <v>2355</v>
      </c>
      <c r="L360" s="166">
        <v>6500201130</v>
      </c>
      <c r="M360" s="555" t="s">
        <v>3438</v>
      </c>
      <c r="N360" s="167">
        <v>49900.99</v>
      </c>
      <c r="O360" s="167">
        <v>50400</v>
      </c>
      <c r="P360" s="167">
        <v>49900.99</v>
      </c>
      <c r="Q360" s="167"/>
      <c r="R360" s="167">
        <f t="shared" si="37"/>
        <v>49900.99</v>
      </c>
      <c r="S360" s="178">
        <f>IFERROR(VLOOKUP(G360,'附表8-合同明细采集底稿'!B:N,12,0),100%)</f>
        <v>0.109829243890136</v>
      </c>
      <c r="T360" s="167">
        <f t="shared" si="34"/>
        <v>5480.59</v>
      </c>
      <c r="U360" s="157" t="s">
        <v>3116</v>
      </c>
      <c r="V360" s="179" t="s">
        <v>374</v>
      </c>
      <c r="W360" s="181">
        <f>ROUND(T360*0.8162,2)</f>
        <v>4473.26</v>
      </c>
      <c r="X360" s="181">
        <v>0</v>
      </c>
      <c r="Y360" s="181">
        <f>T360-W360</f>
        <v>1007.33</v>
      </c>
      <c r="Z360" s="183" t="s">
        <v>2406</v>
      </c>
      <c r="AA360" s="157"/>
      <c r="AB360" s="184" t="s">
        <v>2319</v>
      </c>
      <c r="AC360" s="132">
        <f t="shared" si="35"/>
        <v>0</v>
      </c>
    </row>
    <row r="361" s="132" customFormat="1" ht="24" customHeight="1" spans="1:29">
      <c r="A361" s="150">
        <v>355</v>
      </c>
      <c r="B361" s="166" t="s">
        <v>3433</v>
      </c>
      <c r="C361" s="166" t="s">
        <v>2970</v>
      </c>
      <c r="D361" s="157" t="s">
        <v>2533</v>
      </c>
      <c r="E361" s="158" t="s">
        <v>2564</v>
      </c>
      <c r="F361" s="189" t="s">
        <v>3439</v>
      </c>
      <c r="G361" s="156" t="s">
        <v>3040</v>
      </c>
      <c r="H361" s="157" t="str">
        <f>IF(G361="","",VLOOKUP(G361,'附表8-合同明细采集底稿'!B:I,2,0))</f>
        <v>19#20#23、24楼中间干挂石材</v>
      </c>
      <c r="I361" s="165" t="str">
        <f>IF(G361="","",VLOOKUP(G361,'附表8-合同明细采集底稿'!B:I,3,0))</f>
        <v>其他合同</v>
      </c>
      <c r="J361" s="187" t="s">
        <v>3041</v>
      </c>
      <c r="K361" s="157" t="s">
        <v>2355</v>
      </c>
      <c r="L361" s="166">
        <v>6500193130</v>
      </c>
      <c r="M361" s="555" t="s">
        <v>3440</v>
      </c>
      <c r="N361" s="167">
        <v>7350</v>
      </c>
      <c r="O361" s="167">
        <v>7423.5</v>
      </c>
      <c r="P361" s="167">
        <v>7350</v>
      </c>
      <c r="Q361" s="167"/>
      <c r="R361" s="167">
        <f t="shared" si="37"/>
        <v>7350</v>
      </c>
      <c r="S361" s="178">
        <f>IFERROR(VLOOKUP(G361,'附表8-合同明细采集底稿'!B:N,12,0),100%)</f>
        <v>1</v>
      </c>
      <c r="T361" s="167">
        <f t="shared" si="34"/>
        <v>7350</v>
      </c>
      <c r="U361" s="157" t="s">
        <v>2416</v>
      </c>
      <c r="V361" s="179" t="s">
        <v>374</v>
      </c>
      <c r="W361" s="182">
        <f>ROUND(T361*成本分摊比例!$G$13/(成本分摊比例!$G$13+成本分摊比例!$H$13+成本分摊比例!$I$13),2)</f>
        <v>3971.22</v>
      </c>
      <c r="X361" s="182">
        <f>ROUND(T361*成本分摊比例!$H$13/(成本分摊比例!$G$13+成本分摊比例!$H$13+成本分摊比例!$I$13),2)</f>
        <v>2627.47</v>
      </c>
      <c r="Y361" s="182">
        <f t="shared" ref="Y361:Y364" si="40">T361-W361-X361</f>
        <v>751.31</v>
      </c>
      <c r="Z361" s="183" t="s">
        <v>2406</v>
      </c>
      <c r="AA361" s="157"/>
      <c r="AB361" s="184" t="s">
        <v>2319</v>
      </c>
      <c r="AC361" s="132">
        <f t="shared" si="35"/>
        <v>0</v>
      </c>
    </row>
    <row r="362" s="132" customFormat="1" ht="24" customHeight="1" spans="1:29">
      <c r="A362" s="150">
        <v>356</v>
      </c>
      <c r="B362" s="166" t="s">
        <v>3433</v>
      </c>
      <c r="C362" s="166" t="s">
        <v>3441</v>
      </c>
      <c r="D362" s="157" t="s">
        <v>2533</v>
      </c>
      <c r="E362" s="158" t="s">
        <v>2564</v>
      </c>
      <c r="F362" s="189" t="s">
        <v>3442</v>
      </c>
      <c r="G362" s="156" t="s">
        <v>2900</v>
      </c>
      <c r="H362" s="157" t="str">
        <f>IF(G362="","",VLOOKUP(G362,'附表8-合同明细采集底稿'!B:I,2,0))</f>
        <v>沁春锦苑25、26、28#施工协议</v>
      </c>
      <c r="I362" s="165" t="str">
        <f>IF(G362="","",VLOOKUP(G362,'附表8-合同明细采集底稿'!B:I,3,0))</f>
        <v>建设工程合同</v>
      </c>
      <c r="J362" s="187" t="s">
        <v>144</v>
      </c>
      <c r="K362" s="157" t="s">
        <v>2355</v>
      </c>
      <c r="L362" s="166">
        <v>6500193130</v>
      </c>
      <c r="M362" s="555" t="s">
        <v>3443</v>
      </c>
      <c r="N362" s="167">
        <v>945400</v>
      </c>
      <c r="O362" s="167">
        <v>1030486</v>
      </c>
      <c r="P362" s="167">
        <v>945400</v>
      </c>
      <c r="Q362" s="167"/>
      <c r="R362" s="167">
        <f t="shared" si="37"/>
        <v>945400</v>
      </c>
      <c r="S362" s="178">
        <f>IFERROR(VLOOKUP(G362,'附表8-合同明细采集底稿'!B:N,12,0),100%)</f>
        <v>1</v>
      </c>
      <c r="T362" s="167">
        <f t="shared" si="34"/>
        <v>945400</v>
      </c>
      <c r="U362" s="157" t="s">
        <v>2416</v>
      </c>
      <c r="V362" s="179" t="s">
        <v>374</v>
      </c>
      <c r="W362" s="182">
        <f>ROUND(T362*成本分摊比例!$G$13/(成本分摊比例!$G$13+成本分摊比例!$H$13+成本分摊比例!$I$13),2)</f>
        <v>510801.3</v>
      </c>
      <c r="X362" s="182">
        <f>ROUND(T362*成本分摊比例!$H$13/(成本分摊比例!$G$13+成本分摊比例!$H$13+成本分摊比例!$I$13),2)</f>
        <v>337960.21</v>
      </c>
      <c r="Y362" s="182">
        <f t="shared" si="40"/>
        <v>96638.49</v>
      </c>
      <c r="Z362" s="183" t="s">
        <v>2406</v>
      </c>
      <c r="AA362" s="157"/>
      <c r="AB362" s="184" t="s">
        <v>2319</v>
      </c>
      <c r="AC362" s="132">
        <f t="shared" si="35"/>
        <v>0</v>
      </c>
    </row>
    <row r="363" s="132" customFormat="1" ht="24" customHeight="1" spans="1:29">
      <c r="A363" s="150">
        <v>357</v>
      </c>
      <c r="B363" s="166" t="s">
        <v>3444</v>
      </c>
      <c r="C363" s="166" t="s">
        <v>3343</v>
      </c>
      <c r="D363" s="157" t="s">
        <v>2533</v>
      </c>
      <c r="E363" s="158" t="s">
        <v>2690</v>
      </c>
      <c r="F363" s="189" t="s">
        <v>3445</v>
      </c>
      <c r="G363" s="156" t="s">
        <v>2895</v>
      </c>
      <c r="H363" s="157" t="str">
        <f>IF(G363="","",VLOOKUP(G363,'附表8-合同明细采集底稿'!B:I,2,0))</f>
        <v>电梯销售安装合同19-24#</v>
      </c>
      <c r="I363" s="165" t="str">
        <f>IF(G363="","",VLOOKUP(G363,'附表8-合同明细采集底稿'!B:I,3,0))</f>
        <v>买卖合同</v>
      </c>
      <c r="J363" s="187" t="s">
        <v>2999</v>
      </c>
      <c r="K363" s="157" t="s">
        <v>2355</v>
      </c>
      <c r="L363" s="166">
        <v>6500193130</v>
      </c>
      <c r="M363" s="555" t="s">
        <v>3446</v>
      </c>
      <c r="N363" s="167">
        <v>893980.58</v>
      </c>
      <c r="O363" s="167">
        <v>920800</v>
      </c>
      <c r="P363" s="167">
        <v>893980.58</v>
      </c>
      <c r="Q363" s="167"/>
      <c r="R363" s="167">
        <f t="shared" si="37"/>
        <v>893980.58</v>
      </c>
      <c r="S363" s="178">
        <f>IFERROR(VLOOKUP(G363,'附表8-合同明细采集底稿'!B:N,12,0),100%)</f>
        <v>1</v>
      </c>
      <c r="T363" s="167">
        <f t="shared" si="34"/>
        <v>893980.58</v>
      </c>
      <c r="U363" s="157" t="s">
        <v>2416</v>
      </c>
      <c r="V363" s="179" t="s">
        <v>374</v>
      </c>
      <c r="W363" s="182">
        <f>ROUND(T363*成本分摊比例!$G$13/(成本分摊比例!$G$13+成本分摊比例!$H$13+成本分摊比例!$I$13),2)</f>
        <v>483019.3</v>
      </c>
      <c r="X363" s="182">
        <f>ROUND(T363*成本分摊比例!$H$13/(成本分摊比例!$G$13+成本分摊比例!$H$13+成本分摊比例!$I$13),2)</f>
        <v>319578.87</v>
      </c>
      <c r="Y363" s="182">
        <f t="shared" si="40"/>
        <v>91382.41</v>
      </c>
      <c r="Z363" s="183" t="s">
        <v>2406</v>
      </c>
      <c r="AA363" s="157"/>
      <c r="AB363" s="184" t="s">
        <v>2319</v>
      </c>
      <c r="AC363" s="132">
        <f t="shared" si="35"/>
        <v>0</v>
      </c>
    </row>
    <row r="364" s="132" customFormat="1" ht="24" customHeight="1" spans="1:29">
      <c r="A364" s="150">
        <v>358</v>
      </c>
      <c r="B364" s="166" t="s">
        <v>3444</v>
      </c>
      <c r="C364" s="166" t="s">
        <v>3024</v>
      </c>
      <c r="D364" s="157" t="s">
        <v>2533</v>
      </c>
      <c r="E364" s="158" t="s">
        <v>2534</v>
      </c>
      <c r="F364" s="189" t="s">
        <v>3447</v>
      </c>
      <c r="G364" s="156" t="s">
        <v>3064</v>
      </c>
      <c r="H364" s="157" t="str">
        <f>IF(G364="","",VLOOKUP(G364,'附表8-合同明细采集底稿'!B:I,2,0))</f>
        <v>沁春锦苑20#24#楼门斗装修</v>
      </c>
      <c r="I364" s="165" t="str">
        <f>IF(G364="","",VLOOKUP(G364,'附表8-合同明细采集底稿'!B:I,3,0))</f>
        <v>建设工程合同</v>
      </c>
      <c r="J364" s="187" t="s">
        <v>3065</v>
      </c>
      <c r="K364" s="157" t="s">
        <v>2355</v>
      </c>
      <c r="L364" s="191">
        <v>6500182130</v>
      </c>
      <c r="M364" s="155" t="s">
        <v>3448</v>
      </c>
      <c r="N364" s="167">
        <v>184356.43</v>
      </c>
      <c r="O364" s="167">
        <v>186200</v>
      </c>
      <c r="P364" s="167">
        <v>184356.43</v>
      </c>
      <c r="Q364" s="167"/>
      <c r="R364" s="167">
        <f t="shared" si="37"/>
        <v>184356.43</v>
      </c>
      <c r="S364" s="178">
        <f>IFERROR(VLOOKUP(G364,'附表8-合同明细采集底稿'!B:N,12,0),100%)</f>
        <v>1</v>
      </c>
      <c r="T364" s="167">
        <f t="shared" si="34"/>
        <v>184356.43</v>
      </c>
      <c r="U364" s="157" t="s">
        <v>2416</v>
      </c>
      <c r="V364" s="179" t="s">
        <v>374</v>
      </c>
      <c r="W364" s="182">
        <f>ROUND(T364*成本分摊比例!$G$13/(成本分摊比例!$G$13+成本分摊比例!$H$13+成本分摊比例!$I$13),2)</f>
        <v>99608.11</v>
      </c>
      <c r="X364" s="182">
        <f>ROUND(T364*成本分摊比例!$H$13/(成本分摊比例!$G$13+成本分摊比例!$H$13+成本分摊比例!$I$13),2)</f>
        <v>65903.47</v>
      </c>
      <c r="Y364" s="182">
        <f t="shared" si="40"/>
        <v>18844.85</v>
      </c>
      <c r="Z364" s="183" t="s">
        <v>2406</v>
      </c>
      <c r="AA364" s="157"/>
      <c r="AB364" s="184" t="s">
        <v>2319</v>
      </c>
      <c r="AC364" s="132">
        <f t="shared" si="35"/>
        <v>0</v>
      </c>
    </row>
    <row r="365" s="132" customFormat="1" ht="24" customHeight="1" spans="1:29">
      <c r="A365" s="150">
        <v>359</v>
      </c>
      <c r="B365" s="166" t="s">
        <v>3449</v>
      </c>
      <c r="C365" s="166" t="s">
        <v>3450</v>
      </c>
      <c r="D365" s="157" t="s">
        <v>2470</v>
      </c>
      <c r="E365" s="158" t="s">
        <v>2471</v>
      </c>
      <c r="F365" s="189" t="s">
        <v>3451</v>
      </c>
      <c r="G365" s="156" t="s">
        <v>2875</v>
      </c>
      <c r="H365" s="157" t="str">
        <f>IF(G365="","",VLOOKUP(G365,'附表8-合同明细采集底稿'!B:I,2,0))</f>
        <v>土方拉运</v>
      </c>
      <c r="I365" s="165" t="str">
        <f>IF(G365="","",VLOOKUP(G365,'附表8-合同明细采集底稿'!B:I,3,0))</f>
        <v>运输合同</v>
      </c>
      <c r="J365" s="154" t="s">
        <v>2876</v>
      </c>
      <c r="K365" s="157" t="s">
        <v>2355</v>
      </c>
      <c r="L365" s="166">
        <v>6500193160</v>
      </c>
      <c r="M365" s="555" t="s">
        <v>3452</v>
      </c>
      <c r="N365" s="167">
        <v>198019.8</v>
      </c>
      <c r="O365" s="167">
        <v>200000</v>
      </c>
      <c r="P365" s="167">
        <v>198019.8</v>
      </c>
      <c r="Q365" s="167"/>
      <c r="R365" s="167">
        <f t="shared" si="37"/>
        <v>198019.8</v>
      </c>
      <c r="S365" s="178">
        <f>IFERROR(VLOOKUP(G365,'附表8-合同明细采集底稿'!B:N,12,0),100%)</f>
        <v>1</v>
      </c>
      <c r="T365" s="167">
        <f t="shared" si="34"/>
        <v>198019.8</v>
      </c>
      <c r="U365" s="157" t="s">
        <v>2344</v>
      </c>
      <c r="V365" s="179" t="s">
        <v>375</v>
      </c>
      <c r="W365" s="180">
        <f>IF('附表1-面积统计表'!$D$29=0,"",IF(AND(V365="共同成本费用",Z365="总建筑面积法"),ROUND(T365/'附表1-面积统计表'!$D$29*'附表1-面积统计表'!$D$5,2),IF(AND(V365="共同成本费用",Z365="可售建筑面积法"),ROUND(T365/'附表1-面积统计表'!$F$29*'附表1-面积统计表'!$F$5,2),"请手工填写")))</f>
        <v>95933.28</v>
      </c>
      <c r="X365" s="180">
        <f>IF(SUM('附表1-面积统计表'!$D$6)=0,"",SUM(T365)-SUM(W365)-SUM(Y365))</f>
        <v>63472.1</v>
      </c>
      <c r="Y365" s="180">
        <f>IF(SUM('附表1-面积统计表'!$D$6)=0,SUM(T365)-SUM(W365),IF('附表1-面积统计表'!$D$29=0,"",IF(AND(V365="共同成本费用",Z365="总建筑面积法"),ROUND(T365/'附表1-面积统计表'!$D$29*'附表1-面积统计表'!$D$7,2),IF(AND(V365="共同成本费用",Z365="可售建筑面积法"),ROUND(T365/'附表1-面积统计表'!$F$29*'附表1-面积统计表'!$F$7,2),"请手工填写"))))</f>
        <v>38614.42</v>
      </c>
      <c r="Z365" s="183" t="s">
        <v>351</v>
      </c>
      <c r="AA365" s="157"/>
      <c r="AB365" s="184" t="s">
        <v>2319</v>
      </c>
      <c r="AC365" s="132">
        <f t="shared" si="35"/>
        <v>0</v>
      </c>
    </row>
    <row r="366" s="132" customFormat="1" ht="24" customHeight="1" spans="1:29">
      <c r="A366" s="150">
        <v>360</v>
      </c>
      <c r="B366" s="166" t="s">
        <v>3449</v>
      </c>
      <c r="C366" s="166" t="s">
        <v>3453</v>
      </c>
      <c r="D366" s="157" t="s">
        <v>2339</v>
      </c>
      <c r="E366" s="158" t="s">
        <v>2523</v>
      </c>
      <c r="F366" s="189" t="s">
        <v>3454</v>
      </c>
      <c r="G366" s="156"/>
      <c r="H366" s="157" t="str">
        <f>IF(G366="","",VLOOKUP(G366,'附表8-合同明细采集底稿'!B:I,2,0))</f>
        <v/>
      </c>
      <c r="I366" s="165" t="str">
        <f>IF(G366="","",VLOOKUP(G366,'附表8-合同明细采集底稿'!B:I,3,0))</f>
        <v/>
      </c>
      <c r="J366" s="154" t="s">
        <v>3455</v>
      </c>
      <c r="K366" s="157" t="s">
        <v>2355</v>
      </c>
      <c r="L366" s="166">
        <v>6500193160</v>
      </c>
      <c r="M366" s="555" t="s">
        <v>3456</v>
      </c>
      <c r="N366" s="167">
        <v>178217.83</v>
      </c>
      <c r="O366" s="167">
        <v>179400</v>
      </c>
      <c r="P366" s="167">
        <v>178217.83</v>
      </c>
      <c r="Q366" s="167"/>
      <c r="R366" s="167">
        <f t="shared" si="37"/>
        <v>178217.83</v>
      </c>
      <c r="S366" s="178">
        <v>1</v>
      </c>
      <c r="T366" s="167">
        <f t="shared" si="34"/>
        <v>178217.83</v>
      </c>
      <c r="U366" s="157" t="s">
        <v>2344</v>
      </c>
      <c r="V366" s="179" t="s">
        <v>375</v>
      </c>
      <c r="W366" s="180">
        <f>IF('附表1-面积统计表'!$D$29=0,"",IF(AND(V366="共同成本费用",Z366="总建筑面积法"),ROUND(T366/'附表1-面积统计表'!$D$29*'附表1-面积统计表'!$D$5,2),IF(AND(V366="共同成本费用",Z366="可售建筑面积法"),ROUND(T366/'附表1-面积统计表'!$F$29*'附表1-面积统计表'!$F$5,2),"请手工填写")))</f>
        <v>86339.96</v>
      </c>
      <c r="X366" s="180">
        <f>IF(SUM('附表1-面积统计表'!$D$6)=0,"",SUM(T366)-SUM(W366)-SUM(Y366))</f>
        <v>57124.89</v>
      </c>
      <c r="Y366" s="180">
        <f>IF(SUM('附表1-面积统计表'!$D$6)=0,SUM(T366)-SUM(W366),IF('附表1-面积统计表'!$D$29=0,"",IF(AND(V366="共同成本费用",Z366="总建筑面积法"),ROUND(T366/'附表1-面积统计表'!$D$29*'附表1-面积统计表'!$D$7,2),IF(AND(V366="共同成本费用",Z366="可售建筑面积法"),ROUND(T366/'附表1-面积统计表'!$F$29*'附表1-面积统计表'!$F$7,2),"请手工填写"))))</f>
        <v>34752.98</v>
      </c>
      <c r="Z366" s="183" t="s">
        <v>351</v>
      </c>
      <c r="AA366" s="157"/>
      <c r="AB366" s="184" t="s">
        <v>2319</v>
      </c>
      <c r="AC366" s="132">
        <f t="shared" si="35"/>
        <v>0</v>
      </c>
    </row>
    <row r="367" s="132" customFormat="1" ht="24" customHeight="1" spans="1:29">
      <c r="A367" s="150">
        <v>361</v>
      </c>
      <c r="B367" s="166" t="s">
        <v>3449</v>
      </c>
      <c r="C367" s="166" t="s">
        <v>2976</v>
      </c>
      <c r="D367" s="157" t="s">
        <v>2533</v>
      </c>
      <c r="E367" s="158" t="s">
        <v>2788</v>
      </c>
      <c r="F367" s="189" t="s">
        <v>3457</v>
      </c>
      <c r="G367" s="156" t="s">
        <v>3458</v>
      </c>
      <c r="H367" s="157" t="str">
        <f>IF(G367="","",VLOOKUP(G367,'附表8-合同明细采集底稿'!B:I,2,0))</f>
        <v>沁春锦苑35#楼屋面琉璃瓦工程</v>
      </c>
      <c r="I367" s="165" t="str">
        <f>IF(G367="","",VLOOKUP(G367,'附表8-合同明细采集底稿'!B:I,3,0))</f>
        <v>其他合同</v>
      </c>
      <c r="J367" s="187" t="s">
        <v>2791</v>
      </c>
      <c r="K367" s="157" t="s">
        <v>2355</v>
      </c>
      <c r="L367" s="166">
        <v>6500193130</v>
      </c>
      <c r="M367" s="166" t="s">
        <v>3459</v>
      </c>
      <c r="N367" s="167">
        <v>25099.01</v>
      </c>
      <c r="O367" s="167">
        <v>25350</v>
      </c>
      <c r="P367" s="167">
        <v>25099.01</v>
      </c>
      <c r="Q367" s="167"/>
      <c r="R367" s="167">
        <f t="shared" si="37"/>
        <v>25099.01</v>
      </c>
      <c r="S367" s="178">
        <f>IFERROR(VLOOKUP(G367,'附表8-合同明细采集底稿'!B:N,12,0),100%)</f>
        <v>1</v>
      </c>
      <c r="T367" s="167">
        <f t="shared" si="34"/>
        <v>25099.01</v>
      </c>
      <c r="U367" s="157" t="s">
        <v>2405</v>
      </c>
      <c r="V367" s="179" t="s">
        <v>374</v>
      </c>
      <c r="W367" s="181">
        <v>0</v>
      </c>
      <c r="X367" s="181">
        <v>0</v>
      </c>
      <c r="Y367" s="181">
        <v>25099.01</v>
      </c>
      <c r="Z367" s="183" t="s">
        <v>2406</v>
      </c>
      <c r="AA367" s="157"/>
      <c r="AB367" s="184" t="s">
        <v>2319</v>
      </c>
      <c r="AC367" s="132">
        <f t="shared" si="35"/>
        <v>0</v>
      </c>
    </row>
    <row r="368" s="132" customFormat="1" ht="24" customHeight="1" spans="1:29">
      <c r="A368" s="150">
        <v>362</v>
      </c>
      <c r="B368" s="166" t="s">
        <v>3449</v>
      </c>
      <c r="C368" s="166" t="s">
        <v>2976</v>
      </c>
      <c r="D368" s="157" t="s">
        <v>2533</v>
      </c>
      <c r="E368" s="158" t="s">
        <v>2534</v>
      </c>
      <c r="F368" s="189" t="s">
        <v>3457</v>
      </c>
      <c r="G368" s="156" t="s">
        <v>3345</v>
      </c>
      <c r="H368" s="157" t="str">
        <f>IF(G368="","",VLOOKUP(G368,'附表8-合同明细采集底稿'!B:I,2,0))</f>
        <v>沁春锦苑25#27#29#楼门斗装修</v>
      </c>
      <c r="I368" s="165" t="str">
        <f>IF(G368="","",VLOOKUP(G368,'附表8-合同明细采集底稿'!B:I,3,0))</f>
        <v>建设工程合同</v>
      </c>
      <c r="J368" s="187" t="s">
        <v>2791</v>
      </c>
      <c r="K368" s="157" t="s">
        <v>2355</v>
      </c>
      <c r="L368" s="166">
        <v>6500193130</v>
      </c>
      <c r="M368" s="166" t="s">
        <v>3459</v>
      </c>
      <c r="N368" s="167">
        <v>750891.08</v>
      </c>
      <c r="O368" s="167">
        <v>758400</v>
      </c>
      <c r="P368" s="167">
        <v>750891.08</v>
      </c>
      <c r="Q368" s="167"/>
      <c r="R368" s="167">
        <f t="shared" si="37"/>
        <v>750891.08</v>
      </c>
      <c r="S368" s="178">
        <f>IFERROR(VLOOKUP(G368,'附表8-合同明细采集底稿'!B:N,12,0),100%)</f>
        <v>1</v>
      </c>
      <c r="T368" s="167">
        <f t="shared" si="34"/>
        <v>750891.08</v>
      </c>
      <c r="U368" s="157" t="s">
        <v>2416</v>
      </c>
      <c r="V368" s="179" t="s">
        <v>374</v>
      </c>
      <c r="W368" s="182">
        <f>ROUND(T368*成本分摊比例!$G$13/(成本分摊比例!$G$13+成本分摊比例!$H$13+成本分摊比例!$I$13),2)</f>
        <v>405707.78</v>
      </c>
      <c r="X368" s="182">
        <f>ROUND(T368*成本分摊比例!$H$13/(成本分摊比例!$G$13+成本分摊比例!$H$13+成本分摊比例!$I$13),2)</f>
        <v>268427.44</v>
      </c>
      <c r="Y368" s="182">
        <f t="shared" ref="Y368:Y371" si="41">T368-W368-X368</f>
        <v>76755.8599999999</v>
      </c>
      <c r="Z368" s="183" t="s">
        <v>2406</v>
      </c>
      <c r="AA368" s="157"/>
      <c r="AB368" s="184" t="s">
        <v>2319</v>
      </c>
      <c r="AC368" s="132">
        <f t="shared" si="35"/>
        <v>0</v>
      </c>
    </row>
    <row r="369" s="132" customFormat="1" ht="24" customHeight="1" spans="1:29">
      <c r="A369" s="150">
        <v>363</v>
      </c>
      <c r="B369" s="166" t="s">
        <v>3449</v>
      </c>
      <c r="C369" s="166" t="s">
        <v>2976</v>
      </c>
      <c r="D369" s="157" t="s">
        <v>2533</v>
      </c>
      <c r="E369" s="158" t="s">
        <v>2534</v>
      </c>
      <c r="F369" s="189" t="s">
        <v>3457</v>
      </c>
      <c r="G369" s="156" t="s">
        <v>3408</v>
      </c>
      <c r="H369" s="157" t="str">
        <f>IF(G369="","",VLOOKUP(G369,'附表8-合同明细采集底稿'!B:I,2,0))</f>
        <v>沁春锦苑19#23#楼门斗装修</v>
      </c>
      <c r="I369" s="165" t="str">
        <f>IF(G369="","",VLOOKUP(G369,'附表8-合同明细采集底稿'!B:I,3,0))</f>
        <v>建设工程合同</v>
      </c>
      <c r="J369" s="187" t="s">
        <v>2791</v>
      </c>
      <c r="K369" s="157" t="s">
        <v>2355</v>
      </c>
      <c r="L369" s="166">
        <v>6500193130</v>
      </c>
      <c r="M369" s="166" t="s">
        <v>3459</v>
      </c>
      <c r="N369" s="167">
        <v>539405.94</v>
      </c>
      <c r="O369" s="167">
        <v>544800</v>
      </c>
      <c r="P369" s="167">
        <v>539405.94</v>
      </c>
      <c r="Q369" s="167"/>
      <c r="R369" s="167">
        <f t="shared" si="37"/>
        <v>539405.94</v>
      </c>
      <c r="S369" s="178">
        <f>IFERROR(VLOOKUP(G369,'附表8-合同明细采集底稿'!B:N,12,0),100%)</f>
        <v>1</v>
      </c>
      <c r="T369" s="167">
        <f t="shared" si="34"/>
        <v>539405.94</v>
      </c>
      <c r="U369" s="157" t="s">
        <v>2416</v>
      </c>
      <c r="V369" s="179" t="s">
        <v>374</v>
      </c>
      <c r="W369" s="182">
        <f>ROUND(T369*成本分摊比例!$G$13/(成本分摊比例!$G$13+成本分摊比例!$H$13+成本分摊比例!$I$13),2)</f>
        <v>291441.99</v>
      </c>
      <c r="X369" s="182">
        <f>ROUND(T369*成本分摊比例!$H$13/(成本分摊比例!$G$13+成本分摊比例!$H$13+成本分摊比例!$I$13),2)</f>
        <v>192826.05</v>
      </c>
      <c r="Y369" s="182">
        <f t="shared" si="41"/>
        <v>55137.9</v>
      </c>
      <c r="Z369" s="183" t="s">
        <v>2406</v>
      </c>
      <c r="AA369" s="157"/>
      <c r="AB369" s="184" t="s">
        <v>2319</v>
      </c>
      <c r="AC369" s="132">
        <f t="shared" si="35"/>
        <v>0</v>
      </c>
    </row>
    <row r="370" s="132" customFormat="1" ht="24" customHeight="1" spans="1:29">
      <c r="A370" s="150">
        <v>364</v>
      </c>
      <c r="B370" s="166" t="s">
        <v>3460</v>
      </c>
      <c r="C370" s="166" t="s">
        <v>3461</v>
      </c>
      <c r="D370" s="157" t="s">
        <v>2533</v>
      </c>
      <c r="E370" s="158" t="s">
        <v>2534</v>
      </c>
      <c r="F370" s="189" t="s">
        <v>3462</v>
      </c>
      <c r="G370" s="156" t="s">
        <v>3463</v>
      </c>
      <c r="H370" s="157" t="str">
        <f>IF(G370="","",VLOOKUP(G370,'附表8-合同明细采集底稿'!B:I,2,0))</f>
        <v>极舍定制（样板间）</v>
      </c>
      <c r="I370" s="165" t="str">
        <f>IF(G370="","",VLOOKUP(G370,'附表8-合同明细采集底稿'!B:I,3,0))</f>
        <v>其他合同</v>
      </c>
      <c r="J370" s="187" t="s">
        <v>3464</v>
      </c>
      <c r="K370" s="157" t="s">
        <v>2335</v>
      </c>
      <c r="L370" s="168" t="s">
        <v>2336</v>
      </c>
      <c r="M370" s="166">
        <v>60739875</v>
      </c>
      <c r="N370" s="167">
        <v>32500</v>
      </c>
      <c r="O370" s="167">
        <v>32500</v>
      </c>
      <c r="P370" s="167">
        <v>32500</v>
      </c>
      <c r="Q370" s="167"/>
      <c r="R370" s="167">
        <f t="shared" si="37"/>
        <v>32500</v>
      </c>
      <c r="S370" s="178">
        <f>IFERROR(VLOOKUP(G370,'附表8-合同明细采集底稿'!B:N,12,0),100%)</f>
        <v>1</v>
      </c>
      <c r="T370" s="167">
        <f t="shared" si="34"/>
        <v>32500</v>
      </c>
      <c r="U370" s="157" t="s">
        <v>2416</v>
      </c>
      <c r="V370" s="179" t="s">
        <v>374</v>
      </c>
      <c r="W370" s="182">
        <f>ROUND(T370*成本分摊比例!$G$13/(成本分摊比例!$G$13+成本分摊比例!$H$13+成本分摊比例!$I$13),2)</f>
        <v>17559.81</v>
      </c>
      <c r="X370" s="182">
        <f>ROUND(T370*成本分摊比例!$H$13/(成本分摊比例!$G$13+成本分摊比例!$H$13+成本分摊比例!$I$13),2)</f>
        <v>11618.05</v>
      </c>
      <c r="Y370" s="182">
        <f t="shared" si="41"/>
        <v>3322.14</v>
      </c>
      <c r="Z370" s="183" t="s">
        <v>2406</v>
      </c>
      <c r="AA370" s="157"/>
      <c r="AB370" s="184" t="s">
        <v>2319</v>
      </c>
      <c r="AC370" s="132">
        <f t="shared" si="35"/>
        <v>0</v>
      </c>
    </row>
    <row r="371" s="132" customFormat="1" ht="24" customHeight="1" spans="1:29">
      <c r="A371" s="150">
        <v>365</v>
      </c>
      <c r="B371" s="166" t="s">
        <v>3460</v>
      </c>
      <c r="C371" s="166" t="s">
        <v>3094</v>
      </c>
      <c r="D371" s="157" t="s">
        <v>2346</v>
      </c>
      <c r="E371" s="158" t="s">
        <v>2347</v>
      </c>
      <c r="F371" s="189" t="s">
        <v>3465</v>
      </c>
      <c r="G371" s="156" t="s">
        <v>2776</v>
      </c>
      <c r="H371" s="157" t="str">
        <f>IF(G371="","",VLOOKUP(G371,'附表8-合同明细采集底稿'!B:I,2,0))</f>
        <v>美的智能锁购销合同</v>
      </c>
      <c r="I371" s="165" t="str">
        <f>IF(G371="","",VLOOKUP(G371,'附表8-合同明细采集底稿'!B:I,3,0))</f>
        <v>其他合同</v>
      </c>
      <c r="J371" s="169" t="s">
        <v>2609</v>
      </c>
      <c r="K371" s="157" t="s">
        <v>2355</v>
      </c>
      <c r="L371" s="166">
        <v>6500193130</v>
      </c>
      <c r="M371" s="555" t="s">
        <v>3466</v>
      </c>
      <c r="N371" s="167">
        <v>74670.8</v>
      </c>
      <c r="O371" s="167">
        <v>84378</v>
      </c>
      <c r="P371" s="167">
        <v>74670.8</v>
      </c>
      <c r="Q371" s="167"/>
      <c r="R371" s="167">
        <f t="shared" si="37"/>
        <v>74670.8</v>
      </c>
      <c r="S371" s="178">
        <f>IFERROR(VLOOKUP(G371,'附表8-合同明细采集底稿'!B:N,12,0),100%)</f>
        <v>1</v>
      </c>
      <c r="T371" s="167">
        <f t="shared" si="34"/>
        <v>74670.8</v>
      </c>
      <c r="U371" s="157" t="s">
        <v>2416</v>
      </c>
      <c r="V371" s="179" t="s">
        <v>374</v>
      </c>
      <c r="W371" s="182">
        <f>ROUND(T371*成本分摊比例!$G$13/(成本分摊比例!$G$13+成本分摊比例!$H$13+成本分摊比例!$I$13),2)</f>
        <v>40344.77</v>
      </c>
      <c r="X371" s="182">
        <f>ROUND(T371*成本分摊比例!$H$13/(成本分摊比例!$G$13+成本分摊比例!$H$13+成本分摊比例!$I$13),2)</f>
        <v>26693.21</v>
      </c>
      <c r="Y371" s="182">
        <f t="shared" si="41"/>
        <v>7632.82000000001</v>
      </c>
      <c r="Z371" s="183" t="s">
        <v>2406</v>
      </c>
      <c r="AA371" s="157"/>
      <c r="AB371" s="184" t="s">
        <v>2319</v>
      </c>
      <c r="AC371" s="132">
        <f t="shared" si="35"/>
        <v>0</v>
      </c>
    </row>
    <row r="372" s="132" customFormat="1" ht="24" customHeight="1" spans="1:29">
      <c r="A372" s="150">
        <v>366</v>
      </c>
      <c r="B372" s="166" t="s">
        <v>3467</v>
      </c>
      <c r="C372" s="166" t="s">
        <v>3468</v>
      </c>
      <c r="D372" s="157" t="s">
        <v>2470</v>
      </c>
      <c r="E372" s="158" t="s">
        <v>3314</v>
      </c>
      <c r="F372" s="189" t="s">
        <v>3469</v>
      </c>
      <c r="G372" s="156"/>
      <c r="H372" s="157"/>
      <c r="I372" s="165"/>
      <c r="J372" s="187"/>
      <c r="K372" s="157" t="s">
        <v>2317</v>
      </c>
      <c r="L372" s="166"/>
      <c r="M372" s="166"/>
      <c r="N372" s="167">
        <v>47675.99</v>
      </c>
      <c r="O372" s="167">
        <v>47675.99</v>
      </c>
      <c r="P372" s="167">
        <v>47675.99</v>
      </c>
      <c r="Q372" s="167"/>
      <c r="R372" s="167">
        <f t="shared" si="37"/>
        <v>47675.99</v>
      </c>
      <c r="S372" s="202">
        <v>0.338555832480367</v>
      </c>
      <c r="T372" s="167">
        <f t="shared" si="34"/>
        <v>16140.98</v>
      </c>
      <c r="U372" s="157" t="s">
        <v>2344</v>
      </c>
      <c r="V372" s="179" t="s">
        <v>375</v>
      </c>
      <c r="W372" s="180">
        <f>IF('附表1-面积统计表'!$D$29=0,"",IF(AND(V372="共同成本费用",Z372="总建筑面积法"),ROUND(T372/'附表1-面积统计表'!$D$29*'附表1-面积统计表'!$D$5,2),IF(AND(V372="共同成本费用",Z372="可售建筑面积法"),ROUND(T372/'附表1-面积统计表'!$F$29*'附表1-面积统计表'!$F$5,2),"请手工填写")))</f>
        <v>7819.71</v>
      </c>
      <c r="X372" s="180">
        <f>IF(SUM('附表1-面积统计表'!$D$6)=0,"",SUM(T372)-SUM(W372)-SUM(Y372))</f>
        <v>5173.73</v>
      </c>
      <c r="Y372" s="180">
        <f>IF(SUM('附表1-面积统计表'!$D$6)=0,SUM(T372)-SUM(W372),IF('附表1-面积统计表'!$D$29=0,"",IF(AND(V372="共同成本费用",Z372="总建筑面积法"),ROUND(T372/'附表1-面积统计表'!$D$29*'附表1-面积统计表'!$D$7,2),IF(AND(V372="共同成本费用",Z372="可售建筑面积法"),ROUND(T372/'附表1-面积统计表'!$F$29*'附表1-面积统计表'!$F$7,2),"请手工填写"))))</f>
        <v>3147.54</v>
      </c>
      <c r="Z372" s="183" t="s">
        <v>351</v>
      </c>
      <c r="AA372" s="157"/>
      <c r="AB372" s="184" t="s">
        <v>2319</v>
      </c>
      <c r="AC372" s="132">
        <f t="shared" si="35"/>
        <v>0</v>
      </c>
    </row>
    <row r="373" s="132" customFormat="1" ht="24" customHeight="1" spans="1:29">
      <c r="A373" s="150">
        <v>367</v>
      </c>
      <c r="B373" s="166" t="s">
        <v>3467</v>
      </c>
      <c r="C373" s="166" t="s">
        <v>3350</v>
      </c>
      <c r="D373" s="157" t="s">
        <v>2470</v>
      </c>
      <c r="E373" s="158" t="s">
        <v>3314</v>
      </c>
      <c r="F373" s="189" t="s">
        <v>3470</v>
      </c>
      <c r="G373" s="156"/>
      <c r="H373" s="157"/>
      <c r="I373" s="165"/>
      <c r="J373" s="187"/>
      <c r="K373" s="157" t="s">
        <v>2317</v>
      </c>
      <c r="L373" s="166"/>
      <c r="M373" s="166"/>
      <c r="N373" s="167">
        <v>3561.96</v>
      </c>
      <c r="O373" s="167">
        <v>3561.96</v>
      </c>
      <c r="P373" s="167">
        <v>3561.96</v>
      </c>
      <c r="Q373" s="167"/>
      <c r="R373" s="167">
        <f t="shared" si="37"/>
        <v>3561.96</v>
      </c>
      <c r="S373" s="202">
        <v>0.338555832480367</v>
      </c>
      <c r="T373" s="167">
        <f t="shared" si="34"/>
        <v>1205.92</v>
      </c>
      <c r="U373" s="157" t="s">
        <v>2344</v>
      </c>
      <c r="V373" s="179" t="s">
        <v>375</v>
      </c>
      <c r="W373" s="180">
        <f>IF('附表1-面积统计表'!$D$29=0,"",IF(AND(V373="共同成本费用",Z373="总建筑面积法"),ROUND(T373/'附表1-面积统计表'!$D$29*'附表1-面积统计表'!$D$5,2),IF(AND(V373="共同成本费用",Z373="可售建筑面积法"),ROUND(T373/'附表1-面积统计表'!$F$29*'附表1-面积统计表'!$F$5,2),"请手工填写")))</f>
        <v>584.22</v>
      </c>
      <c r="X373" s="180">
        <f>IF(SUM('附表1-面积统计表'!$D$6)=0,"",SUM(T373)-SUM(W373)-SUM(Y373))</f>
        <v>386.54</v>
      </c>
      <c r="Y373" s="180">
        <f>IF(SUM('附表1-面积统计表'!$D$6)=0,SUM(T373)-SUM(W373),IF('附表1-面积统计表'!$D$29=0,"",IF(AND(V373="共同成本费用",Z373="总建筑面积法"),ROUND(T373/'附表1-面积统计表'!$D$29*'附表1-面积统计表'!$D$7,2),IF(AND(V373="共同成本费用",Z373="可售建筑面积法"),ROUND(T373/'附表1-面积统计表'!$F$29*'附表1-面积统计表'!$F$7,2),"请手工填写"))))</f>
        <v>235.16</v>
      </c>
      <c r="Z373" s="183" t="s">
        <v>351</v>
      </c>
      <c r="AA373" s="157"/>
      <c r="AB373" s="184" t="s">
        <v>2319</v>
      </c>
      <c r="AC373" s="132">
        <f t="shared" si="35"/>
        <v>0</v>
      </c>
    </row>
    <row r="374" s="132" customFormat="1" ht="24" customHeight="1" spans="1:29">
      <c r="A374" s="150">
        <v>368</v>
      </c>
      <c r="B374" s="166" t="s">
        <v>3471</v>
      </c>
      <c r="C374" s="166" t="s">
        <v>3472</v>
      </c>
      <c r="D374" s="157" t="s">
        <v>2346</v>
      </c>
      <c r="E374" s="158" t="s">
        <v>2418</v>
      </c>
      <c r="F374" s="189" t="s">
        <v>3473</v>
      </c>
      <c r="G374" s="156" t="s">
        <v>3474</v>
      </c>
      <c r="H374" s="157" t="str">
        <f>IF(G374="","",VLOOKUP(G374,'附表8-合同明细采集底稿'!B:I,2,0))</f>
        <v>电线电缆（绿）</v>
      </c>
      <c r="I374" s="165" t="str">
        <f>IF(G374="","",VLOOKUP(G374,'附表8-合同明细采集底稿'!B:I,3,0))</f>
        <v>其他合同</v>
      </c>
      <c r="J374" s="169" t="s">
        <v>3475</v>
      </c>
      <c r="K374" s="157" t="s">
        <v>2355</v>
      </c>
      <c r="L374" s="166">
        <v>1300194130</v>
      </c>
      <c r="M374" s="166">
        <v>29893606</v>
      </c>
      <c r="N374" s="167">
        <v>1334986.72</v>
      </c>
      <c r="O374" s="167">
        <v>1508535</v>
      </c>
      <c r="P374" s="167">
        <v>1334986.72</v>
      </c>
      <c r="Q374" s="167"/>
      <c r="R374" s="167">
        <f t="shared" si="37"/>
        <v>1334986.72</v>
      </c>
      <c r="S374" s="178">
        <f>IFERROR(VLOOKUP(G374,'附表8-合同明细采集底稿'!B:N,12,0),100%)</f>
        <v>1</v>
      </c>
      <c r="T374" s="167">
        <f t="shared" si="34"/>
        <v>1334986.72</v>
      </c>
      <c r="U374" s="157" t="s">
        <v>2344</v>
      </c>
      <c r="V374" s="179" t="s">
        <v>375</v>
      </c>
      <c r="W374" s="180">
        <f>IF('附表1-面积统计表'!$D$29=0,"",IF(AND(V374="共同成本费用",Z374="总建筑面积法"),ROUND(T374/'附表1-面积统计表'!$D$29*'附表1-面积统计表'!$D$5,2),IF(AND(V374="共同成本费用",Z374="可售建筑面积法"),ROUND(T374/'附表1-面积统计表'!$F$29*'附表1-面积统计表'!$F$5,2),"请手工填写")))</f>
        <v>646751.77</v>
      </c>
      <c r="X374" s="180">
        <f>IF(SUM('附表1-面积统计表'!$D$6)=0,"",SUM(T374)-SUM(W374)-SUM(Y374))</f>
        <v>427908.78</v>
      </c>
      <c r="Y374" s="180">
        <f>IF(SUM('附表1-面积统计表'!$D$6)=0,SUM(T374)-SUM(W374),IF('附表1-面积统计表'!$D$29=0,"",IF(AND(V374="共同成本费用",Z374="总建筑面积法"),ROUND(T374/'附表1-面积统计表'!$D$29*'附表1-面积统计表'!$D$7,2),IF(AND(V374="共同成本费用",Z374="可售建筑面积法"),ROUND(T374/'附表1-面积统计表'!$F$29*'附表1-面积统计表'!$F$7,2),"请手工填写"))))</f>
        <v>260326.17</v>
      </c>
      <c r="Z374" s="183" t="s">
        <v>351</v>
      </c>
      <c r="AA374" s="157"/>
      <c r="AB374" s="184" t="s">
        <v>2319</v>
      </c>
      <c r="AC374" s="132">
        <f t="shared" si="35"/>
        <v>0</v>
      </c>
    </row>
    <row r="375" s="132" customFormat="1" ht="24" customHeight="1" spans="1:29">
      <c r="A375" s="150">
        <v>369</v>
      </c>
      <c r="B375" s="166" t="s">
        <v>3471</v>
      </c>
      <c r="C375" s="166" t="s">
        <v>3476</v>
      </c>
      <c r="D375" s="157" t="s">
        <v>2339</v>
      </c>
      <c r="E375" s="158" t="s">
        <v>2523</v>
      </c>
      <c r="F375" s="189" t="s">
        <v>3477</v>
      </c>
      <c r="G375" s="156" t="s">
        <v>3478</v>
      </c>
      <c r="H375" s="157" t="str">
        <f>IF(G375="","",VLOOKUP(G375,'附表8-合同明细采集底稿'!B:I,2,0))</f>
        <v>沁春锦苑绿色建筑环评噪音监测费</v>
      </c>
      <c r="I375" s="165" t="str">
        <f>IF(G375="","",VLOOKUP(G375,'附表8-合同明细采集底稿'!B:I,3,0))</f>
        <v>技术合同</v>
      </c>
      <c r="J375" s="187" t="s">
        <v>3479</v>
      </c>
      <c r="K375" s="157" t="s">
        <v>2335</v>
      </c>
      <c r="L375" s="168" t="s">
        <v>2336</v>
      </c>
      <c r="M375" s="166">
        <v>38207364</v>
      </c>
      <c r="N375" s="167">
        <v>5000</v>
      </c>
      <c r="O375" s="167">
        <v>5000</v>
      </c>
      <c r="P375" s="167">
        <v>5000</v>
      </c>
      <c r="Q375" s="167"/>
      <c r="R375" s="167">
        <f t="shared" si="37"/>
        <v>5000</v>
      </c>
      <c r="S375" s="178">
        <f>IFERROR(VLOOKUP(G375,'附表8-合同明细采集底稿'!B:N,12,0),100%)</f>
        <v>0.3183</v>
      </c>
      <c r="T375" s="167">
        <f t="shared" si="34"/>
        <v>1591.5</v>
      </c>
      <c r="U375" s="157" t="s">
        <v>2470</v>
      </c>
      <c r="V375" s="179" t="s">
        <v>375</v>
      </c>
      <c r="W375" s="180">
        <f>IF('附表1-面积统计表'!$D$29=0,"",IF(AND(V375="共同成本费用",Z375="总建筑面积法"),ROUND(T375/'附表1-面积统计表'!$D$29*'附表1-面积统计表'!$D$5,2),IF(AND(V375="共同成本费用",Z375="可售建筑面积法"),ROUND(T375/'附表1-面积统计表'!$F$29*'附表1-面积统计表'!$F$5,2),"请手工填写")))</f>
        <v>771.02</v>
      </c>
      <c r="X375" s="180">
        <f>IF(SUM('附表1-面积统计表'!$D$6)=0,"",SUM(T375)-SUM(W375)-SUM(Y375))</f>
        <v>510.13</v>
      </c>
      <c r="Y375" s="180">
        <f>IF(SUM('附表1-面积统计表'!$D$6)=0,SUM(T375)-SUM(W375),IF('附表1-面积统计表'!$D$29=0,"",IF(AND(V375="共同成本费用",Z375="总建筑面积法"),ROUND(T375/'附表1-面积统计表'!$D$29*'附表1-面积统计表'!$D$7,2),IF(AND(V375="共同成本费用",Z375="可售建筑面积法"),ROUND(T375/'附表1-面积统计表'!$F$29*'附表1-面积统计表'!$F$7,2),"请手工填写"))))</f>
        <v>310.35</v>
      </c>
      <c r="Z375" s="183" t="s">
        <v>351</v>
      </c>
      <c r="AA375" s="157"/>
      <c r="AB375" s="184" t="s">
        <v>2319</v>
      </c>
      <c r="AC375" s="132">
        <f t="shared" si="35"/>
        <v>0</v>
      </c>
    </row>
    <row r="376" s="132" customFormat="1" ht="24" customHeight="1" spans="1:29">
      <c r="A376" s="150">
        <v>370</v>
      </c>
      <c r="B376" s="166" t="s">
        <v>3480</v>
      </c>
      <c r="C376" s="166" t="s">
        <v>3481</v>
      </c>
      <c r="D376" s="157" t="s">
        <v>2533</v>
      </c>
      <c r="E376" s="158" t="s">
        <v>2690</v>
      </c>
      <c r="F376" s="189" t="s">
        <v>3482</v>
      </c>
      <c r="G376" s="156"/>
      <c r="H376" s="157" t="str">
        <f>IF(G376="","",VLOOKUP(G376,'附表8-合同明细采集底稿'!B:I,2,0))</f>
        <v/>
      </c>
      <c r="I376" s="165" t="str">
        <f>IF(G376="","",VLOOKUP(G376,'附表8-合同明细采集底稿'!B:I,3,0))</f>
        <v/>
      </c>
      <c r="J376" s="187" t="s">
        <v>3280</v>
      </c>
      <c r="K376" s="157" t="s">
        <v>2335</v>
      </c>
      <c r="L376" s="168" t="s">
        <v>2336</v>
      </c>
      <c r="M376" s="166">
        <v>90320615</v>
      </c>
      <c r="N376" s="167">
        <v>85000</v>
      </c>
      <c r="O376" s="167">
        <v>85000</v>
      </c>
      <c r="P376" s="167">
        <v>85000</v>
      </c>
      <c r="Q376" s="167"/>
      <c r="R376" s="167">
        <f t="shared" si="37"/>
        <v>85000</v>
      </c>
      <c r="S376" s="178">
        <v>1</v>
      </c>
      <c r="T376" s="167">
        <f t="shared" si="34"/>
        <v>85000</v>
      </c>
      <c r="U376" s="157" t="s">
        <v>2405</v>
      </c>
      <c r="V376" s="179" t="s">
        <v>374</v>
      </c>
      <c r="W376" s="181">
        <v>0</v>
      </c>
      <c r="X376" s="181">
        <v>0</v>
      </c>
      <c r="Y376" s="181">
        <v>85000</v>
      </c>
      <c r="Z376" s="183" t="s">
        <v>2406</v>
      </c>
      <c r="AA376" s="157"/>
      <c r="AB376" s="184" t="s">
        <v>2319</v>
      </c>
      <c r="AC376" s="132">
        <f t="shared" si="35"/>
        <v>0</v>
      </c>
    </row>
    <row r="377" s="132" customFormat="1" ht="24" customHeight="1" spans="1:29">
      <c r="A377" s="150">
        <v>371</v>
      </c>
      <c r="B377" s="166" t="s">
        <v>3480</v>
      </c>
      <c r="C377" s="166" t="s">
        <v>3483</v>
      </c>
      <c r="D377" s="157" t="s">
        <v>2533</v>
      </c>
      <c r="E377" s="158" t="s">
        <v>2564</v>
      </c>
      <c r="F377" s="189" t="s">
        <v>3484</v>
      </c>
      <c r="G377" s="156" t="s">
        <v>3485</v>
      </c>
      <c r="H377" s="157" t="str">
        <f>IF(G377="","",VLOOKUP(G377,'附表8-合同明细采集底稿'!B:I,2,0))</f>
        <v>产品定制合同</v>
      </c>
      <c r="I377" s="165" t="str">
        <f>IF(G377="","",VLOOKUP(G377,'附表8-合同明细采集底稿'!B:I,3,0))</f>
        <v>其他合同</v>
      </c>
      <c r="J377" s="187" t="s">
        <v>3486</v>
      </c>
      <c r="K377" s="157" t="s">
        <v>2335</v>
      </c>
      <c r="L377" s="168" t="s">
        <v>2336</v>
      </c>
      <c r="M377" s="166">
        <v>45391611</v>
      </c>
      <c r="N377" s="167">
        <v>36000</v>
      </c>
      <c r="O377" s="167">
        <v>36000</v>
      </c>
      <c r="P377" s="167">
        <v>36000</v>
      </c>
      <c r="Q377" s="167">
        <v>-36000</v>
      </c>
      <c r="R377" s="167">
        <f t="shared" si="37"/>
        <v>0</v>
      </c>
      <c r="S377" s="178">
        <f>IFERROR(VLOOKUP(G377,'附表8-合同明细采集底稿'!B:N,12,0),100%)</f>
        <v>1</v>
      </c>
      <c r="T377" s="167">
        <f t="shared" si="34"/>
        <v>0</v>
      </c>
      <c r="U377" s="157" t="s">
        <v>3077</v>
      </c>
      <c r="V377" s="179" t="s">
        <v>375</v>
      </c>
      <c r="W377" s="180">
        <f>IF('附表1-面积统计表'!$D$29=0,"",IF(AND(V377="共同成本费用",Z377="总建筑面积法"),ROUND(T377/'附表1-面积统计表'!$D$29*'附表1-面积统计表'!$D$5,2),IF(AND(V377="共同成本费用",Z377="可售建筑面积法"),ROUND(T377/'附表1-面积统计表'!$F$29*'附表1-面积统计表'!$F$5,2),"请手工填写")))</f>
        <v>0</v>
      </c>
      <c r="X377" s="180">
        <f>IF(SUM('附表1-面积统计表'!$D$6)=0,"",SUM(T377)-SUM(W377)-SUM(Y377))</f>
        <v>0</v>
      </c>
      <c r="Y377" s="180">
        <f>IF(SUM('附表1-面积统计表'!$D$6)=0,SUM(T377)-SUM(W377),IF('附表1-面积统计表'!$D$29=0,"",IF(AND(V377="共同成本费用",Z377="总建筑面积法"),ROUND(T377/'附表1-面积统计表'!$D$29*'附表1-面积统计表'!$D$7,2),IF(AND(V377="共同成本费用",Z377="可售建筑面积法"),ROUND(T377/'附表1-面积统计表'!$F$29*'附表1-面积统计表'!$F$7,2),"请手工填写"))))</f>
        <v>0</v>
      </c>
      <c r="Z377" s="183" t="s">
        <v>351</v>
      </c>
      <c r="AA377" s="157"/>
      <c r="AB377" s="184" t="s">
        <v>2319</v>
      </c>
      <c r="AC377" s="132">
        <f t="shared" si="35"/>
        <v>0</v>
      </c>
    </row>
    <row r="378" s="132" customFormat="1" ht="24" customHeight="1" spans="1:29">
      <c r="A378" s="150">
        <v>372</v>
      </c>
      <c r="B378" s="166" t="s">
        <v>3487</v>
      </c>
      <c r="C378" s="166" t="s">
        <v>3379</v>
      </c>
      <c r="D378" s="157" t="s">
        <v>2533</v>
      </c>
      <c r="E378" s="158" t="s">
        <v>2564</v>
      </c>
      <c r="F378" s="189" t="s">
        <v>3488</v>
      </c>
      <c r="G378" s="156" t="s">
        <v>2900</v>
      </c>
      <c r="H378" s="157" t="str">
        <f>IF(G378="","",VLOOKUP(G378,'附表8-合同明细采集底稿'!B:I,2,0))</f>
        <v>沁春锦苑25、26、28#施工协议</v>
      </c>
      <c r="I378" s="165" t="str">
        <f>IF(G378="","",VLOOKUP(G378,'附表8-合同明细采集底稿'!B:I,3,0))</f>
        <v>建设工程合同</v>
      </c>
      <c r="J378" s="187" t="s">
        <v>144</v>
      </c>
      <c r="K378" s="157" t="s">
        <v>2355</v>
      </c>
      <c r="L378" s="166">
        <v>6500193130</v>
      </c>
      <c r="M378" s="555" t="s">
        <v>3489</v>
      </c>
      <c r="N378" s="167">
        <v>328852.57</v>
      </c>
      <c r="O378" s="167">
        <v>358449.3</v>
      </c>
      <c r="P378" s="167">
        <v>328852.57</v>
      </c>
      <c r="Q378" s="167"/>
      <c r="R378" s="167">
        <f t="shared" si="37"/>
        <v>328852.57</v>
      </c>
      <c r="S378" s="178">
        <f>IFERROR(VLOOKUP(G378,'附表8-合同明细采集底稿'!B:N,12,0),100%)</f>
        <v>1</v>
      </c>
      <c r="T378" s="167">
        <f t="shared" si="34"/>
        <v>328852.57</v>
      </c>
      <c r="U378" s="157" t="s">
        <v>2416</v>
      </c>
      <c r="V378" s="179" t="s">
        <v>374</v>
      </c>
      <c r="W378" s="182">
        <f>ROUND(T378*成本分摊比例!$G$13/(成本分摊比例!$G$13+成本分摊比例!$H$13+成本分摊比例!$I$13),2)</f>
        <v>177679.63</v>
      </c>
      <c r="X378" s="182">
        <f>ROUND(T378*成本分摊比例!$H$13/(成本分摊比例!$G$13+成本分摊比例!$H$13+成本分摊比例!$I$13),2)</f>
        <v>117557.74</v>
      </c>
      <c r="Y378" s="182">
        <f t="shared" ref="Y378:Y382" si="42">T378-W378-X378</f>
        <v>33615.2</v>
      </c>
      <c r="Z378" s="183" t="s">
        <v>2406</v>
      </c>
      <c r="AA378" s="157"/>
      <c r="AB378" s="184" t="s">
        <v>2319</v>
      </c>
      <c r="AC378" s="132">
        <f t="shared" si="35"/>
        <v>0</v>
      </c>
    </row>
    <row r="379" s="132" customFormat="1" ht="24" customHeight="1" spans="1:29">
      <c r="A379" s="150">
        <v>373</v>
      </c>
      <c r="B379" s="166" t="s">
        <v>3487</v>
      </c>
      <c r="C379" s="166" t="s">
        <v>3385</v>
      </c>
      <c r="D379" s="157" t="s">
        <v>2346</v>
      </c>
      <c r="E379" s="158" t="s">
        <v>2453</v>
      </c>
      <c r="F379" s="189" t="s">
        <v>3490</v>
      </c>
      <c r="G379" s="156" t="s">
        <v>3246</v>
      </c>
      <c r="H379" s="157" t="str">
        <f>IF(G379="","",VLOOKUP(G379,'附表8-合同明细采集底稿'!B:I,2,0))</f>
        <v>沁春锦苑一期二批次景观绿化（25-30#）+提升附属合同</v>
      </c>
      <c r="I379" s="165" t="str">
        <f>IF(G379="","",VLOOKUP(G379,'附表8-合同明细采集底稿'!B:I,3,0))</f>
        <v>其他合同</v>
      </c>
      <c r="J379" s="169" t="s">
        <v>2498</v>
      </c>
      <c r="K379" s="157" t="s">
        <v>2355</v>
      </c>
      <c r="L379" s="191">
        <v>6500201130</v>
      </c>
      <c r="M379" s="555" t="s">
        <v>3491</v>
      </c>
      <c r="N379" s="167">
        <v>917431.2</v>
      </c>
      <c r="O379" s="167">
        <v>1000000.01</v>
      </c>
      <c r="P379" s="167">
        <v>917431.2</v>
      </c>
      <c r="Q379" s="167"/>
      <c r="R379" s="167">
        <f t="shared" si="37"/>
        <v>917431.2</v>
      </c>
      <c r="S379" s="178">
        <f>IFERROR(VLOOKUP(G379,'附表8-合同明细采集底稿'!B:N,12,0),100%)</f>
        <v>1</v>
      </c>
      <c r="T379" s="167">
        <f t="shared" si="34"/>
        <v>917431.2</v>
      </c>
      <c r="U379" s="157" t="s">
        <v>2344</v>
      </c>
      <c r="V379" s="179" t="s">
        <v>375</v>
      </c>
      <c r="W379" s="180">
        <f>IF('附表1-面积统计表'!$D$29=0,"",IF(AND(V379="共同成本费用",Z379="总建筑面积法"),ROUND(T379/'附表1-面积统计表'!$D$29*'附表1-面积统计表'!$D$5,2),IF(AND(V379="共同成本费用",Z379="可售建筑面积法"),ROUND(T379/'附表1-面积统计表'!$F$29*'附表1-面积统计表'!$F$5,2),"请手工填写")))</f>
        <v>444461.54</v>
      </c>
      <c r="X379" s="180">
        <f>IF(SUM('附表1-面积统计表'!$D$6)=0,"",SUM(T379)-SUM(W379)-SUM(Y379))</f>
        <v>294067.99</v>
      </c>
      <c r="Y379" s="180">
        <f>IF(SUM('附表1-面积统计表'!$D$6)=0,SUM(T379)-SUM(W379),IF('附表1-面积统计表'!$D$29=0,"",IF(AND(V379="共同成本费用",Z379="总建筑面积法"),ROUND(T379/'附表1-面积统计表'!$D$29*'附表1-面积统计表'!$D$7,2),IF(AND(V379="共同成本费用",Z379="可售建筑面积法"),ROUND(T379/'附表1-面积统计表'!$F$29*'附表1-面积统计表'!$F$7,2),"请手工填写"))))</f>
        <v>178901.67</v>
      </c>
      <c r="Z379" s="183" t="s">
        <v>351</v>
      </c>
      <c r="AA379" s="157"/>
      <c r="AB379" s="184" t="s">
        <v>2319</v>
      </c>
      <c r="AC379" s="132">
        <f t="shared" si="35"/>
        <v>0</v>
      </c>
    </row>
    <row r="380" s="132" customFormat="1" ht="24" customHeight="1" spans="1:29">
      <c r="A380" s="150">
        <v>374</v>
      </c>
      <c r="B380" s="166" t="s">
        <v>3492</v>
      </c>
      <c r="C380" s="166" t="s">
        <v>3493</v>
      </c>
      <c r="D380" s="157" t="s">
        <v>2346</v>
      </c>
      <c r="E380" s="158" t="s">
        <v>2506</v>
      </c>
      <c r="F380" s="189" t="s">
        <v>3494</v>
      </c>
      <c r="G380" s="156"/>
      <c r="H380" s="157" t="str">
        <f>IF(G380="","",VLOOKUP(G380,'附表8-合同明细采集底稿'!B:I,2,0))</f>
        <v/>
      </c>
      <c r="I380" s="165" t="str">
        <f>IF(G380="","",VLOOKUP(G380,'附表8-合同明细采集底稿'!B:I,3,0))</f>
        <v/>
      </c>
      <c r="J380" s="169" t="s">
        <v>3495</v>
      </c>
      <c r="K380" s="157" t="s">
        <v>2335</v>
      </c>
      <c r="L380" s="168" t="s">
        <v>2336</v>
      </c>
      <c r="M380" s="166">
        <v>38255053</v>
      </c>
      <c r="N380" s="167">
        <v>8800</v>
      </c>
      <c r="O380" s="167">
        <v>8800</v>
      </c>
      <c r="P380" s="167">
        <v>8800</v>
      </c>
      <c r="Q380" s="167">
        <v>-8800</v>
      </c>
      <c r="R380" s="167">
        <f t="shared" si="37"/>
        <v>0</v>
      </c>
      <c r="S380" s="178">
        <v>1</v>
      </c>
      <c r="T380" s="167">
        <f t="shared" si="34"/>
        <v>0</v>
      </c>
      <c r="U380" s="157" t="s">
        <v>2405</v>
      </c>
      <c r="V380" s="179" t="s">
        <v>374</v>
      </c>
      <c r="W380" s="181">
        <v>0</v>
      </c>
      <c r="X380" s="181">
        <v>0</v>
      </c>
      <c r="Y380" s="181"/>
      <c r="Z380" s="183" t="s">
        <v>2406</v>
      </c>
      <c r="AA380" s="157"/>
      <c r="AB380" s="184" t="s">
        <v>2319</v>
      </c>
      <c r="AC380" s="132">
        <f t="shared" si="35"/>
        <v>0</v>
      </c>
    </row>
    <row r="381" s="132" customFormat="1" ht="24" customHeight="1" spans="1:29">
      <c r="A381" s="150">
        <v>375</v>
      </c>
      <c r="B381" s="166" t="s">
        <v>3496</v>
      </c>
      <c r="C381" s="166" t="s">
        <v>3497</v>
      </c>
      <c r="D381" s="157" t="s">
        <v>2533</v>
      </c>
      <c r="E381" s="158" t="s">
        <v>2564</v>
      </c>
      <c r="F381" s="189" t="s">
        <v>3498</v>
      </c>
      <c r="G381" s="156" t="s">
        <v>2900</v>
      </c>
      <c r="H381" s="157" t="str">
        <f>IF(G381="","",VLOOKUP(G381,'附表8-合同明细采集底稿'!B:I,2,0))</f>
        <v>沁春锦苑25、26、28#施工协议</v>
      </c>
      <c r="I381" s="165" t="str">
        <f>IF(G381="","",VLOOKUP(G381,'附表8-合同明细采集底稿'!B:I,3,0))</f>
        <v>建设工程合同</v>
      </c>
      <c r="J381" s="187" t="s">
        <v>144</v>
      </c>
      <c r="K381" s="157" t="s">
        <v>2355</v>
      </c>
      <c r="L381" s="191">
        <v>6500193130</v>
      </c>
      <c r="M381" s="166">
        <v>39553627</v>
      </c>
      <c r="N381" s="167">
        <v>596615.78</v>
      </c>
      <c r="O381" s="167">
        <v>650311.2</v>
      </c>
      <c r="P381" s="167">
        <v>596615.78</v>
      </c>
      <c r="Q381" s="167"/>
      <c r="R381" s="167">
        <f t="shared" si="37"/>
        <v>596615.78</v>
      </c>
      <c r="S381" s="178">
        <f>IFERROR(VLOOKUP(G381,'附表8-合同明细采集底稿'!B:N,12,0),100%)</f>
        <v>1</v>
      </c>
      <c r="T381" s="167">
        <f t="shared" si="34"/>
        <v>596615.78</v>
      </c>
      <c r="U381" s="157" t="s">
        <v>2416</v>
      </c>
      <c r="V381" s="179" t="s">
        <v>374</v>
      </c>
      <c r="W381" s="182">
        <f>ROUND(T381*成本分摊比例!$G$13/(成本分摊比例!$G$13+成本分摊比例!$H$13+成本分摊比例!$I$13),2)</f>
        <v>322352.57</v>
      </c>
      <c r="X381" s="182">
        <f>ROUND(T381*成本分摊比例!$H$13/(成本分摊比例!$G$13+成本分摊比例!$H$13+成本分摊比例!$I$13),2)</f>
        <v>213277.34</v>
      </c>
      <c r="Y381" s="182">
        <f t="shared" si="42"/>
        <v>60985.87</v>
      </c>
      <c r="Z381" s="183" t="s">
        <v>2406</v>
      </c>
      <c r="AA381" s="157"/>
      <c r="AB381" s="184" t="s">
        <v>2319</v>
      </c>
      <c r="AC381" s="132">
        <f t="shared" si="35"/>
        <v>0</v>
      </c>
    </row>
    <row r="382" s="132" customFormat="1" ht="24" customHeight="1" spans="1:29">
      <c r="A382" s="150">
        <v>376</v>
      </c>
      <c r="B382" s="166" t="s">
        <v>3499</v>
      </c>
      <c r="C382" s="166" t="s">
        <v>3500</v>
      </c>
      <c r="D382" s="157" t="s">
        <v>2533</v>
      </c>
      <c r="E382" s="158" t="s">
        <v>2564</v>
      </c>
      <c r="F382" s="189" t="s">
        <v>3501</v>
      </c>
      <c r="G382" s="156" t="s">
        <v>2919</v>
      </c>
      <c r="H382" s="157" t="str">
        <f>IF(G382="","",VLOOKUP(G382,'附表8-合同明细采集底稿'!B:I,2,0))</f>
        <v>1#19#20#-34#35#)室外</v>
      </c>
      <c r="I382" s="165" t="str">
        <f>IF(G382="","",VLOOKUP(G382,'附表8-合同明细采集底稿'!B:I,3,0))</f>
        <v>其他合同</v>
      </c>
      <c r="J382" s="169" t="s">
        <v>2920</v>
      </c>
      <c r="K382" s="157" t="s">
        <v>2355</v>
      </c>
      <c r="L382" s="166">
        <v>6500193130</v>
      </c>
      <c r="M382" s="555" t="s">
        <v>3502</v>
      </c>
      <c r="N382" s="167">
        <v>779816.51</v>
      </c>
      <c r="O382" s="167">
        <v>850000</v>
      </c>
      <c r="P382" s="167">
        <v>779816.51</v>
      </c>
      <c r="Q382" s="167"/>
      <c r="R382" s="167">
        <f t="shared" si="37"/>
        <v>779816.51</v>
      </c>
      <c r="S382" s="178">
        <f>IFERROR(VLOOKUP(G382,'附表8-合同明细采集底稿'!B:N,12,0),100%)</f>
        <v>1</v>
      </c>
      <c r="T382" s="167">
        <f t="shared" si="34"/>
        <v>779816.51</v>
      </c>
      <c r="U382" s="157" t="s">
        <v>2416</v>
      </c>
      <c r="V382" s="179" t="s">
        <v>374</v>
      </c>
      <c r="W382" s="182">
        <f>ROUND(T382*成本分摊比例!$G$13/(成本分摊比例!$G$13+成本分摊比例!$H$13+成本分摊比例!$I$13),2)</f>
        <v>421336.25</v>
      </c>
      <c r="X382" s="182">
        <f>ROUND(T382*成本分摊比例!$H$13/(成本分摊比例!$G$13+成本分摊比例!$H$13+成本分摊比例!$I$13),2)</f>
        <v>278767.66</v>
      </c>
      <c r="Y382" s="182">
        <f t="shared" si="42"/>
        <v>79712.6</v>
      </c>
      <c r="Z382" s="183" t="s">
        <v>2406</v>
      </c>
      <c r="AA382" s="157"/>
      <c r="AB382" s="184" t="s">
        <v>2319</v>
      </c>
      <c r="AC382" s="132">
        <f t="shared" si="35"/>
        <v>0</v>
      </c>
    </row>
    <row r="383" s="132" customFormat="1" ht="24" customHeight="1" spans="1:29">
      <c r="A383" s="150">
        <v>377</v>
      </c>
      <c r="B383" s="166" t="s">
        <v>3499</v>
      </c>
      <c r="C383" s="166" t="s">
        <v>3140</v>
      </c>
      <c r="D383" s="157" t="s">
        <v>2339</v>
      </c>
      <c r="E383" s="158" t="s">
        <v>3503</v>
      </c>
      <c r="F383" s="189" t="s">
        <v>3504</v>
      </c>
      <c r="G383" s="156" t="s">
        <v>3505</v>
      </c>
      <c r="H383" s="157" t="str">
        <f>IF(G383="","",VLOOKUP(G383,'附表8-合同明细采集底稿'!B:I,2,0))</f>
        <v>沁园春锦建设用地土壤氡水平检测</v>
      </c>
      <c r="I383" s="165" t="str">
        <f>IF(G383="","",VLOOKUP(G383,'附表8-合同明细采集底稿'!B:I,3,0))</f>
        <v>技术合同</v>
      </c>
      <c r="J383" s="187" t="s">
        <v>3506</v>
      </c>
      <c r="K383" s="157" t="s">
        <v>2355</v>
      </c>
      <c r="L383" s="166">
        <v>6500193130</v>
      </c>
      <c r="M383" s="555" t="s">
        <v>3507</v>
      </c>
      <c r="N383" s="167">
        <v>33018.87</v>
      </c>
      <c r="O383" s="167">
        <v>35000</v>
      </c>
      <c r="P383" s="167">
        <v>33018.87</v>
      </c>
      <c r="Q383" s="167"/>
      <c r="R383" s="167">
        <f t="shared" si="37"/>
        <v>33018.87</v>
      </c>
      <c r="S383" s="178">
        <f>IFERROR(VLOOKUP(G383,'附表8-合同明细采集底稿'!B:N,12,0),100%)</f>
        <v>0.338555832480367</v>
      </c>
      <c r="T383" s="167">
        <f t="shared" si="34"/>
        <v>11178.73</v>
      </c>
      <c r="U383" s="157" t="s">
        <v>2318</v>
      </c>
      <c r="V383" s="179" t="s">
        <v>375</v>
      </c>
      <c r="W383" s="180">
        <f>IF('附表1-面积统计表'!$D$29=0,"",IF(AND(V383="共同成本费用",Z383="总建筑面积法"),ROUND(T383/'附表1-面积统计表'!$D$29*'附表1-面积统计表'!$D$5,2),IF(AND(V383="共同成本费用",Z383="可售建筑面积法"),ROUND(T383/'附表1-面积统计表'!$F$29*'附表1-面积统计表'!$F$5,2),"请手工填写")))</f>
        <v>5415.68</v>
      </c>
      <c r="X383" s="180">
        <f>IF(SUM('附表1-面积统计表'!$D$6)=0,"",SUM(T383)-SUM(W383)-SUM(Y383))</f>
        <v>3583.17</v>
      </c>
      <c r="Y383" s="180">
        <f>IF(SUM('附表1-面积统计表'!$D$6)=0,SUM(T383)-SUM(W383),IF('附表1-面积统计表'!$D$29=0,"",IF(AND(V383="共同成本费用",Z383="总建筑面积法"),ROUND(T383/'附表1-面积统计表'!$D$29*'附表1-面积统计表'!$D$7,2),IF(AND(V383="共同成本费用",Z383="可售建筑面积法"),ROUND(T383/'附表1-面积统计表'!$F$29*'附表1-面积统计表'!$F$7,2),"请手工填写"))))</f>
        <v>2179.88</v>
      </c>
      <c r="Z383" s="183" t="s">
        <v>351</v>
      </c>
      <c r="AA383" s="157"/>
      <c r="AB383" s="184" t="s">
        <v>2319</v>
      </c>
      <c r="AC383" s="132">
        <f t="shared" si="35"/>
        <v>0</v>
      </c>
    </row>
    <row r="384" s="132" customFormat="1" ht="24" customHeight="1" spans="1:29">
      <c r="A384" s="150">
        <v>378</v>
      </c>
      <c r="B384" s="166" t="s">
        <v>3499</v>
      </c>
      <c r="C384" s="166" t="s">
        <v>3508</v>
      </c>
      <c r="D384" s="157" t="s">
        <v>2346</v>
      </c>
      <c r="E384" s="158" t="s">
        <v>3509</v>
      </c>
      <c r="F384" s="189" t="s">
        <v>3510</v>
      </c>
      <c r="G384" s="156" t="s">
        <v>3511</v>
      </c>
      <c r="H384" s="157" t="str">
        <f>IF(G384="","",VLOOKUP(G384,'附表8-合同明细采集底稿'!B:I,2,0))</f>
        <v>19#-24#35#天然气安装工程委托建设管理协议书</v>
      </c>
      <c r="I384" s="165" t="str">
        <f>IF(G384="","",VLOOKUP(G384,'附表8-合同明细采集底稿'!B:I,3,0))</f>
        <v>其他合同</v>
      </c>
      <c r="J384" s="169" t="s">
        <v>3512</v>
      </c>
      <c r="K384" s="157" t="s">
        <v>2355</v>
      </c>
      <c r="L384" s="166">
        <v>6500193130</v>
      </c>
      <c r="M384" s="555" t="s">
        <v>3513</v>
      </c>
      <c r="N384" s="167">
        <v>649227.34</v>
      </c>
      <c r="O384" s="167">
        <v>707657.8</v>
      </c>
      <c r="P384" s="167">
        <v>649227.34</v>
      </c>
      <c r="Q384" s="167"/>
      <c r="R384" s="167">
        <f t="shared" si="37"/>
        <v>649227.34</v>
      </c>
      <c r="S384" s="178">
        <f>IFERROR(VLOOKUP(G384,'附表8-合同明细采集底稿'!B:N,12,0),100%)</f>
        <v>1</v>
      </c>
      <c r="T384" s="167">
        <f t="shared" si="34"/>
        <v>649227.34</v>
      </c>
      <c r="U384" s="157" t="s">
        <v>2416</v>
      </c>
      <c r="V384" s="179" t="s">
        <v>374</v>
      </c>
      <c r="W384" s="182">
        <f>ROUND(T384*成本分摊比例!$G$13/(成本分摊比例!$G$13+成本分摊比例!$H$13+成本分摊比例!$I$13),2)</f>
        <v>350778.69</v>
      </c>
      <c r="X384" s="182">
        <f>ROUND(T384*成本分摊比例!$H$13/(成本分摊比例!$G$13+成本分摊比例!$H$13+成本分摊比例!$I$13),2)</f>
        <v>232084.84</v>
      </c>
      <c r="Y384" s="182">
        <f t="shared" ref="Y384:Y389" si="43">T384-W384-X384</f>
        <v>66363.81</v>
      </c>
      <c r="Z384" s="183" t="s">
        <v>2406</v>
      </c>
      <c r="AA384" s="157"/>
      <c r="AB384" s="184" t="s">
        <v>2319</v>
      </c>
      <c r="AC384" s="132">
        <f t="shared" si="35"/>
        <v>0</v>
      </c>
    </row>
    <row r="385" s="132" customFormat="1" ht="24" customHeight="1" spans="1:29">
      <c r="A385" s="150">
        <v>379</v>
      </c>
      <c r="B385" s="166" t="s">
        <v>3499</v>
      </c>
      <c r="C385" s="166" t="s">
        <v>3514</v>
      </c>
      <c r="D385" s="157" t="s">
        <v>2533</v>
      </c>
      <c r="E385" s="158" t="s">
        <v>2534</v>
      </c>
      <c r="F385" s="189" t="s">
        <v>3515</v>
      </c>
      <c r="G385" s="156" t="s">
        <v>3516</v>
      </c>
      <c r="H385" s="157" t="str">
        <f>IF(G385="","",VLOOKUP(G385,'附表8-合同明细采集底稿'!B:I,2,0))</f>
        <v>购销合同</v>
      </c>
      <c r="I385" s="165" t="str">
        <f>IF(G385="","",VLOOKUP(G385,'附表8-合同明细采集底稿'!B:I,3,0))</f>
        <v>其他合同</v>
      </c>
      <c r="J385" s="187" t="s">
        <v>3517</v>
      </c>
      <c r="K385" s="157" t="s">
        <v>2335</v>
      </c>
      <c r="L385" s="168" t="s">
        <v>2336</v>
      </c>
      <c r="M385" s="166" t="s">
        <v>3518</v>
      </c>
      <c r="N385" s="167">
        <v>35741</v>
      </c>
      <c r="O385" s="167">
        <v>35741</v>
      </c>
      <c r="P385" s="167">
        <v>35741</v>
      </c>
      <c r="Q385" s="167">
        <v>-35741</v>
      </c>
      <c r="R385" s="167">
        <f t="shared" si="37"/>
        <v>0</v>
      </c>
      <c r="S385" s="178">
        <f>IFERROR(VLOOKUP(G385,'附表8-合同明细采集底稿'!B:N,12,0),100%)</f>
        <v>1</v>
      </c>
      <c r="T385" s="167">
        <f t="shared" si="34"/>
        <v>0</v>
      </c>
      <c r="U385" s="157" t="s">
        <v>3077</v>
      </c>
      <c r="V385" s="179" t="s">
        <v>375</v>
      </c>
      <c r="W385" s="180">
        <f>IF('附表1-面积统计表'!$D$29=0,"",IF(AND(V385="共同成本费用",Z385="总建筑面积法"),ROUND(T385/'附表1-面积统计表'!$D$29*'附表1-面积统计表'!$D$5,2),IF(AND(V385="共同成本费用",Z385="可售建筑面积法"),ROUND(T385/'附表1-面积统计表'!$F$29*'附表1-面积统计表'!$F$5,2),"请手工填写")))</f>
        <v>0</v>
      </c>
      <c r="X385" s="180">
        <f>IF(SUM('附表1-面积统计表'!$D$6)=0,"",SUM(T385)-SUM(W385)-SUM(Y385))</f>
        <v>0</v>
      </c>
      <c r="Y385" s="180">
        <f>IF(SUM('附表1-面积统计表'!$D$6)=0,SUM(T385)-SUM(W385),IF('附表1-面积统计表'!$D$29=0,"",IF(AND(V385="共同成本费用",Z385="总建筑面积法"),ROUND(T385/'附表1-面积统计表'!$D$29*'附表1-面积统计表'!$D$7,2),IF(AND(V385="共同成本费用",Z385="可售建筑面积法"),ROUND(T385/'附表1-面积统计表'!$F$29*'附表1-面积统计表'!$F$7,2),"请手工填写"))))</f>
        <v>0</v>
      </c>
      <c r="Z385" s="183" t="s">
        <v>351</v>
      </c>
      <c r="AA385" s="157"/>
      <c r="AB385" s="184" t="s">
        <v>2319</v>
      </c>
      <c r="AC385" s="132">
        <f t="shared" si="35"/>
        <v>0</v>
      </c>
    </row>
    <row r="386" s="132" customFormat="1" ht="24" customHeight="1" spans="1:29">
      <c r="A386" s="150">
        <v>380</v>
      </c>
      <c r="B386" s="166" t="s">
        <v>3519</v>
      </c>
      <c r="C386" s="166" t="s">
        <v>2914</v>
      </c>
      <c r="D386" s="157" t="s">
        <v>2346</v>
      </c>
      <c r="E386" s="158" t="s">
        <v>2506</v>
      </c>
      <c r="F386" s="189" t="s">
        <v>3520</v>
      </c>
      <c r="G386" s="156"/>
      <c r="H386" s="157" t="str">
        <f>IF(G386="","",VLOOKUP(G386,'附表8-合同明细采集底稿'!B:I,2,0))</f>
        <v/>
      </c>
      <c r="I386" s="165" t="str">
        <f>IF(G386="","",VLOOKUP(G386,'附表8-合同明细采集底稿'!B:I,3,0))</f>
        <v/>
      </c>
      <c r="J386" s="169" t="s">
        <v>3521</v>
      </c>
      <c r="K386" s="157" t="s">
        <v>2355</v>
      </c>
      <c r="L386" s="166">
        <v>6500174130</v>
      </c>
      <c r="M386" s="555" t="s">
        <v>3522</v>
      </c>
      <c r="N386" s="167">
        <v>1814.16</v>
      </c>
      <c r="O386" s="167">
        <v>2050</v>
      </c>
      <c r="P386" s="167">
        <v>1814.16</v>
      </c>
      <c r="Q386" s="167"/>
      <c r="R386" s="167">
        <f t="shared" si="37"/>
        <v>1814.16</v>
      </c>
      <c r="S386" s="178">
        <v>1</v>
      </c>
      <c r="T386" s="167">
        <f t="shared" si="34"/>
        <v>1814.16</v>
      </c>
      <c r="U386" s="157" t="s">
        <v>2416</v>
      </c>
      <c r="V386" s="179" t="s">
        <v>374</v>
      </c>
      <c r="W386" s="182">
        <f>ROUND(T386*成本分摊比例!$G$13/(成本分摊比例!$G$13+成本分摊比例!$H$13+成本分摊比例!$I$13),2)</f>
        <v>980.19</v>
      </c>
      <c r="X386" s="182">
        <f>ROUND(T386*成本分摊比例!$H$13/(成本分摊比例!$G$13+成本分摊比例!$H$13+成本分摊比例!$I$13),2)</f>
        <v>648.52</v>
      </c>
      <c r="Y386" s="182">
        <f t="shared" si="43"/>
        <v>185.45</v>
      </c>
      <c r="Z386" s="183" t="s">
        <v>2406</v>
      </c>
      <c r="AA386" s="157"/>
      <c r="AB386" s="184" t="s">
        <v>2319</v>
      </c>
      <c r="AC386" s="132">
        <f t="shared" si="35"/>
        <v>0</v>
      </c>
    </row>
    <row r="387" s="132" customFormat="1" ht="24" customHeight="1" spans="1:29">
      <c r="A387" s="150">
        <v>381</v>
      </c>
      <c r="B387" s="166" t="s">
        <v>3523</v>
      </c>
      <c r="C387" s="166" t="s">
        <v>3524</v>
      </c>
      <c r="D387" s="157" t="s">
        <v>2470</v>
      </c>
      <c r="E387" s="158" t="s">
        <v>3314</v>
      </c>
      <c r="F387" s="189" t="s">
        <v>3525</v>
      </c>
      <c r="G387" s="156"/>
      <c r="H387" s="157"/>
      <c r="I387" s="165"/>
      <c r="J387" s="187"/>
      <c r="K387" s="157" t="s">
        <v>2317</v>
      </c>
      <c r="L387" s="166"/>
      <c r="M387" s="166"/>
      <c r="N387" s="167">
        <v>2774.08</v>
      </c>
      <c r="O387" s="167">
        <v>2774.08</v>
      </c>
      <c r="P387" s="167">
        <v>2774.08</v>
      </c>
      <c r="Q387" s="167"/>
      <c r="R387" s="167">
        <f t="shared" si="37"/>
        <v>2774.08</v>
      </c>
      <c r="S387" s="202">
        <v>0.338555832480367</v>
      </c>
      <c r="T387" s="167">
        <f t="shared" si="34"/>
        <v>939.18</v>
      </c>
      <c r="U387" s="157" t="s">
        <v>2344</v>
      </c>
      <c r="V387" s="179" t="s">
        <v>375</v>
      </c>
      <c r="W387" s="180">
        <f>IF('附表1-面积统计表'!$D$29=0,"",IF(AND(V387="共同成本费用",Z387="总建筑面积法"),ROUND(T387/'附表1-面积统计表'!$D$29*'附表1-面积统计表'!$D$5,2),IF(AND(V387="共同成本费用",Z387="可售建筑面积法"),ROUND(T387/'附表1-面积统计表'!$F$29*'附表1-面积统计表'!$F$5,2),"请手工填写")))</f>
        <v>455</v>
      </c>
      <c r="X387" s="180">
        <f>IF(SUM('附表1-面积统计表'!$D$6)=0,"",SUM(T387)-SUM(W387)-SUM(Y387))</f>
        <v>301.04</v>
      </c>
      <c r="Y387" s="180">
        <f>IF(SUM('附表1-面积统计表'!$D$6)=0,SUM(T387)-SUM(W387),IF('附表1-面积统计表'!$D$29=0,"",IF(AND(V387="共同成本费用",Z387="总建筑面积法"),ROUND(T387/'附表1-面积统计表'!$D$29*'附表1-面积统计表'!$D$7,2),IF(AND(V387="共同成本费用",Z387="可售建筑面积法"),ROUND(T387/'附表1-面积统计表'!$F$29*'附表1-面积统计表'!$F$7,2),"请手工填写"))))</f>
        <v>183.14</v>
      </c>
      <c r="Z387" s="183" t="s">
        <v>351</v>
      </c>
      <c r="AA387" s="157"/>
      <c r="AB387" s="184" t="s">
        <v>2319</v>
      </c>
      <c r="AC387" s="132">
        <f t="shared" si="35"/>
        <v>0</v>
      </c>
    </row>
    <row r="388" s="132" customFormat="1" ht="24" customHeight="1" spans="1:29">
      <c r="A388" s="150">
        <v>382</v>
      </c>
      <c r="B388" s="166" t="s">
        <v>3523</v>
      </c>
      <c r="C388" s="166" t="s">
        <v>3526</v>
      </c>
      <c r="D388" s="157" t="s">
        <v>2346</v>
      </c>
      <c r="E388" s="158" t="s">
        <v>2501</v>
      </c>
      <c r="F388" s="189" t="s">
        <v>3527</v>
      </c>
      <c r="G388" s="156" t="s">
        <v>3528</v>
      </c>
      <c r="H388" s="157" t="str">
        <f>IF(G388="","",VLOOKUP(G388,'附表8-合同明细采集底稿'!B:I,2,0))</f>
        <v>沁春锦苑20、25-27、29、30#楼7+1露台不锈钢围栏安装合同</v>
      </c>
      <c r="I388" s="165" t="str">
        <f>IF(G388="","",VLOOKUP(G388,'附表8-合同明细采集底稿'!B:I,3,0))</f>
        <v>其他合同</v>
      </c>
      <c r="J388" s="169" t="s">
        <v>3529</v>
      </c>
      <c r="K388" s="157" t="s">
        <v>2355</v>
      </c>
      <c r="L388" s="191">
        <v>6500193130</v>
      </c>
      <c r="M388" s="155" t="s">
        <v>3530</v>
      </c>
      <c r="N388" s="167">
        <v>143097.34</v>
      </c>
      <c r="O388" s="167">
        <v>161700</v>
      </c>
      <c r="P388" s="167">
        <v>143097.34</v>
      </c>
      <c r="Q388" s="167"/>
      <c r="R388" s="167">
        <f t="shared" si="37"/>
        <v>143097.34</v>
      </c>
      <c r="S388" s="178">
        <f>IFERROR(VLOOKUP(G388,'附表8-合同明细采集底稿'!B:N,12,0),100%)</f>
        <v>1</v>
      </c>
      <c r="T388" s="167">
        <f t="shared" si="34"/>
        <v>143097.34</v>
      </c>
      <c r="U388" s="157" t="s">
        <v>2416</v>
      </c>
      <c r="V388" s="179" t="s">
        <v>374</v>
      </c>
      <c r="W388" s="182">
        <f>ROUND(T388*成本分摊比例!$G$13/(成本分摊比例!$G$13+成本分摊比例!$H$13+成本分摊比例!$I$13),2)</f>
        <v>77315.75</v>
      </c>
      <c r="X388" s="182">
        <f>ROUND(T388*成本分摊比例!$H$13/(成本分摊比例!$G$13+成本分摊比例!$H$13+成本分摊比例!$I$13),2)</f>
        <v>51154.23</v>
      </c>
      <c r="Y388" s="182">
        <f t="shared" si="43"/>
        <v>14627.36</v>
      </c>
      <c r="Z388" s="183" t="s">
        <v>2406</v>
      </c>
      <c r="AA388" s="157"/>
      <c r="AB388" s="184" t="s">
        <v>2319</v>
      </c>
      <c r="AC388" s="132">
        <f t="shared" si="35"/>
        <v>0</v>
      </c>
    </row>
    <row r="389" s="132" customFormat="1" ht="24" customHeight="1" spans="1:29">
      <c r="A389" s="150">
        <v>383</v>
      </c>
      <c r="B389" s="166" t="s">
        <v>3523</v>
      </c>
      <c r="C389" s="166" t="s">
        <v>3526</v>
      </c>
      <c r="D389" s="157" t="s">
        <v>2346</v>
      </c>
      <c r="E389" s="158" t="s">
        <v>2501</v>
      </c>
      <c r="F389" s="189" t="s">
        <v>3527</v>
      </c>
      <c r="G389" s="156" t="s">
        <v>3531</v>
      </c>
      <c r="H389" s="157" t="str">
        <f>IF(G389="","",VLOOKUP(G389,'附表8-合同明细采集底稿'!B:I,2,0))</f>
        <v>沁春锦苑19#20#23#24#楼后花园围栏制作</v>
      </c>
      <c r="I389" s="165" t="str">
        <f>IF(G389="","",VLOOKUP(G389,'附表8-合同明细采集底稿'!B:I,3,0))</f>
        <v>其他合同</v>
      </c>
      <c r="J389" s="169" t="s">
        <v>3529</v>
      </c>
      <c r="K389" s="157" t="s">
        <v>2355</v>
      </c>
      <c r="L389" s="166">
        <v>6500193130</v>
      </c>
      <c r="M389" s="554" t="s">
        <v>3532</v>
      </c>
      <c r="N389" s="167">
        <v>55132.74</v>
      </c>
      <c r="O389" s="167">
        <v>62300</v>
      </c>
      <c r="P389" s="167">
        <v>55132.74</v>
      </c>
      <c r="Q389" s="167"/>
      <c r="R389" s="167">
        <f t="shared" si="37"/>
        <v>55132.74</v>
      </c>
      <c r="S389" s="178">
        <f>IFERROR(VLOOKUP(G389,'附表8-合同明细采集底稿'!B:N,12,0),100%)</f>
        <v>1</v>
      </c>
      <c r="T389" s="167">
        <f t="shared" si="34"/>
        <v>55132.74</v>
      </c>
      <c r="U389" s="157" t="s">
        <v>2416</v>
      </c>
      <c r="V389" s="179" t="s">
        <v>374</v>
      </c>
      <c r="W389" s="182">
        <f>ROUND(T389*成本分摊比例!$G$13/(成本分摊比例!$G$13+成本分摊比例!$H$13+成本分摊比例!$I$13),2)</f>
        <v>29788.32</v>
      </c>
      <c r="X389" s="182">
        <f>ROUND(T389*成本分摊比例!$H$13/(成本分摊比例!$G$13+成本分摊比例!$H$13+成本分摊比例!$I$13),2)</f>
        <v>19708.77</v>
      </c>
      <c r="Y389" s="182">
        <f t="shared" si="43"/>
        <v>5635.65</v>
      </c>
      <c r="Z389" s="183" t="s">
        <v>2406</v>
      </c>
      <c r="AA389" s="157"/>
      <c r="AB389" s="184" t="s">
        <v>2319</v>
      </c>
      <c r="AC389" s="132">
        <f t="shared" si="35"/>
        <v>0</v>
      </c>
    </row>
    <row r="390" s="132" customFormat="1" ht="24" customHeight="1" spans="1:29">
      <c r="A390" s="150">
        <v>384</v>
      </c>
      <c r="B390" s="166" t="s">
        <v>3523</v>
      </c>
      <c r="C390" s="166" t="s">
        <v>3094</v>
      </c>
      <c r="D390" s="157" t="s">
        <v>2533</v>
      </c>
      <c r="E390" s="158" t="s">
        <v>2534</v>
      </c>
      <c r="F390" s="189" t="s">
        <v>3533</v>
      </c>
      <c r="G390" s="156"/>
      <c r="H390" s="157" t="str">
        <f>IF(G390="","",VLOOKUP(G390,'附表8-合同明细采集底稿'!B:I,2,0))</f>
        <v/>
      </c>
      <c r="I390" s="165" t="str">
        <f>IF(G390="","",VLOOKUP(G390,'附表8-合同明细采集底稿'!B:I,3,0))</f>
        <v/>
      </c>
      <c r="J390" s="187" t="s">
        <v>3280</v>
      </c>
      <c r="K390" s="157" t="s">
        <v>2335</v>
      </c>
      <c r="L390" s="168" t="s">
        <v>2336</v>
      </c>
      <c r="M390" s="166">
        <v>90320616</v>
      </c>
      <c r="N390" s="167">
        <v>180000</v>
      </c>
      <c r="O390" s="167">
        <v>180000</v>
      </c>
      <c r="P390" s="167">
        <v>180000</v>
      </c>
      <c r="Q390" s="167"/>
      <c r="R390" s="167">
        <f t="shared" si="37"/>
        <v>180000</v>
      </c>
      <c r="S390" s="178">
        <v>1</v>
      </c>
      <c r="T390" s="167">
        <f t="shared" si="34"/>
        <v>180000</v>
      </c>
      <c r="U390" s="157" t="s">
        <v>2405</v>
      </c>
      <c r="V390" s="179" t="s">
        <v>374</v>
      </c>
      <c r="W390" s="181">
        <v>0</v>
      </c>
      <c r="X390" s="181">
        <v>0</v>
      </c>
      <c r="Y390" s="181">
        <v>180000</v>
      </c>
      <c r="Z390" s="183" t="s">
        <v>2406</v>
      </c>
      <c r="AA390" s="157"/>
      <c r="AB390" s="184" t="s">
        <v>2319</v>
      </c>
      <c r="AC390" s="132">
        <f t="shared" si="35"/>
        <v>0</v>
      </c>
    </row>
    <row r="391" s="132" customFormat="1" ht="24" customHeight="1" spans="1:29">
      <c r="A391" s="150">
        <v>385</v>
      </c>
      <c r="B391" s="166" t="s">
        <v>3523</v>
      </c>
      <c r="C391" s="166" t="s">
        <v>3534</v>
      </c>
      <c r="D391" s="157" t="s">
        <v>2346</v>
      </c>
      <c r="E391" s="158" t="s">
        <v>2453</v>
      </c>
      <c r="F391" s="189" t="s">
        <v>3535</v>
      </c>
      <c r="G391" s="156" t="s">
        <v>3246</v>
      </c>
      <c r="H391" s="157" t="str">
        <f>IF(G391="","",VLOOKUP(G391,'附表8-合同明细采集底稿'!B:I,2,0))</f>
        <v>沁春锦苑一期二批次景观绿化（25-30#）+提升附属合同</v>
      </c>
      <c r="I391" s="165" t="str">
        <f>IF(G391="","",VLOOKUP(G391,'附表8-合同明细采集底稿'!B:I,3,0))</f>
        <v>其他合同</v>
      </c>
      <c r="J391" s="169" t="s">
        <v>2498</v>
      </c>
      <c r="K391" s="157" t="s">
        <v>2355</v>
      </c>
      <c r="L391" s="191">
        <v>6500193130</v>
      </c>
      <c r="M391" s="555" t="s">
        <v>3536</v>
      </c>
      <c r="N391" s="167">
        <v>917431.2</v>
      </c>
      <c r="O391" s="167">
        <v>1000000</v>
      </c>
      <c r="P391" s="167">
        <v>917431.2</v>
      </c>
      <c r="Q391" s="167"/>
      <c r="R391" s="167">
        <f t="shared" si="37"/>
        <v>917431.2</v>
      </c>
      <c r="S391" s="178">
        <f>IFERROR(VLOOKUP(G391,'附表8-合同明细采集底稿'!B:N,12,0),100%)</f>
        <v>1</v>
      </c>
      <c r="T391" s="167">
        <f t="shared" si="34"/>
        <v>917431.2</v>
      </c>
      <c r="U391" s="157" t="s">
        <v>2344</v>
      </c>
      <c r="V391" s="179" t="s">
        <v>375</v>
      </c>
      <c r="W391" s="180">
        <f>IF('附表1-面积统计表'!$D$29=0,"",IF(AND(V391="共同成本费用",Z391="总建筑面积法"),ROUND(T391/'附表1-面积统计表'!$D$29*'附表1-面积统计表'!$D$5,2),IF(AND(V391="共同成本费用",Z391="可售建筑面积法"),ROUND(T391/'附表1-面积统计表'!$F$29*'附表1-面积统计表'!$F$5,2),"请手工填写")))</f>
        <v>444461.54</v>
      </c>
      <c r="X391" s="180">
        <f>IF(SUM('附表1-面积统计表'!$D$6)=0,"",SUM(T391)-SUM(W391)-SUM(Y391))</f>
        <v>294067.99</v>
      </c>
      <c r="Y391" s="180">
        <f>IF(SUM('附表1-面积统计表'!$D$6)=0,SUM(T391)-SUM(W391),IF('附表1-面积统计表'!$D$29=0,"",IF(AND(V391="共同成本费用",Z391="总建筑面积法"),ROUND(T391/'附表1-面积统计表'!$D$29*'附表1-面积统计表'!$D$7,2),IF(AND(V391="共同成本费用",Z391="可售建筑面积法"),ROUND(T391/'附表1-面积统计表'!$F$29*'附表1-面积统计表'!$F$7,2),"请手工填写"))))</f>
        <v>178901.67</v>
      </c>
      <c r="Z391" s="183" t="s">
        <v>351</v>
      </c>
      <c r="AA391" s="157"/>
      <c r="AB391" s="184" t="s">
        <v>2319</v>
      </c>
      <c r="AC391" s="132">
        <f t="shared" si="35"/>
        <v>0</v>
      </c>
    </row>
    <row r="392" s="132" customFormat="1" ht="24" customHeight="1" spans="1:29">
      <c r="A392" s="150">
        <v>386</v>
      </c>
      <c r="B392" s="166" t="s">
        <v>3523</v>
      </c>
      <c r="C392" s="166" t="s">
        <v>3537</v>
      </c>
      <c r="D392" s="157" t="s">
        <v>2339</v>
      </c>
      <c r="E392" s="158" t="s">
        <v>2523</v>
      </c>
      <c r="F392" s="189" t="s">
        <v>3538</v>
      </c>
      <c r="G392" s="156" t="s">
        <v>3539</v>
      </c>
      <c r="H392" s="157" t="str">
        <f>IF(G392="","",VLOOKUP(G392,'附表8-合同明细采集底稿'!B:I,2,0))</f>
        <v>沁春锦苑（住宅部分）技术服务合同书</v>
      </c>
      <c r="I392" s="165" t="str">
        <f>IF(G392="","",VLOOKUP(G392,'附表8-合同明细采集底稿'!B:I,3,0))</f>
        <v>其他合同</v>
      </c>
      <c r="J392" s="187" t="s">
        <v>3540</v>
      </c>
      <c r="K392" s="157" t="s">
        <v>2355</v>
      </c>
      <c r="L392" s="166" t="s">
        <v>2367</v>
      </c>
      <c r="M392" s="166" t="s">
        <v>3541</v>
      </c>
      <c r="N392" s="167">
        <v>600000</v>
      </c>
      <c r="O392" s="167">
        <v>600000</v>
      </c>
      <c r="P392" s="167">
        <v>600000</v>
      </c>
      <c r="Q392" s="167">
        <v>400000</v>
      </c>
      <c r="R392" s="167">
        <f t="shared" si="37"/>
        <v>1000000</v>
      </c>
      <c r="S392" s="178">
        <f>IFERROR(VLOOKUP(G392,'附表8-合同明细采集底稿'!B:N,12,0),100%)</f>
        <v>0.3183</v>
      </c>
      <c r="T392" s="167">
        <f t="shared" ref="T392:T456" si="44">ROUND(SUM(R392)*SUM(S392),2)</f>
        <v>318300</v>
      </c>
      <c r="U392" s="157" t="s">
        <v>3542</v>
      </c>
      <c r="V392" s="179" t="s">
        <v>374</v>
      </c>
      <c r="W392" s="182">
        <f>ROUND(T392*成本分摊比例!$G$13/(成本分摊比例!$G$13+成本分摊比例!$H$13+成本分摊比例!$I$13),2)</f>
        <v>171978.06</v>
      </c>
      <c r="X392" s="182">
        <f>ROUND(T392*成本分摊比例!$H$13/(成本分摊比例!$G$13+成本分摊比例!$H$13+成本分摊比例!$I$13),2)</f>
        <v>113785.42</v>
      </c>
      <c r="Y392" s="182">
        <f>T392-W392-X392</f>
        <v>32536.52</v>
      </c>
      <c r="Z392" s="183" t="s">
        <v>2406</v>
      </c>
      <c r="AA392" s="157"/>
      <c r="AB392" s="184" t="s">
        <v>2319</v>
      </c>
      <c r="AC392" s="132">
        <f t="shared" ref="AC392:AC455" si="45">T392-W392-X392-Y392</f>
        <v>0</v>
      </c>
    </row>
    <row r="393" s="132" customFormat="1" ht="24" customHeight="1" spans="1:29">
      <c r="A393" s="150">
        <v>387</v>
      </c>
      <c r="B393" s="166" t="s">
        <v>3523</v>
      </c>
      <c r="C393" s="166" t="s">
        <v>3543</v>
      </c>
      <c r="D393" s="157" t="s">
        <v>2331</v>
      </c>
      <c r="E393" s="158" t="s">
        <v>3544</v>
      </c>
      <c r="F393" s="189" t="s">
        <v>3545</v>
      </c>
      <c r="G393" s="156" t="s">
        <v>3546</v>
      </c>
      <c r="H393" s="157" t="str">
        <f>IF(G393="","",VLOOKUP(G393,'附表8-合同明细采集底稿'!B:I,2,0))</f>
        <v>沁园春锦BIM咨询服务协议</v>
      </c>
      <c r="I393" s="165" t="str">
        <f>IF(G393="","",VLOOKUP(G393,'附表8-合同明细采集底稿'!B:I,3,0))</f>
        <v>技术合同</v>
      </c>
      <c r="J393" s="154" t="s">
        <v>3547</v>
      </c>
      <c r="K393" s="157" t="s">
        <v>2355</v>
      </c>
      <c r="L393" s="166">
        <v>6500193160</v>
      </c>
      <c r="M393" s="555" t="s">
        <v>3548</v>
      </c>
      <c r="N393" s="167">
        <v>99009.9</v>
      </c>
      <c r="O393" s="167">
        <v>100000</v>
      </c>
      <c r="P393" s="167">
        <v>99009.9</v>
      </c>
      <c r="Q393" s="167"/>
      <c r="R393" s="167">
        <f t="shared" si="37"/>
        <v>99009.9</v>
      </c>
      <c r="S393" s="178">
        <f>IFERROR(VLOOKUP(G393,'附表8-合同明细采集底稿'!B:N,12,0),100%)</f>
        <v>0.338555832480367</v>
      </c>
      <c r="T393" s="167">
        <f t="shared" ref="T393:T399" si="46">ROUND(SUM(R393)*SUM(S393),2)</f>
        <v>33520.38</v>
      </c>
      <c r="U393" s="157" t="s">
        <v>2318</v>
      </c>
      <c r="V393" s="179" t="s">
        <v>375</v>
      </c>
      <c r="W393" s="180">
        <f>IF('附表1-面积统计表'!$D$29=0,"",IF(AND(V393="共同成本费用",Z393="总建筑面积法"),ROUND(T393/'附表1-面积统计表'!$D$29*'附表1-面积统计表'!$D$5,2),IF(AND(V393="共同成本费用",Z393="可售建筑面积法"),ROUND(T393/'附表1-面积统计表'!$F$29*'附表1-面积统计表'!$F$5,2),"请手工填写")))</f>
        <v>16239.39</v>
      </c>
      <c r="X393" s="180">
        <f>IF(SUM('附表1-面积统计表'!$D$6)=0,"",SUM(T393)-SUM(W393)-SUM(Y393))</f>
        <v>10744.42</v>
      </c>
      <c r="Y393" s="180">
        <f>IF(SUM('附表1-面积统计表'!$D$6)=0,SUM(T393)-SUM(W393),IF('附表1-面积统计表'!$D$29=0,"",IF(AND(V393="共同成本费用",Z393="总建筑面积法"),ROUND(T393/'附表1-面积统计表'!$D$29*'附表1-面积统计表'!$D$7,2),IF(AND(V393="共同成本费用",Z393="可售建筑面积法"),ROUND(T393/'附表1-面积统计表'!$F$29*'附表1-面积统计表'!$F$7,2),"请手工填写"))))</f>
        <v>6536.57</v>
      </c>
      <c r="Z393" s="183" t="s">
        <v>351</v>
      </c>
      <c r="AA393" s="157"/>
      <c r="AB393" s="184" t="s">
        <v>2319</v>
      </c>
      <c r="AC393" s="132">
        <f t="shared" si="45"/>
        <v>0</v>
      </c>
    </row>
    <row r="394" s="132" customFormat="1" ht="24" customHeight="1" spans="1:29">
      <c r="A394" s="150">
        <v>388</v>
      </c>
      <c r="B394" s="166" t="s">
        <v>3523</v>
      </c>
      <c r="C394" s="166" t="s">
        <v>3549</v>
      </c>
      <c r="D394" s="157" t="s">
        <v>2470</v>
      </c>
      <c r="E394" s="158" t="s">
        <v>2539</v>
      </c>
      <c r="F394" s="189" t="s">
        <v>3550</v>
      </c>
      <c r="G394" s="156"/>
      <c r="H394" s="157" t="str">
        <f>IF(G394="","",VLOOKUP(G394,'附表8-合同明细采集底稿'!B:I,2,0))</f>
        <v/>
      </c>
      <c r="I394" s="165" t="str">
        <f>IF(G394="","",VLOOKUP(G394,'附表8-合同明细采集底稿'!B:I,3,0))</f>
        <v/>
      </c>
      <c r="J394" s="187" t="s">
        <v>2541</v>
      </c>
      <c r="K394" s="157" t="s">
        <v>2335</v>
      </c>
      <c r="L394" s="168" t="s">
        <v>2336</v>
      </c>
      <c r="M394" s="155" t="s">
        <v>3551</v>
      </c>
      <c r="N394" s="167">
        <v>1396.62</v>
      </c>
      <c r="O394" s="167">
        <v>1396.62</v>
      </c>
      <c r="P394" s="167">
        <v>1396.62</v>
      </c>
      <c r="Q394" s="167">
        <v>-1396.62</v>
      </c>
      <c r="R394" s="167">
        <f t="shared" si="37"/>
        <v>0</v>
      </c>
      <c r="S394" s="178">
        <v>1</v>
      </c>
      <c r="T394" s="167">
        <f t="shared" si="46"/>
        <v>0</v>
      </c>
      <c r="U394" s="157" t="s">
        <v>2344</v>
      </c>
      <c r="V394" s="179" t="s">
        <v>375</v>
      </c>
      <c r="W394" s="180">
        <f>IF('附表1-面积统计表'!$D$29=0,"",IF(AND(V394="共同成本费用",Z394="总建筑面积法"),ROUND(T394/'附表1-面积统计表'!$D$29*'附表1-面积统计表'!$D$5,2),IF(AND(V394="共同成本费用",Z394="可售建筑面积法"),ROUND(T394/'附表1-面积统计表'!$F$29*'附表1-面积统计表'!$F$5,2),"请手工填写")))</f>
        <v>0</v>
      </c>
      <c r="X394" s="180">
        <f>IF(SUM('附表1-面积统计表'!$D$6)=0,"",SUM(T394)-SUM(W394)-SUM(Y394))</f>
        <v>0</v>
      </c>
      <c r="Y394" s="180">
        <f>IF(SUM('附表1-面积统计表'!$D$6)=0,SUM(T394)-SUM(W394),IF('附表1-面积统计表'!$D$29=0,"",IF(AND(V394="共同成本费用",Z394="总建筑面积法"),ROUND(T394/'附表1-面积统计表'!$D$29*'附表1-面积统计表'!$D$7,2),IF(AND(V394="共同成本费用",Z394="可售建筑面积法"),ROUND(T394/'附表1-面积统计表'!$F$29*'附表1-面积统计表'!$F$7,2),"请手工填写"))))</f>
        <v>0</v>
      </c>
      <c r="Z394" s="183" t="s">
        <v>351</v>
      </c>
      <c r="AA394" s="157"/>
      <c r="AB394" s="184" t="s">
        <v>2319</v>
      </c>
      <c r="AC394" s="132">
        <f t="shared" si="45"/>
        <v>0</v>
      </c>
    </row>
    <row r="395" s="132" customFormat="1" ht="24" customHeight="1" spans="1:29">
      <c r="A395" s="150">
        <v>389</v>
      </c>
      <c r="B395" s="166" t="s">
        <v>3523</v>
      </c>
      <c r="C395" s="166" t="s">
        <v>3468</v>
      </c>
      <c r="D395" s="157" t="s">
        <v>2533</v>
      </c>
      <c r="E395" s="158" t="s">
        <v>2534</v>
      </c>
      <c r="F395" s="189" t="s">
        <v>3552</v>
      </c>
      <c r="G395" s="156" t="s">
        <v>3553</v>
      </c>
      <c r="H395" s="157" t="str">
        <f>IF(G395="","",VLOOKUP(G395,'附表8-合同明细采集底稿'!B:I,2,0))</f>
        <v>购销合同</v>
      </c>
      <c r="I395" s="165" t="str">
        <f>IF(G395="","",VLOOKUP(G395,'附表8-合同明细采集底稿'!B:I,3,0))</f>
        <v>其他合同</v>
      </c>
      <c r="J395" s="187" t="s">
        <v>3554</v>
      </c>
      <c r="K395" s="157" t="s">
        <v>2335</v>
      </c>
      <c r="L395" s="168" t="s">
        <v>2336</v>
      </c>
      <c r="M395" s="155" t="s">
        <v>3555</v>
      </c>
      <c r="N395" s="167">
        <v>15480</v>
      </c>
      <c r="O395" s="167">
        <v>0</v>
      </c>
      <c r="P395" s="167">
        <v>15480</v>
      </c>
      <c r="Q395" s="167">
        <v>-15480</v>
      </c>
      <c r="R395" s="167">
        <f t="shared" si="37"/>
        <v>0</v>
      </c>
      <c r="S395" s="178">
        <f>IFERROR(VLOOKUP(G395,'附表8-合同明细采集底稿'!B:N,12,0),100%)</f>
        <v>1</v>
      </c>
      <c r="T395" s="167">
        <f t="shared" si="46"/>
        <v>0</v>
      </c>
      <c r="U395" s="157" t="s">
        <v>3077</v>
      </c>
      <c r="V395" s="179" t="s">
        <v>375</v>
      </c>
      <c r="W395" s="180">
        <f>IF('附表1-面积统计表'!$D$29=0,"",IF(AND(V395="共同成本费用",Z395="总建筑面积法"),ROUND(T395/'附表1-面积统计表'!$D$29*'附表1-面积统计表'!$D$5,2),IF(AND(V395="共同成本费用",Z395="可售建筑面积法"),ROUND(T395/'附表1-面积统计表'!$F$29*'附表1-面积统计表'!$F$5,2),"请手工填写")))</f>
        <v>0</v>
      </c>
      <c r="X395" s="180">
        <f>IF(SUM('附表1-面积统计表'!$D$6)=0,"",SUM(T395)-SUM(W395)-SUM(Y395))</f>
        <v>0</v>
      </c>
      <c r="Y395" s="180">
        <f>IF(SUM('附表1-面积统计表'!$D$6)=0,SUM(T395)-SUM(W395),IF('附表1-面积统计表'!$D$29=0,"",IF(AND(V395="共同成本费用",Z395="总建筑面积法"),ROUND(T395/'附表1-面积统计表'!$D$29*'附表1-面积统计表'!$D$7,2),IF(AND(V395="共同成本费用",Z395="可售建筑面积法"),ROUND(T395/'附表1-面积统计表'!$F$29*'附表1-面积统计表'!$F$7,2),"请手工填写"))))</f>
        <v>0</v>
      </c>
      <c r="Z395" s="183" t="s">
        <v>351</v>
      </c>
      <c r="AA395" s="157"/>
      <c r="AB395" s="184" t="s">
        <v>2319</v>
      </c>
      <c r="AC395" s="132">
        <f t="shared" si="45"/>
        <v>0</v>
      </c>
    </row>
    <row r="396" s="132" customFormat="1" ht="24" customHeight="1" spans="1:29">
      <c r="A396" s="150">
        <v>390</v>
      </c>
      <c r="B396" s="166" t="s">
        <v>3523</v>
      </c>
      <c r="C396" s="166" t="s">
        <v>3556</v>
      </c>
      <c r="D396" s="157" t="s">
        <v>2533</v>
      </c>
      <c r="E396" s="158" t="s">
        <v>2534</v>
      </c>
      <c r="F396" s="189" t="s">
        <v>3557</v>
      </c>
      <c r="G396" s="156" t="s">
        <v>3558</v>
      </c>
      <c r="H396" s="157" t="str">
        <f>IF(G396="","",VLOOKUP(G396,'附表8-合同明细采集底稿'!B:I,2,0))</f>
        <v>定制柜体</v>
      </c>
      <c r="I396" s="165" t="str">
        <f>IF(G396="","",VLOOKUP(G396,'附表8-合同明细采集底稿'!B:I,3,0))</f>
        <v>其他合同</v>
      </c>
      <c r="J396" s="187" t="s">
        <v>3559</v>
      </c>
      <c r="K396" s="157" t="s">
        <v>2335</v>
      </c>
      <c r="L396" s="168" t="s">
        <v>2336</v>
      </c>
      <c r="M396" s="155" t="s">
        <v>3560</v>
      </c>
      <c r="N396" s="167">
        <v>244000</v>
      </c>
      <c r="O396" s="167">
        <v>244000</v>
      </c>
      <c r="P396" s="167">
        <v>244000</v>
      </c>
      <c r="Q396" s="167">
        <v>-244000</v>
      </c>
      <c r="R396" s="167">
        <f t="shared" si="37"/>
        <v>0</v>
      </c>
      <c r="S396" s="178">
        <f>IFERROR(VLOOKUP(G396,'附表8-合同明细采集底稿'!B:N,12,0),100%)</f>
        <v>1</v>
      </c>
      <c r="T396" s="167">
        <f t="shared" si="46"/>
        <v>0</v>
      </c>
      <c r="U396" s="157" t="s">
        <v>2416</v>
      </c>
      <c r="V396" s="179" t="s">
        <v>375</v>
      </c>
      <c r="W396" s="180">
        <f>IF('附表1-面积统计表'!$D$29=0,"",IF(AND(V396="共同成本费用",Z396="总建筑面积法"),ROUND(T396/'附表1-面积统计表'!$D$29*'附表1-面积统计表'!$D$5,2),IF(AND(V396="共同成本费用",Z396="可售建筑面积法"),ROUND(T396/'附表1-面积统计表'!$F$29*'附表1-面积统计表'!$F$5,2),"请手工填写")))</f>
        <v>0</v>
      </c>
      <c r="X396" s="180">
        <f>IF(SUM('附表1-面积统计表'!$D$6)=0,"",SUM(T396)-SUM(W396)-SUM(Y396))</f>
        <v>0</v>
      </c>
      <c r="Y396" s="180">
        <f>IF(SUM('附表1-面积统计表'!$D$6)=0,SUM(T396)-SUM(W396),IF('附表1-面积统计表'!$D$29=0,"",IF(AND(V396="共同成本费用",Z396="总建筑面积法"),ROUND(T396/'附表1-面积统计表'!$D$29*'附表1-面积统计表'!$D$7,2),IF(AND(V396="共同成本费用",Z396="可售建筑面积法"),ROUND(T396/'附表1-面积统计表'!$F$29*'附表1-面积统计表'!$F$7,2),"请手工填写"))))</f>
        <v>0</v>
      </c>
      <c r="Z396" s="183" t="s">
        <v>351</v>
      </c>
      <c r="AA396" s="157"/>
      <c r="AB396" s="184" t="s">
        <v>2319</v>
      </c>
      <c r="AC396" s="132">
        <f t="shared" si="45"/>
        <v>0</v>
      </c>
    </row>
    <row r="397" s="132" customFormat="1" ht="24" customHeight="1" spans="1:29">
      <c r="A397" s="150">
        <v>391</v>
      </c>
      <c r="B397" s="166" t="s">
        <v>3561</v>
      </c>
      <c r="C397" s="166" t="s">
        <v>3562</v>
      </c>
      <c r="D397" s="157" t="s">
        <v>2470</v>
      </c>
      <c r="E397" s="158" t="s">
        <v>3314</v>
      </c>
      <c r="F397" s="189" t="s">
        <v>3563</v>
      </c>
      <c r="G397" s="156"/>
      <c r="H397" s="157"/>
      <c r="I397" s="165"/>
      <c r="J397" s="187"/>
      <c r="K397" s="157" t="s">
        <v>2317</v>
      </c>
      <c r="L397" s="166"/>
      <c r="M397" s="166"/>
      <c r="N397" s="167">
        <v>87100.66</v>
      </c>
      <c r="O397" s="167">
        <v>87100.66</v>
      </c>
      <c r="P397" s="167">
        <v>87100.66</v>
      </c>
      <c r="Q397" s="167"/>
      <c r="R397" s="167">
        <f t="shared" si="37"/>
        <v>87100.66</v>
      </c>
      <c r="S397" s="202">
        <v>0.338555832480367</v>
      </c>
      <c r="T397" s="167">
        <f t="shared" si="46"/>
        <v>29488.44</v>
      </c>
      <c r="U397" s="157" t="s">
        <v>2344</v>
      </c>
      <c r="V397" s="179" t="s">
        <v>375</v>
      </c>
      <c r="W397" s="180">
        <f>IF('附表1-面积统计表'!$D$29=0,"",IF(AND(V397="共同成本费用",Z397="总建筑面积法"),ROUND(T397/'附表1-面积统计表'!$D$29*'附表1-面积统计表'!$D$5,2),IF(AND(V397="共同成本费用",Z397="可售建筑面积法"),ROUND(T397/'附表1-面积统计表'!$F$29*'附表1-面积统计表'!$F$5,2),"请手工填写")))</f>
        <v>14286.06</v>
      </c>
      <c r="X397" s="180">
        <f>IF(SUM('附表1-面积统计表'!$D$6)=0,"",SUM(T397)-SUM(W397)-SUM(Y397))</f>
        <v>9452.05</v>
      </c>
      <c r="Y397" s="180">
        <f>IF(SUM('附表1-面积统计表'!$D$6)=0,SUM(T397)-SUM(W397),IF('附表1-面积统计表'!$D$29=0,"",IF(AND(V397="共同成本费用",Z397="总建筑面积法"),ROUND(T397/'附表1-面积统计表'!$D$29*'附表1-面积统计表'!$D$7,2),IF(AND(V397="共同成本费用",Z397="可售建筑面积法"),ROUND(T397/'附表1-面积统计表'!$F$29*'附表1-面积统计表'!$F$7,2),"请手工填写"))))</f>
        <v>5750.33</v>
      </c>
      <c r="Z397" s="183" t="s">
        <v>351</v>
      </c>
      <c r="AA397" s="157"/>
      <c r="AB397" s="184" t="s">
        <v>2319</v>
      </c>
      <c r="AC397" s="132">
        <f t="shared" si="45"/>
        <v>0</v>
      </c>
    </row>
    <row r="398" s="132" customFormat="1" ht="24" customHeight="1" spans="1:29">
      <c r="A398" s="150">
        <v>392</v>
      </c>
      <c r="B398" s="166" t="s">
        <v>3561</v>
      </c>
      <c r="C398" s="166" t="s">
        <v>3564</v>
      </c>
      <c r="D398" s="157" t="s">
        <v>2533</v>
      </c>
      <c r="E398" s="158" t="s">
        <v>2534</v>
      </c>
      <c r="F398" s="189" t="s">
        <v>3565</v>
      </c>
      <c r="G398" s="156" t="s">
        <v>3558</v>
      </c>
      <c r="H398" s="157" t="str">
        <f>IF(G398="","",VLOOKUP(G398,'附表8-合同明细采集底稿'!B:I,2,0))</f>
        <v>定制柜体</v>
      </c>
      <c r="I398" s="165" t="str">
        <f>IF(G398="","",VLOOKUP(G398,'附表8-合同明细采集底稿'!B:I,3,0))</f>
        <v>其他合同</v>
      </c>
      <c r="J398" s="187" t="s">
        <v>3559</v>
      </c>
      <c r="K398" s="157" t="s">
        <v>2335</v>
      </c>
      <c r="L398" s="168" t="s">
        <v>2336</v>
      </c>
      <c r="M398" s="166" t="s">
        <v>3566</v>
      </c>
      <c r="N398" s="167">
        <v>50000</v>
      </c>
      <c r="O398" s="167">
        <v>50000</v>
      </c>
      <c r="P398" s="167">
        <v>50000</v>
      </c>
      <c r="Q398" s="167">
        <v>-50000</v>
      </c>
      <c r="R398" s="167">
        <f t="shared" si="37"/>
        <v>0</v>
      </c>
      <c r="S398" s="178">
        <f>IFERROR(VLOOKUP(G398,'附表8-合同明细采集底稿'!B:N,12,0),100%)</f>
        <v>1</v>
      </c>
      <c r="T398" s="167">
        <f t="shared" si="46"/>
        <v>0</v>
      </c>
      <c r="U398" s="157" t="s">
        <v>2416</v>
      </c>
      <c r="V398" s="179" t="s">
        <v>375</v>
      </c>
      <c r="W398" s="180">
        <f>IF('附表1-面积统计表'!$D$29=0,"",IF(AND(V398="共同成本费用",Z398="总建筑面积法"),ROUND(T398/'附表1-面积统计表'!$D$29*'附表1-面积统计表'!$D$5,2),IF(AND(V398="共同成本费用",Z398="可售建筑面积法"),ROUND(T398/'附表1-面积统计表'!$F$29*'附表1-面积统计表'!$F$5,2),"请手工填写")))</f>
        <v>0</v>
      </c>
      <c r="X398" s="180">
        <f>IF(SUM('附表1-面积统计表'!$D$6)=0,"",SUM(T398)-SUM(W398)-SUM(Y398))</f>
        <v>0</v>
      </c>
      <c r="Y398" s="180">
        <f>IF(SUM('附表1-面积统计表'!$D$6)=0,SUM(T398)-SUM(W398),IF('附表1-面积统计表'!$D$29=0,"",IF(AND(V398="共同成本费用",Z398="总建筑面积法"),ROUND(T398/'附表1-面积统计表'!$D$29*'附表1-面积统计表'!$D$7,2),IF(AND(V398="共同成本费用",Z398="可售建筑面积法"),ROUND(T398/'附表1-面积统计表'!$F$29*'附表1-面积统计表'!$F$7,2),"请手工填写"))))</f>
        <v>0</v>
      </c>
      <c r="Z398" s="183" t="s">
        <v>351</v>
      </c>
      <c r="AA398" s="157"/>
      <c r="AB398" s="184" t="s">
        <v>2319</v>
      </c>
      <c r="AC398" s="132">
        <f t="shared" si="45"/>
        <v>0</v>
      </c>
    </row>
    <row r="399" s="132" customFormat="1" ht="24" customHeight="1" spans="1:29">
      <c r="A399" s="150">
        <v>393</v>
      </c>
      <c r="B399" s="166" t="s">
        <v>3567</v>
      </c>
      <c r="C399" s="166" t="s">
        <v>3568</v>
      </c>
      <c r="D399" s="157" t="s">
        <v>2339</v>
      </c>
      <c r="E399" s="158" t="s">
        <v>3569</v>
      </c>
      <c r="F399" s="189" t="s">
        <v>3570</v>
      </c>
      <c r="G399" s="156" t="s">
        <v>3163</v>
      </c>
      <c r="H399" s="157" t="str">
        <f>IF(G399="","",VLOOKUP(G399,'附表8-合同明细采集底稿'!B:I,2,0))</f>
        <v>建设工程造价咨询合同</v>
      </c>
      <c r="I399" s="165" t="str">
        <f>IF(G399="","",VLOOKUP(G399,'附表8-合同明细采集底稿'!B:I,3,0))</f>
        <v>技术合同</v>
      </c>
      <c r="J399" s="187" t="s">
        <v>3164</v>
      </c>
      <c r="K399" s="157" t="s">
        <v>2335</v>
      </c>
      <c r="L399" s="168" t="s">
        <v>2336</v>
      </c>
      <c r="M399" s="155" t="s">
        <v>3571</v>
      </c>
      <c r="N399" s="167">
        <v>100000</v>
      </c>
      <c r="O399" s="167">
        <v>100000</v>
      </c>
      <c r="P399" s="167">
        <v>100000</v>
      </c>
      <c r="Q399" s="167"/>
      <c r="R399" s="167">
        <f t="shared" si="37"/>
        <v>100000</v>
      </c>
      <c r="S399" s="178">
        <f>IFERROR(VLOOKUP(G399,'附表8-合同明细采集底稿'!B:N,12,0),100%)</f>
        <v>1</v>
      </c>
      <c r="T399" s="167">
        <f t="shared" si="46"/>
        <v>100000</v>
      </c>
      <c r="U399" s="157" t="s">
        <v>2344</v>
      </c>
      <c r="V399" s="179" t="s">
        <v>375</v>
      </c>
      <c r="W399" s="180">
        <f>IF('附表1-面积统计表'!$D$29=0,"",IF(AND(V399="共同成本费用",Z399="总建筑面积法"),ROUND(T399/'附表1-面积统计表'!$D$29*'附表1-面积统计表'!$D$5,2),IF(AND(V399="共同成本费用",Z399="可售建筑面积法"),ROUND(T399/'附表1-面积统计表'!$F$29*'附表1-面积统计表'!$F$5,2),"请手工填写")))</f>
        <v>48446.31</v>
      </c>
      <c r="X399" s="180">
        <f>IF(SUM('附表1-面积统计表'!$D$6)=0,"",SUM(T399)-SUM(W399)-SUM(Y399))</f>
        <v>32053.41</v>
      </c>
      <c r="Y399" s="180">
        <f>IF(SUM('附表1-面积统计表'!$D$6)=0,SUM(T399)-SUM(W399),IF('附表1-面积统计表'!$D$29=0,"",IF(AND(V399="共同成本费用",Z399="总建筑面积法"),ROUND(T399/'附表1-面积统计表'!$D$29*'附表1-面积统计表'!$D$7,2),IF(AND(V399="共同成本费用",Z399="可售建筑面积法"),ROUND(T399/'附表1-面积统计表'!$F$29*'附表1-面积统计表'!$F$7,2),"请手工填写"))))</f>
        <v>19500.28</v>
      </c>
      <c r="Z399" s="183" t="s">
        <v>351</v>
      </c>
      <c r="AA399" s="157"/>
      <c r="AB399" s="184" t="s">
        <v>2319</v>
      </c>
      <c r="AC399" s="132">
        <f t="shared" si="45"/>
        <v>0</v>
      </c>
    </row>
    <row r="400" s="132" customFormat="1" ht="24" customHeight="1" spans="1:29">
      <c r="A400" s="150">
        <v>394</v>
      </c>
      <c r="B400" s="166" t="s">
        <v>3567</v>
      </c>
      <c r="C400" s="166" t="s">
        <v>3572</v>
      </c>
      <c r="D400" s="157" t="s">
        <v>2533</v>
      </c>
      <c r="E400" s="158" t="s">
        <v>2690</v>
      </c>
      <c r="F400" s="189" t="s">
        <v>3573</v>
      </c>
      <c r="G400" s="156" t="s">
        <v>3230</v>
      </c>
      <c r="H400" s="157" t="str">
        <f>IF(G400="","",VLOOKUP(G400,'附表8-合同明细采集底稿'!B:I,2,0))</f>
        <v>沁春锦苑26#28#30#楼门斗装修</v>
      </c>
      <c r="I400" s="165" t="str">
        <f>IF(G400="","",VLOOKUP(G400,'附表8-合同明细采集底稿'!B:I,3,0))</f>
        <v>建设工程合同</v>
      </c>
      <c r="J400" s="187" t="s">
        <v>3231</v>
      </c>
      <c r="K400" s="157" t="s">
        <v>2355</v>
      </c>
      <c r="L400" s="191">
        <v>6500193130</v>
      </c>
      <c r="M400" s="155" t="s">
        <v>3574</v>
      </c>
      <c r="N400" s="167">
        <v>434862.4</v>
      </c>
      <c r="O400" s="167">
        <v>474000</v>
      </c>
      <c r="P400" s="167">
        <v>434862.4</v>
      </c>
      <c r="Q400" s="167"/>
      <c r="R400" s="167">
        <f t="shared" si="37"/>
        <v>434862.4</v>
      </c>
      <c r="S400" s="178">
        <f>IFERROR(VLOOKUP(G400,'附表8-合同明细采集底稿'!B:N,12,0),100%)</f>
        <v>1</v>
      </c>
      <c r="T400" s="167">
        <f t="shared" si="44"/>
        <v>434862.4</v>
      </c>
      <c r="U400" s="157" t="s">
        <v>2416</v>
      </c>
      <c r="V400" s="179" t="s">
        <v>374</v>
      </c>
      <c r="W400" s="182">
        <f>ROUND(T400*成本分摊比例!$G$13/(成本分摊比例!$G$13+成本分摊比例!$H$13+成本分摊比例!$I$13),2)</f>
        <v>234956.93</v>
      </c>
      <c r="X400" s="182">
        <f>ROUND(T400*成本分摊比例!$H$13/(成本分摊比例!$G$13+成本分摊比例!$H$13+成本分摊比例!$I$13),2)</f>
        <v>155453.97</v>
      </c>
      <c r="Y400" s="182">
        <f>T400-W400-X400</f>
        <v>44451.5</v>
      </c>
      <c r="Z400" s="183" t="s">
        <v>2406</v>
      </c>
      <c r="AA400" s="157"/>
      <c r="AB400" s="184" t="s">
        <v>2319</v>
      </c>
      <c r="AC400" s="132">
        <f t="shared" si="45"/>
        <v>0</v>
      </c>
    </row>
    <row r="401" s="132" customFormat="1" ht="24" customHeight="1" spans="1:29">
      <c r="A401" s="150">
        <v>395</v>
      </c>
      <c r="B401" s="166" t="s">
        <v>3575</v>
      </c>
      <c r="C401" s="166" t="s">
        <v>3212</v>
      </c>
      <c r="D401" s="157" t="s">
        <v>2533</v>
      </c>
      <c r="E401" s="158" t="s">
        <v>2564</v>
      </c>
      <c r="F401" s="189" t="s">
        <v>3576</v>
      </c>
      <c r="G401" s="156" t="s">
        <v>2900</v>
      </c>
      <c r="H401" s="157" t="str">
        <f>IF(G401="","",VLOOKUP(G401,'附表8-合同明细采集底稿'!B:I,2,0))</f>
        <v>沁春锦苑25、26、28#施工协议</v>
      </c>
      <c r="I401" s="165" t="str">
        <f>IF(G401="","",VLOOKUP(G401,'附表8-合同明细采集底稿'!B:I,3,0))</f>
        <v>建设工程合同</v>
      </c>
      <c r="J401" s="187" t="s">
        <v>144</v>
      </c>
      <c r="K401" s="157" t="s">
        <v>2355</v>
      </c>
      <c r="L401" s="166">
        <v>6500193130</v>
      </c>
      <c r="M401" s="555" t="s">
        <v>3577</v>
      </c>
      <c r="N401" s="167">
        <v>705091.74</v>
      </c>
      <c r="O401" s="167">
        <v>768550</v>
      </c>
      <c r="P401" s="167">
        <v>705091.74</v>
      </c>
      <c r="Q401" s="167"/>
      <c r="R401" s="167">
        <f t="shared" si="37"/>
        <v>705091.74</v>
      </c>
      <c r="S401" s="178">
        <f>IFERROR(VLOOKUP(G401,'附表8-合同明细采集底稿'!B:N,12,0),100%)</f>
        <v>1</v>
      </c>
      <c r="T401" s="167">
        <f t="shared" si="44"/>
        <v>705091.74</v>
      </c>
      <c r="U401" s="157" t="s">
        <v>2416</v>
      </c>
      <c r="V401" s="179" t="s">
        <v>374</v>
      </c>
      <c r="W401" s="182">
        <f>ROUND(T401*成本分摊比例!$G$13/(成本分摊比例!$G$13+成本分摊比例!$H$13+成本分摊比例!$I$13),2)</f>
        <v>380962.32</v>
      </c>
      <c r="X401" s="182">
        <f>ROUND(T401*成本分摊比例!$H$13/(成本分摊比例!$G$13+成本分摊比例!$H$13+成本分摊比例!$I$13),2)</f>
        <v>252055.16</v>
      </c>
      <c r="Y401" s="182">
        <f>T401-W401-X401</f>
        <v>72074.26</v>
      </c>
      <c r="Z401" s="183" t="s">
        <v>2406</v>
      </c>
      <c r="AA401" s="157"/>
      <c r="AB401" s="184" t="s">
        <v>2319</v>
      </c>
      <c r="AC401" s="132">
        <f t="shared" si="45"/>
        <v>0</v>
      </c>
    </row>
    <row r="402" s="132" customFormat="1" ht="24" customHeight="1" spans="1:29">
      <c r="A402" s="150">
        <v>396</v>
      </c>
      <c r="B402" s="166" t="s">
        <v>3578</v>
      </c>
      <c r="C402" s="166" t="s">
        <v>3579</v>
      </c>
      <c r="D402" s="157" t="s">
        <v>2533</v>
      </c>
      <c r="E402" s="158" t="s">
        <v>2564</v>
      </c>
      <c r="F402" s="189" t="s">
        <v>3580</v>
      </c>
      <c r="G402" s="156" t="s">
        <v>2900</v>
      </c>
      <c r="H402" s="157" t="str">
        <f>IF(G402="","",VLOOKUP(G402,'附表8-合同明细采集底稿'!B:I,2,0))</f>
        <v>沁春锦苑25、26、28#施工协议</v>
      </c>
      <c r="I402" s="165" t="str">
        <f>IF(G402="","",VLOOKUP(G402,'附表8-合同明细采集底稿'!B:I,3,0))</f>
        <v>建设工程合同</v>
      </c>
      <c r="J402" s="187" t="s">
        <v>144</v>
      </c>
      <c r="K402" s="157" t="s">
        <v>2355</v>
      </c>
      <c r="L402" s="166">
        <v>6500193130</v>
      </c>
      <c r="M402" s="555" t="s">
        <v>3581</v>
      </c>
      <c r="N402" s="167">
        <v>917431.19</v>
      </c>
      <c r="O402" s="167">
        <v>1000000</v>
      </c>
      <c r="P402" s="167">
        <v>917431.19</v>
      </c>
      <c r="Q402" s="167"/>
      <c r="R402" s="167">
        <f t="shared" si="37"/>
        <v>917431.19</v>
      </c>
      <c r="S402" s="178">
        <f>IFERROR(VLOOKUP(G402,'附表8-合同明细采集底稿'!B:N,12,0),100%)</f>
        <v>1</v>
      </c>
      <c r="T402" s="167">
        <f t="shared" si="44"/>
        <v>917431.19</v>
      </c>
      <c r="U402" s="157" t="s">
        <v>2416</v>
      </c>
      <c r="V402" s="179" t="s">
        <v>374</v>
      </c>
      <c r="W402" s="182">
        <f>ROUND(T402*成本分摊比例!$G$13/(成本分摊比例!$G$13+成本分摊比例!$H$13+成本分摊比例!$I$13),2)</f>
        <v>495689.7</v>
      </c>
      <c r="X402" s="182">
        <f>ROUND(T402*成本分摊比例!$H$13/(成本分摊比例!$G$13+成本分摊比例!$H$13+成本分摊比例!$I$13),2)</f>
        <v>327961.96</v>
      </c>
      <c r="Y402" s="182">
        <f>T402-W402-X402</f>
        <v>93779.5299999999</v>
      </c>
      <c r="Z402" s="183" t="s">
        <v>2406</v>
      </c>
      <c r="AA402" s="157"/>
      <c r="AB402" s="184" t="s">
        <v>2319</v>
      </c>
      <c r="AC402" s="132">
        <f t="shared" si="45"/>
        <v>0</v>
      </c>
    </row>
    <row r="403" s="132" customFormat="1" ht="24" customHeight="1" spans="1:29">
      <c r="A403" s="150">
        <v>397</v>
      </c>
      <c r="B403" s="166" t="s">
        <v>3582</v>
      </c>
      <c r="C403" s="166" t="s">
        <v>3583</v>
      </c>
      <c r="D403" s="157" t="s">
        <v>2346</v>
      </c>
      <c r="E403" s="158" t="s">
        <v>3135</v>
      </c>
      <c r="F403" s="189" t="s">
        <v>3584</v>
      </c>
      <c r="G403" s="156"/>
      <c r="H403" s="157" t="str">
        <f>IF(G403="","",VLOOKUP(G403,'附表8-合同明细采集底稿'!B:I,2,0))</f>
        <v/>
      </c>
      <c r="I403" s="165" t="str">
        <f>IF(G403="","",VLOOKUP(G403,'附表8-合同明细采集底稿'!B:I,3,0))</f>
        <v/>
      </c>
      <c r="J403" s="169" t="s">
        <v>3585</v>
      </c>
      <c r="K403" s="157" t="s">
        <v>2355</v>
      </c>
      <c r="L403" s="166">
        <v>6500193130</v>
      </c>
      <c r="M403" s="555" t="s">
        <v>3586</v>
      </c>
      <c r="N403" s="167">
        <v>4752.21</v>
      </c>
      <c r="O403" s="167">
        <v>5370</v>
      </c>
      <c r="P403" s="167">
        <v>4752.21</v>
      </c>
      <c r="Q403" s="167"/>
      <c r="R403" s="167">
        <f t="shared" si="37"/>
        <v>4752.21</v>
      </c>
      <c r="S403" s="178">
        <v>1</v>
      </c>
      <c r="T403" s="167">
        <f t="shared" si="44"/>
        <v>4752.21</v>
      </c>
      <c r="U403" s="157" t="s">
        <v>2344</v>
      </c>
      <c r="V403" s="179" t="s">
        <v>375</v>
      </c>
      <c r="W403" s="180">
        <f>IF('附表1-面积统计表'!$D$29=0,"",IF(AND(V403="共同成本费用",Z403="总建筑面积法"),ROUND(T403/'附表1-面积统计表'!$D$29*'附表1-面积统计表'!$D$5,2),IF(AND(V403="共同成本费用",Z403="可售建筑面积法"),ROUND(T403/'附表1-面积统计表'!$F$29*'附表1-面积统计表'!$F$5,2),"请手工填写")))</f>
        <v>2302.27</v>
      </c>
      <c r="X403" s="180">
        <f>IF(SUM('附表1-面积统计表'!$D$6)=0,"",SUM(T403)-SUM(W403)-SUM(Y403))</f>
        <v>1523.25</v>
      </c>
      <c r="Y403" s="180">
        <f>IF(SUM('附表1-面积统计表'!$D$6)=0,SUM(T403)-SUM(W403),IF('附表1-面积统计表'!$D$29=0,"",IF(AND(V403="共同成本费用",Z403="总建筑面积法"),ROUND(T403/'附表1-面积统计表'!$D$29*'附表1-面积统计表'!$D$7,2),IF(AND(V403="共同成本费用",Z403="可售建筑面积法"),ROUND(T403/'附表1-面积统计表'!$F$29*'附表1-面积统计表'!$F$7,2),"请手工填写"))))</f>
        <v>926.69</v>
      </c>
      <c r="Z403" s="183" t="s">
        <v>351</v>
      </c>
      <c r="AA403" s="157"/>
      <c r="AB403" s="184" t="s">
        <v>2319</v>
      </c>
      <c r="AC403" s="132">
        <f t="shared" si="45"/>
        <v>0</v>
      </c>
    </row>
    <row r="404" s="132" customFormat="1" ht="24" customHeight="1" spans="1:29">
      <c r="A404" s="150">
        <v>398</v>
      </c>
      <c r="B404" s="166" t="s">
        <v>3582</v>
      </c>
      <c r="C404" s="166" t="s">
        <v>3587</v>
      </c>
      <c r="D404" s="157" t="s">
        <v>2470</v>
      </c>
      <c r="E404" s="158" t="s">
        <v>2471</v>
      </c>
      <c r="F404" s="189" t="s">
        <v>3588</v>
      </c>
      <c r="G404" s="156" t="s">
        <v>3083</v>
      </c>
      <c r="H404" s="157" t="str">
        <f>IF(G404="","",VLOOKUP(G404,'附表8-合同明细采集底稿'!B:I,2,0))</f>
        <v>场地平整零星工程</v>
      </c>
      <c r="I404" s="165" t="str">
        <f>IF(G404="","",VLOOKUP(G404,'附表8-合同明细采集底稿'!B:I,3,0))</f>
        <v>其他合同</v>
      </c>
      <c r="J404" s="187" t="s">
        <v>3084</v>
      </c>
      <c r="K404" s="157" t="s">
        <v>2335</v>
      </c>
      <c r="L404" s="168" t="s">
        <v>2336</v>
      </c>
      <c r="M404" s="166">
        <v>40668410</v>
      </c>
      <c r="N404" s="167">
        <v>3600</v>
      </c>
      <c r="O404" s="167">
        <v>3600</v>
      </c>
      <c r="P404" s="167">
        <v>3600</v>
      </c>
      <c r="Q404" s="167"/>
      <c r="R404" s="167">
        <f t="shared" si="37"/>
        <v>3600</v>
      </c>
      <c r="S404" s="178">
        <f>IFERROR(VLOOKUP(G404,'附表8-合同明细采集底稿'!B:N,12,0),100%)</f>
        <v>1</v>
      </c>
      <c r="T404" s="167">
        <f t="shared" si="44"/>
        <v>3600</v>
      </c>
      <c r="U404" s="157" t="s">
        <v>2344</v>
      </c>
      <c r="V404" s="179" t="s">
        <v>375</v>
      </c>
      <c r="W404" s="180">
        <f>IF('附表1-面积统计表'!$D$29=0,"",IF(AND(V404="共同成本费用",Z404="总建筑面积法"),ROUND(T404/'附表1-面积统计表'!$D$29*'附表1-面积统计表'!$D$5,2),IF(AND(V404="共同成本费用",Z404="可售建筑面积法"),ROUND(T404/'附表1-面积统计表'!$F$29*'附表1-面积统计表'!$F$5,2),"请手工填写")))</f>
        <v>1744.07</v>
      </c>
      <c r="X404" s="180">
        <f>IF(SUM('附表1-面积统计表'!$D$6)=0,"",SUM(T404)-SUM(W404)-SUM(Y404))</f>
        <v>1153.92</v>
      </c>
      <c r="Y404" s="180">
        <f>IF(SUM('附表1-面积统计表'!$D$6)=0,SUM(T404)-SUM(W404),IF('附表1-面积统计表'!$D$29=0,"",IF(AND(V404="共同成本费用",Z404="总建筑面积法"),ROUND(T404/'附表1-面积统计表'!$D$29*'附表1-面积统计表'!$D$7,2),IF(AND(V404="共同成本费用",Z404="可售建筑面积法"),ROUND(T404/'附表1-面积统计表'!$F$29*'附表1-面积统计表'!$F$7,2),"请手工填写"))))</f>
        <v>702.01</v>
      </c>
      <c r="Z404" s="183" t="s">
        <v>351</v>
      </c>
      <c r="AA404" s="157"/>
      <c r="AB404" s="184" t="s">
        <v>2319</v>
      </c>
      <c r="AC404" s="132">
        <f t="shared" si="45"/>
        <v>0</v>
      </c>
    </row>
    <row r="405" s="132" customFormat="1" ht="24" customHeight="1" spans="1:29">
      <c r="A405" s="150">
        <v>399</v>
      </c>
      <c r="B405" s="166" t="s">
        <v>3589</v>
      </c>
      <c r="C405" s="166" t="s">
        <v>3590</v>
      </c>
      <c r="D405" s="157" t="s">
        <v>2470</v>
      </c>
      <c r="E405" s="158" t="s">
        <v>3314</v>
      </c>
      <c r="F405" s="189" t="s">
        <v>3591</v>
      </c>
      <c r="G405" s="156"/>
      <c r="H405" s="157"/>
      <c r="I405" s="165"/>
      <c r="J405" s="187"/>
      <c r="K405" s="157" t="s">
        <v>2317</v>
      </c>
      <c r="L405" s="166"/>
      <c r="M405" s="166"/>
      <c r="N405" s="167">
        <v>116031</v>
      </c>
      <c r="O405" s="167">
        <v>116031</v>
      </c>
      <c r="P405" s="167">
        <v>116031</v>
      </c>
      <c r="Q405" s="167"/>
      <c r="R405" s="167">
        <f t="shared" si="37"/>
        <v>116031</v>
      </c>
      <c r="S405" s="202">
        <v>0.338555832480367</v>
      </c>
      <c r="T405" s="167">
        <f t="shared" si="44"/>
        <v>39282.97</v>
      </c>
      <c r="U405" s="157" t="s">
        <v>2344</v>
      </c>
      <c r="V405" s="179" t="s">
        <v>375</v>
      </c>
      <c r="W405" s="180">
        <f>IF('附表1-面积统计表'!$D$29=0,"",IF(AND(V405="共同成本费用",Z405="总建筑面积法"),ROUND(T405/'附表1-面积统计表'!$D$29*'附表1-面积统计表'!$D$5,2),IF(AND(V405="共同成本费用",Z405="可售建筑面积法"),ROUND(T405/'附表1-面积统计表'!$F$29*'附表1-面积统计表'!$F$5,2),"请手工填写")))</f>
        <v>19031.15</v>
      </c>
      <c r="X405" s="180">
        <f>IF(SUM('附表1-面积统计表'!$D$6)=0,"",SUM(T405)-SUM(W405)-SUM(Y405))</f>
        <v>12591.53</v>
      </c>
      <c r="Y405" s="180">
        <f>IF(SUM('附表1-面积统计表'!$D$6)=0,SUM(T405)-SUM(W405),IF('附表1-面积统计表'!$D$29=0,"",IF(AND(V405="共同成本费用",Z405="总建筑面积法"),ROUND(T405/'附表1-面积统计表'!$D$29*'附表1-面积统计表'!$D$7,2),IF(AND(V405="共同成本费用",Z405="可售建筑面积法"),ROUND(T405/'附表1-面积统计表'!$F$29*'附表1-面积统计表'!$F$7,2),"请手工填写"))))</f>
        <v>7660.29</v>
      </c>
      <c r="Z405" s="183" t="s">
        <v>351</v>
      </c>
      <c r="AA405" s="157"/>
      <c r="AB405" s="184" t="s">
        <v>2319</v>
      </c>
      <c r="AC405" s="132">
        <f t="shared" si="45"/>
        <v>0</v>
      </c>
    </row>
    <row r="406" s="132" customFormat="1" ht="24" customHeight="1" spans="1:29">
      <c r="A406" s="150">
        <v>400</v>
      </c>
      <c r="B406" s="166" t="s">
        <v>3592</v>
      </c>
      <c r="C406" s="166" t="s">
        <v>3593</v>
      </c>
      <c r="D406" s="157" t="s">
        <v>2346</v>
      </c>
      <c r="E406" s="158" t="s">
        <v>2453</v>
      </c>
      <c r="F406" s="189" t="s">
        <v>3594</v>
      </c>
      <c r="G406" s="156" t="s">
        <v>3246</v>
      </c>
      <c r="H406" s="157" t="str">
        <f>IF(G406="","",VLOOKUP(G406,'附表8-合同明细采集底稿'!B:I,2,0))</f>
        <v>沁春锦苑一期二批次景观绿化（25-30#）+提升附属合同</v>
      </c>
      <c r="I406" s="165" t="str">
        <f>IF(G406="","",VLOOKUP(G406,'附表8-合同明细采集底稿'!B:I,3,0))</f>
        <v>其他合同</v>
      </c>
      <c r="J406" s="169" t="s">
        <v>2498</v>
      </c>
      <c r="K406" s="157" t="s">
        <v>2355</v>
      </c>
      <c r="L406" s="191">
        <v>6500193130</v>
      </c>
      <c r="M406" s="155" t="s">
        <v>3595</v>
      </c>
      <c r="N406" s="167">
        <v>1145871.57</v>
      </c>
      <c r="O406" s="167">
        <v>1249000</v>
      </c>
      <c r="P406" s="167">
        <v>1145871.57</v>
      </c>
      <c r="Q406" s="167"/>
      <c r="R406" s="167">
        <f t="shared" si="37"/>
        <v>1145871.57</v>
      </c>
      <c r="S406" s="178">
        <f>IFERROR(VLOOKUP(G406,'附表8-合同明细采集底稿'!B:N,12,0),100%)</f>
        <v>1</v>
      </c>
      <c r="T406" s="167">
        <f t="shared" si="44"/>
        <v>1145871.57</v>
      </c>
      <c r="U406" s="157" t="s">
        <v>2344</v>
      </c>
      <c r="V406" s="179" t="s">
        <v>375</v>
      </c>
      <c r="W406" s="180">
        <f>IF('附表1-面积统计表'!$D$29=0,"",IF(AND(V406="共同成本费用",Z406="总建筑面积法"),ROUND(T406/'附表1-面积统计表'!$D$29*'附表1-面积统计表'!$D$5,2),IF(AND(V406="共同成本费用",Z406="可售建筑面积法"),ROUND(T406/'附表1-面积统计表'!$F$29*'附表1-面积统计表'!$F$5,2),"请手工填写")))</f>
        <v>555132.46</v>
      </c>
      <c r="X406" s="180">
        <f>IF(SUM('附表1-面积统计表'!$D$6)=0,"",SUM(T406)-SUM(W406)-SUM(Y406))</f>
        <v>367290.93</v>
      </c>
      <c r="Y406" s="180">
        <f>IF(SUM('附表1-面积统计表'!$D$6)=0,SUM(T406)-SUM(W406),IF('附表1-面积统计表'!$D$29=0,"",IF(AND(V406="共同成本费用",Z406="总建筑面积法"),ROUND(T406/'附表1-面积统计表'!$D$29*'附表1-面积统计表'!$D$7,2),IF(AND(V406="共同成本费用",Z406="可售建筑面积法"),ROUND(T406/'附表1-面积统计表'!$F$29*'附表1-面积统计表'!$F$7,2),"请手工填写"))))</f>
        <v>223448.18</v>
      </c>
      <c r="Z406" s="183" t="s">
        <v>351</v>
      </c>
      <c r="AA406" s="157"/>
      <c r="AB406" s="184" t="s">
        <v>2319</v>
      </c>
      <c r="AC406" s="132">
        <f t="shared" si="45"/>
        <v>0</v>
      </c>
    </row>
    <row r="407" s="132" customFormat="1" ht="24" customHeight="1" spans="1:29">
      <c r="A407" s="150">
        <v>401</v>
      </c>
      <c r="B407" s="166" t="s">
        <v>3596</v>
      </c>
      <c r="C407" s="166" t="s">
        <v>3597</v>
      </c>
      <c r="D407" s="157" t="s">
        <v>2533</v>
      </c>
      <c r="E407" s="158" t="s">
        <v>2564</v>
      </c>
      <c r="F407" s="189" t="s">
        <v>3598</v>
      </c>
      <c r="G407" s="156" t="s">
        <v>2900</v>
      </c>
      <c r="H407" s="157" t="str">
        <f>IF(G407="","",VLOOKUP(G407,'附表8-合同明细采集底稿'!B:I,2,0))</f>
        <v>沁春锦苑25、26、28#施工协议</v>
      </c>
      <c r="I407" s="165" t="str">
        <f>IF(G407="","",VLOOKUP(G407,'附表8-合同明细采集底稿'!B:I,3,0))</f>
        <v>建设工程合同</v>
      </c>
      <c r="J407" s="187" t="s">
        <v>144</v>
      </c>
      <c r="K407" s="157" t="s">
        <v>2355</v>
      </c>
      <c r="L407" s="191">
        <v>6500193130</v>
      </c>
      <c r="M407" s="166" t="s">
        <v>3599</v>
      </c>
      <c r="N407" s="167">
        <v>1193231.19</v>
      </c>
      <c r="O407" s="167">
        <v>1300622</v>
      </c>
      <c r="P407" s="167">
        <v>1193231.19</v>
      </c>
      <c r="Q407" s="167"/>
      <c r="R407" s="167">
        <f t="shared" si="37"/>
        <v>1193231.19</v>
      </c>
      <c r="S407" s="178">
        <f>IFERROR(VLOOKUP(G407,'附表8-合同明细采集底稿'!B:N,12,0),100%)</f>
        <v>1</v>
      </c>
      <c r="T407" s="167">
        <f t="shared" si="44"/>
        <v>1193231.19</v>
      </c>
      <c r="U407" s="157" t="s">
        <v>2416</v>
      </c>
      <c r="V407" s="179" t="s">
        <v>374</v>
      </c>
      <c r="W407" s="182">
        <f>ROUND(T407*成本分摊比例!$G$13/(成本分摊比例!$G$13+成本分摊比例!$H$13+成本分摊比例!$I$13),2)</f>
        <v>644704.93</v>
      </c>
      <c r="X407" s="182">
        <f>ROUND(T407*成本分摊比例!$H$13/(成本分摊比例!$G$13+成本分摊比例!$H$13+成本分摊比例!$I$13),2)</f>
        <v>426554.54</v>
      </c>
      <c r="Y407" s="182">
        <f>T407-W407-X407</f>
        <v>121971.72</v>
      </c>
      <c r="Z407" s="183" t="s">
        <v>2406</v>
      </c>
      <c r="AA407" s="157"/>
      <c r="AB407" s="184" t="s">
        <v>2319</v>
      </c>
      <c r="AC407" s="132">
        <f t="shared" si="45"/>
        <v>0</v>
      </c>
    </row>
    <row r="408" s="132" customFormat="1" ht="24" customHeight="1" spans="1:29">
      <c r="A408" s="150">
        <v>402</v>
      </c>
      <c r="B408" s="166" t="s">
        <v>3600</v>
      </c>
      <c r="C408" s="166" t="s">
        <v>3601</v>
      </c>
      <c r="D408" s="157" t="s">
        <v>2346</v>
      </c>
      <c r="E408" s="158" t="s">
        <v>2453</v>
      </c>
      <c r="F408" s="189" t="s">
        <v>3602</v>
      </c>
      <c r="G408" s="156" t="s">
        <v>3246</v>
      </c>
      <c r="H408" s="157" t="str">
        <f>IF(G408="","",VLOOKUP(G408,'附表8-合同明细采集底稿'!B:I,2,0))</f>
        <v>沁春锦苑一期二批次景观绿化（25-30#）+提升附属合同</v>
      </c>
      <c r="I408" s="165" t="str">
        <f>IF(G408="","",VLOOKUP(G408,'附表8-合同明细采集底稿'!B:I,3,0))</f>
        <v>其他合同</v>
      </c>
      <c r="J408" s="169" t="s">
        <v>2498</v>
      </c>
      <c r="K408" s="157" t="s">
        <v>2355</v>
      </c>
      <c r="L408" s="191">
        <v>6500201130</v>
      </c>
      <c r="M408" s="155" t="s">
        <v>3603</v>
      </c>
      <c r="N408" s="167">
        <v>935779.82</v>
      </c>
      <c r="O408" s="167">
        <v>1020000</v>
      </c>
      <c r="P408" s="167">
        <v>935779.82</v>
      </c>
      <c r="Q408" s="167"/>
      <c r="R408" s="167">
        <f t="shared" si="37"/>
        <v>935779.82</v>
      </c>
      <c r="S408" s="178">
        <f>IFERROR(VLOOKUP(G408,'附表8-合同明细采集底稿'!B:N,12,0),100%)</f>
        <v>1</v>
      </c>
      <c r="T408" s="167">
        <f t="shared" si="44"/>
        <v>935779.82</v>
      </c>
      <c r="U408" s="157" t="s">
        <v>2344</v>
      </c>
      <c r="V408" s="179" t="s">
        <v>375</v>
      </c>
      <c r="W408" s="180">
        <f>IF('附表1-面积统计表'!$D$29=0,"",IF(AND(V408="共同成本费用",Z408="总建筑面积法"),ROUND(T408/'附表1-面积统计表'!$D$29*'附表1-面积统计表'!$D$5,2),IF(AND(V408="共同成本费用",Z408="可售建筑面积法"),ROUND(T408/'附表1-面积统计表'!$F$29*'附表1-面积统计表'!$F$5,2),"请手工填写")))</f>
        <v>453350.77</v>
      </c>
      <c r="X408" s="180">
        <f>IF(SUM('附表1-面积统计表'!$D$6)=0,"",SUM(T408)-SUM(W408)-SUM(Y408))</f>
        <v>299949.35</v>
      </c>
      <c r="Y408" s="180">
        <f>IF(SUM('附表1-面积统计表'!$D$6)=0,SUM(T408)-SUM(W408),IF('附表1-面积统计表'!$D$29=0,"",IF(AND(V408="共同成本费用",Z408="总建筑面积法"),ROUND(T408/'附表1-面积统计表'!$D$29*'附表1-面积统计表'!$D$7,2),IF(AND(V408="共同成本费用",Z408="可售建筑面积法"),ROUND(T408/'附表1-面积统计表'!$F$29*'附表1-面积统计表'!$F$7,2),"请手工填写"))))</f>
        <v>182479.7</v>
      </c>
      <c r="Z408" s="183" t="s">
        <v>351</v>
      </c>
      <c r="AA408" s="157"/>
      <c r="AB408" s="184" t="s">
        <v>2319</v>
      </c>
      <c r="AC408" s="132">
        <f t="shared" si="45"/>
        <v>0</v>
      </c>
    </row>
    <row r="409" s="132" customFormat="1" ht="24" customHeight="1" spans="1:29">
      <c r="A409" s="150">
        <v>403</v>
      </c>
      <c r="B409" s="166" t="s">
        <v>3604</v>
      </c>
      <c r="C409" s="166" t="s">
        <v>3166</v>
      </c>
      <c r="D409" s="157" t="s">
        <v>2533</v>
      </c>
      <c r="E409" s="158" t="s">
        <v>2788</v>
      </c>
      <c r="F409" s="189" t="s">
        <v>3605</v>
      </c>
      <c r="G409" s="156" t="s">
        <v>3040</v>
      </c>
      <c r="H409" s="157" t="str">
        <f>IF(G409="","",VLOOKUP(G409,'附表8-合同明细采集底稿'!B:I,2,0))</f>
        <v>19#20#23、24楼中间干挂石材</v>
      </c>
      <c r="I409" s="165" t="str">
        <f>IF(G409="","",VLOOKUP(G409,'附表8-合同明细采集底稿'!B:I,3,0))</f>
        <v>其他合同</v>
      </c>
      <c r="J409" s="187" t="s">
        <v>3606</v>
      </c>
      <c r="K409" s="157" t="s">
        <v>2355</v>
      </c>
      <c r="L409" s="166">
        <v>6500193130</v>
      </c>
      <c r="M409" s="555" t="s">
        <v>3607</v>
      </c>
      <c r="N409" s="167">
        <v>14059.41</v>
      </c>
      <c r="O409" s="167">
        <v>14200</v>
      </c>
      <c r="P409" s="167">
        <v>14059.41</v>
      </c>
      <c r="Q409" s="167"/>
      <c r="R409" s="167">
        <f t="shared" si="37"/>
        <v>14059.41</v>
      </c>
      <c r="S409" s="178">
        <f>IFERROR(VLOOKUP(G409,'附表8-合同明细采集底稿'!B:N,12,0),100%)</f>
        <v>1</v>
      </c>
      <c r="T409" s="167">
        <f t="shared" si="44"/>
        <v>14059.41</v>
      </c>
      <c r="U409" s="157" t="s">
        <v>2416</v>
      </c>
      <c r="V409" s="179" t="s">
        <v>374</v>
      </c>
      <c r="W409" s="182">
        <f>ROUND(T409*成本分摊比例!$G$13/(成本分摊比例!$G$13+成本分摊比例!$H$13+成本分摊比例!$I$13),2)</f>
        <v>7596.32</v>
      </c>
      <c r="X409" s="182">
        <f>ROUND(T409*成本分摊比例!$H$13/(成本分摊比例!$G$13+成本分摊比例!$H$13+成本分摊比例!$I$13),2)</f>
        <v>5025.94</v>
      </c>
      <c r="Y409" s="182">
        <f>T409-W409-X409</f>
        <v>1437.15</v>
      </c>
      <c r="Z409" s="183" t="s">
        <v>2406</v>
      </c>
      <c r="AA409" s="157"/>
      <c r="AB409" s="184" t="s">
        <v>2319</v>
      </c>
      <c r="AC409" s="132">
        <f t="shared" si="45"/>
        <v>0</v>
      </c>
    </row>
    <row r="410" s="132" customFormat="1" ht="24" customHeight="1" spans="1:29">
      <c r="A410" s="150">
        <v>404</v>
      </c>
      <c r="B410" s="166" t="s">
        <v>1251</v>
      </c>
      <c r="C410" s="166" t="s">
        <v>3608</v>
      </c>
      <c r="D410" s="157" t="s">
        <v>2346</v>
      </c>
      <c r="E410" s="158" t="s">
        <v>2418</v>
      </c>
      <c r="F410" s="189" t="s">
        <v>3609</v>
      </c>
      <c r="G410" s="156" t="s">
        <v>2945</v>
      </c>
      <c r="H410" s="157" t="str">
        <f>IF(G410="","",VLOOKUP(G410,'附表8-合同明细采集底稿'!B:I,2,0))</f>
        <v>电气外网供货安装合同</v>
      </c>
      <c r="I410" s="165" t="str">
        <f>IF(G410="","",VLOOKUP(G410,'附表8-合同明细采集底稿'!B:I,3,0))</f>
        <v>其他合同</v>
      </c>
      <c r="J410" s="169" t="s">
        <v>2946</v>
      </c>
      <c r="K410" s="157" t="s">
        <v>2355</v>
      </c>
      <c r="L410" s="191">
        <v>6500193130</v>
      </c>
      <c r="M410" s="166" t="s">
        <v>3610</v>
      </c>
      <c r="N410" s="167">
        <v>214646.79</v>
      </c>
      <c r="O410" s="167">
        <v>233965</v>
      </c>
      <c r="P410" s="167">
        <v>214646.79</v>
      </c>
      <c r="Q410" s="167"/>
      <c r="R410" s="167">
        <f t="shared" ref="R410:R473" si="47">P410+Q410</f>
        <v>214646.79</v>
      </c>
      <c r="S410" s="178">
        <f>IFERROR(VLOOKUP(G410,'附表8-合同明细采集底稿'!B:N,12,0),100%)</f>
        <v>1</v>
      </c>
      <c r="T410" s="167">
        <f t="shared" si="44"/>
        <v>214646.79</v>
      </c>
      <c r="U410" s="157" t="s">
        <v>2344</v>
      </c>
      <c r="V410" s="179" t="s">
        <v>375</v>
      </c>
      <c r="W410" s="180">
        <f>IF('附表1-面积统计表'!$D$29=0,"",IF(AND(V410="共同成本费用",Z410="总建筑面积法"),ROUND(T410/'附表1-面积统计表'!$D$29*'附表1-面积统计表'!$D$5,2),IF(AND(V410="共同成本费用",Z410="可售建筑面积法"),ROUND(T410/'附表1-面积统计表'!$F$29*'附表1-面积统计表'!$F$5,2),"请手工填写")))</f>
        <v>103988.44</v>
      </c>
      <c r="X410" s="180">
        <f>IF(SUM('附表1-面积统计表'!$D$6)=0,"",SUM(T410)-SUM(W410)-SUM(Y410))</f>
        <v>68801.62</v>
      </c>
      <c r="Y410" s="180">
        <f>IF(SUM('附表1-面积统计表'!$D$6)=0,SUM(T410)-SUM(W410),IF('附表1-面积统计表'!$D$29=0,"",IF(AND(V410="共同成本费用",Z410="总建筑面积法"),ROUND(T410/'附表1-面积统计表'!$D$29*'附表1-面积统计表'!$D$7,2),IF(AND(V410="共同成本费用",Z410="可售建筑面积法"),ROUND(T410/'附表1-面积统计表'!$F$29*'附表1-面积统计表'!$F$7,2),"请手工填写"))))</f>
        <v>41856.73</v>
      </c>
      <c r="Z410" s="183" t="s">
        <v>351</v>
      </c>
      <c r="AA410" s="157"/>
      <c r="AB410" s="184" t="s">
        <v>2319</v>
      </c>
      <c r="AC410" s="132">
        <f t="shared" si="45"/>
        <v>0</v>
      </c>
    </row>
    <row r="411" s="132" customFormat="1" ht="24" customHeight="1" spans="1:29">
      <c r="A411" s="150">
        <v>405</v>
      </c>
      <c r="B411" s="166" t="s">
        <v>3611</v>
      </c>
      <c r="C411" s="166" t="s">
        <v>2979</v>
      </c>
      <c r="D411" s="157" t="s">
        <v>2533</v>
      </c>
      <c r="E411" s="158" t="s">
        <v>2534</v>
      </c>
      <c r="F411" s="189" t="s">
        <v>3612</v>
      </c>
      <c r="G411" s="156" t="s">
        <v>3613</v>
      </c>
      <c r="H411" s="157" t="str">
        <f>IF(G411="","",VLOOKUP(G411,'附表8-合同明细采集底稿'!B:I,2,0))</f>
        <v>装修设计合同</v>
      </c>
      <c r="I411" s="165" t="str">
        <f>IF(G411="","",VLOOKUP(G411,'附表8-合同明细采集底稿'!B:I,3,0))</f>
        <v>技术合同</v>
      </c>
      <c r="J411" s="187" t="s">
        <v>3614</v>
      </c>
      <c r="K411" s="157" t="s">
        <v>2335</v>
      </c>
      <c r="L411" s="168" t="s">
        <v>2336</v>
      </c>
      <c r="M411" s="166" t="s">
        <v>3615</v>
      </c>
      <c r="N411" s="167">
        <v>114000</v>
      </c>
      <c r="O411" s="167">
        <v>114000</v>
      </c>
      <c r="P411" s="167">
        <v>114000</v>
      </c>
      <c r="Q411" s="167">
        <v>-114000</v>
      </c>
      <c r="R411" s="167">
        <f t="shared" si="47"/>
        <v>0</v>
      </c>
      <c r="S411" s="178">
        <f>IFERROR(VLOOKUP(G411,'附表8-合同明细采集底稿'!B:N,12,0),100%)</f>
        <v>1</v>
      </c>
      <c r="T411" s="167">
        <f t="shared" si="44"/>
        <v>0</v>
      </c>
      <c r="U411" s="157" t="s">
        <v>2405</v>
      </c>
      <c r="V411" s="179" t="s">
        <v>374</v>
      </c>
      <c r="W411" s="181">
        <v>0</v>
      </c>
      <c r="X411" s="181">
        <v>0</v>
      </c>
      <c r="Y411" s="181">
        <v>0</v>
      </c>
      <c r="Z411" s="183" t="s">
        <v>2406</v>
      </c>
      <c r="AA411" s="157"/>
      <c r="AB411" s="184" t="s">
        <v>2319</v>
      </c>
      <c r="AC411" s="132">
        <f t="shared" si="45"/>
        <v>0</v>
      </c>
    </row>
    <row r="412" s="132" customFormat="1" ht="24" customHeight="1" spans="1:29">
      <c r="A412" s="150">
        <v>406</v>
      </c>
      <c r="B412" s="166" t="s">
        <v>3611</v>
      </c>
      <c r="C412" s="166" t="s">
        <v>3534</v>
      </c>
      <c r="D412" s="157" t="s">
        <v>2533</v>
      </c>
      <c r="E412" s="158" t="s">
        <v>2564</v>
      </c>
      <c r="F412" s="189" t="s">
        <v>3616</v>
      </c>
      <c r="G412" s="156" t="s">
        <v>2900</v>
      </c>
      <c r="H412" s="157" t="str">
        <f>IF(G412="","",VLOOKUP(G412,'附表8-合同明细采集底稿'!B:I,2,0))</f>
        <v>沁春锦苑25、26、28#施工协议</v>
      </c>
      <c r="I412" s="165" t="str">
        <f>IF(G412="","",VLOOKUP(G412,'附表8-合同明细采集底稿'!B:I,3,0))</f>
        <v>建设工程合同</v>
      </c>
      <c r="J412" s="187" t="s">
        <v>144</v>
      </c>
      <c r="K412" s="157" t="s">
        <v>2355</v>
      </c>
      <c r="L412" s="166">
        <v>6500193130</v>
      </c>
      <c r="M412" s="555" t="s">
        <v>3617</v>
      </c>
      <c r="N412" s="167">
        <v>305539.45</v>
      </c>
      <c r="O412" s="167">
        <v>333038</v>
      </c>
      <c r="P412" s="167">
        <v>305539.45</v>
      </c>
      <c r="Q412" s="167"/>
      <c r="R412" s="167">
        <f t="shared" si="47"/>
        <v>305539.45</v>
      </c>
      <c r="S412" s="178">
        <f>IFERROR(VLOOKUP(G412,'附表8-合同明细采集底稿'!B:N,12,0),100%)</f>
        <v>1</v>
      </c>
      <c r="T412" s="167">
        <f t="shared" si="44"/>
        <v>305539.45</v>
      </c>
      <c r="U412" s="157" t="s">
        <v>2416</v>
      </c>
      <c r="V412" s="179" t="s">
        <v>374</v>
      </c>
      <c r="W412" s="182">
        <f>ROUND(T412*成本分摊比例!$G$13/(成本分摊比例!$G$13+成本分摊比例!$H$13+成本分摊比例!$I$13),2)</f>
        <v>165083.51</v>
      </c>
      <c r="X412" s="182">
        <f>ROUND(T412*成本分摊比例!$H$13/(成本分摊比例!$G$13+成本分摊比例!$H$13+成本分摊比例!$I$13),2)</f>
        <v>109223.8</v>
      </c>
      <c r="Y412" s="182">
        <f>T412-W412-X412</f>
        <v>31232.14</v>
      </c>
      <c r="Z412" s="183" t="s">
        <v>2406</v>
      </c>
      <c r="AA412" s="157"/>
      <c r="AB412" s="184" t="s">
        <v>2319</v>
      </c>
      <c r="AC412" s="132">
        <f t="shared" si="45"/>
        <v>0</v>
      </c>
    </row>
    <row r="413" s="132" customFormat="1" ht="24" customHeight="1" spans="1:29">
      <c r="A413" s="150">
        <v>407</v>
      </c>
      <c r="B413" s="166" t="s">
        <v>3618</v>
      </c>
      <c r="C413" s="166" t="s">
        <v>3619</v>
      </c>
      <c r="D413" s="157" t="s">
        <v>2346</v>
      </c>
      <c r="E413" s="158" t="s">
        <v>2938</v>
      </c>
      <c r="F413" s="189" t="s">
        <v>3620</v>
      </c>
      <c r="G413" s="156" t="s">
        <v>3180</v>
      </c>
      <c r="H413" s="157" t="str">
        <f>IF(G413="","",VLOOKUP(G413,'附表8-合同明细采集底稿'!B:I,2,0))</f>
        <v>沁春锦苑一期、二期电梯监控及五方对讲安装工程合同</v>
      </c>
      <c r="I413" s="165" t="str">
        <f>IF(G413="","",VLOOKUP(G413,'附表8-合同明细采集底稿'!B:I,3,0))</f>
        <v>其他合同</v>
      </c>
      <c r="J413" s="169" t="s">
        <v>2420</v>
      </c>
      <c r="K413" s="157" t="s">
        <v>2355</v>
      </c>
      <c r="L413" s="191">
        <v>6500193130</v>
      </c>
      <c r="M413" s="166" t="s">
        <v>3621</v>
      </c>
      <c r="N413" s="167">
        <v>196039.6</v>
      </c>
      <c r="O413" s="167">
        <v>198000</v>
      </c>
      <c r="P413" s="167">
        <v>196039.6</v>
      </c>
      <c r="Q413" s="167"/>
      <c r="R413" s="167">
        <f t="shared" si="47"/>
        <v>196039.6</v>
      </c>
      <c r="S413" s="178">
        <f>IFERROR(VLOOKUP(G413,'附表8-合同明细采集底稿'!B:N,12,0),100%)</f>
        <v>1</v>
      </c>
      <c r="T413" s="167">
        <f t="shared" si="44"/>
        <v>196039.6</v>
      </c>
      <c r="U413" s="157" t="s">
        <v>2344</v>
      </c>
      <c r="V413" s="179" t="s">
        <v>375</v>
      </c>
      <c r="W413" s="180">
        <f>IF('附表1-面积统计表'!$D$29=0,"",IF(AND(V413="共同成本费用",Z413="总建筑面积法"),ROUND(T413/'附表1-面积统计表'!$D$29*'附表1-面积统计表'!$D$5,2),IF(AND(V413="共同成本费用",Z413="可售建筑面积法"),ROUND(T413/'附表1-面积统计表'!$F$29*'附表1-面积统计表'!$F$5,2),"请手工填写")))</f>
        <v>94973.95</v>
      </c>
      <c r="X413" s="180">
        <f>IF(SUM('附表1-面积统计表'!$D$6)=0,"",SUM(T413)-SUM(W413)-SUM(Y413))</f>
        <v>62837.38</v>
      </c>
      <c r="Y413" s="180">
        <f>IF(SUM('附表1-面积统计表'!$D$6)=0,SUM(T413)-SUM(W413),IF('附表1-面积统计表'!$D$29=0,"",IF(AND(V413="共同成本费用",Z413="总建筑面积法"),ROUND(T413/'附表1-面积统计表'!$D$29*'附表1-面积统计表'!$D$7,2),IF(AND(V413="共同成本费用",Z413="可售建筑面积法"),ROUND(T413/'附表1-面积统计表'!$F$29*'附表1-面积统计表'!$F$7,2),"请手工填写"))))</f>
        <v>38228.27</v>
      </c>
      <c r="Z413" s="183" t="s">
        <v>351</v>
      </c>
      <c r="AA413" s="157"/>
      <c r="AB413" s="184" t="s">
        <v>2319</v>
      </c>
      <c r="AC413" s="132">
        <f t="shared" si="45"/>
        <v>0</v>
      </c>
    </row>
    <row r="414" s="132" customFormat="1" ht="24" customHeight="1" spans="1:29">
      <c r="A414" s="150">
        <v>408</v>
      </c>
      <c r="B414" s="166" t="s">
        <v>3618</v>
      </c>
      <c r="C414" s="166" t="s">
        <v>3622</v>
      </c>
      <c r="D414" s="157" t="s">
        <v>2470</v>
      </c>
      <c r="E414" s="158" t="s">
        <v>3314</v>
      </c>
      <c r="F414" s="189" t="s">
        <v>3623</v>
      </c>
      <c r="G414" s="156"/>
      <c r="H414" s="157"/>
      <c r="I414" s="165"/>
      <c r="J414" s="187" t="s">
        <v>3624</v>
      </c>
      <c r="K414" s="157" t="s">
        <v>2317</v>
      </c>
      <c r="L414" s="166"/>
      <c r="M414" s="166"/>
      <c r="N414" s="167">
        <v>7054.74</v>
      </c>
      <c r="O414" s="167">
        <v>7054.74</v>
      </c>
      <c r="P414" s="167">
        <v>7054.74</v>
      </c>
      <c r="Q414" s="167"/>
      <c r="R414" s="167">
        <f t="shared" si="47"/>
        <v>7054.74</v>
      </c>
      <c r="S414" s="202">
        <v>0.338555832480367</v>
      </c>
      <c r="T414" s="167">
        <f t="shared" si="44"/>
        <v>2388.42</v>
      </c>
      <c r="U414" s="157" t="s">
        <v>2344</v>
      </c>
      <c r="V414" s="179" t="s">
        <v>375</v>
      </c>
      <c r="W414" s="180">
        <f>IF('附表1-面积统计表'!$D$29=0,"",IF(AND(V414="共同成本费用",Z414="总建筑面积法"),ROUND(T414/'附表1-面积统计表'!$D$29*'附表1-面积统计表'!$D$5,2),IF(AND(V414="共同成本费用",Z414="可售建筑面积法"),ROUND(T414/'附表1-面积统计表'!$F$29*'附表1-面积统计表'!$F$5,2),"请手工填写")))</f>
        <v>1157.1</v>
      </c>
      <c r="X414" s="180">
        <f>IF(SUM('附表1-面积统计表'!$D$6)=0,"",SUM(T414)-SUM(W414)-SUM(Y414))</f>
        <v>765.57</v>
      </c>
      <c r="Y414" s="180">
        <f>IF(SUM('附表1-面积统计表'!$D$6)=0,SUM(T414)-SUM(W414),IF('附表1-面积统计表'!$D$29=0,"",IF(AND(V414="共同成本费用",Z414="总建筑面积法"),ROUND(T414/'附表1-面积统计表'!$D$29*'附表1-面积统计表'!$D$7,2),IF(AND(V414="共同成本费用",Z414="可售建筑面积法"),ROUND(T414/'附表1-面积统计表'!$F$29*'附表1-面积统计表'!$F$7,2),"请手工填写"))))</f>
        <v>465.75</v>
      </c>
      <c r="Z414" s="183" t="s">
        <v>351</v>
      </c>
      <c r="AA414" s="157"/>
      <c r="AB414" s="184" t="s">
        <v>2319</v>
      </c>
      <c r="AC414" s="132">
        <f t="shared" si="45"/>
        <v>0</v>
      </c>
    </row>
    <row r="415" s="132" customFormat="1" ht="24" customHeight="1" spans="1:29">
      <c r="A415" s="150">
        <v>409</v>
      </c>
      <c r="B415" s="166" t="s">
        <v>3618</v>
      </c>
      <c r="C415" s="166" t="s">
        <v>3358</v>
      </c>
      <c r="D415" s="157" t="s">
        <v>2331</v>
      </c>
      <c r="E415" s="158" t="s">
        <v>3095</v>
      </c>
      <c r="F415" s="189" t="s">
        <v>3625</v>
      </c>
      <c r="G415" s="156" t="s">
        <v>3626</v>
      </c>
      <c r="H415" s="157" t="str">
        <f>IF(G415="","",VLOOKUP(G415,'附表8-合同明细采集底稿'!B:I,2,0))</f>
        <v>沁春锦苑35#楼东侧停车棚安装合同</v>
      </c>
      <c r="I415" s="165" t="str">
        <f>IF(G415="","",VLOOKUP(G415,'附表8-合同明细采集底稿'!B:I,3,0))</f>
        <v>其他合同</v>
      </c>
      <c r="J415" s="187" t="s">
        <v>3627</v>
      </c>
      <c r="K415" s="157" t="s">
        <v>2355</v>
      </c>
      <c r="L415" s="166">
        <v>6500201130</v>
      </c>
      <c r="M415" s="555" t="s">
        <v>3628</v>
      </c>
      <c r="N415" s="167">
        <v>45465.49</v>
      </c>
      <c r="O415" s="167">
        <v>51376</v>
      </c>
      <c r="P415" s="167">
        <v>45465.49</v>
      </c>
      <c r="Q415" s="167">
        <v>-2273.28</v>
      </c>
      <c r="R415" s="167">
        <f t="shared" si="47"/>
        <v>43192.21</v>
      </c>
      <c r="S415" s="178">
        <f>IFERROR(VLOOKUP(G415,'附表8-合同明细采集底稿'!B:N,12,0),100%)</f>
        <v>0.338555832480367</v>
      </c>
      <c r="T415" s="167">
        <f t="shared" si="44"/>
        <v>14622.97</v>
      </c>
      <c r="U415" s="157" t="s">
        <v>3629</v>
      </c>
      <c r="V415" s="179" t="s">
        <v>375</v>
      </c>
      <c r="W415" s="180">
        <f>IF('附表1-面积统计表'!$D$29=0,"",IF(AND(V415="共同成本费用",Z415="总建筑面积法"),ROUND(T415/'附表1-面积统计表'!$D$29*'附表1-面积统计表'!$D$5,2),IF(AND(V415="共同成本费用",Z415="可售建筑面积法"),ROUND(T415/'附表1-面积统计表'!$F$29*'附表1-面积统计表'!$F$5,2),"请手工填写")))</f>
        <v>7084.29</v>
      </c>
      <c r="X415" s="180">
        <f>IF(SUM('附表1-面积统计表'!$D$6)=0,"",SUM(T415)-SUM(W415)-SUM(Y415))</f>
        <v>4687.16</v>
      </c>
      <c r="Y415" s="180">
        <f>IF(SUM('附表1-面积统计表'!$D$6)=0,SUM(T415)-SUM(W415),IF('附表1-面积统计表'!$D$29=0,"",IF(AND(V415="共同成本费用",Z415="总建筑面积法"),ROUND(T415/'附表1-面积统计表'!$D$29*'附表1-面积统计表'!$D$7,2),IF(AND(V415="共同成本费用",Z415="可售建筑面积法"),ROUND(T415/'附表1-面积统计表'!$F$29*'附表1-面积统计表'!$F$7,2),"请手工填写"))))</f>
        <v>2851.52</v>
      </c>
      <c r="Z415" s="183" t="s">
        <v>351</v>
      </c>
      <c r="AA415" s="157"/>
      <c r="AB415" s="184" t="s">
        <v>2319</v>
      </c>
      <c r="AC415" s="132">
        <f t="shared" si="45"/>
        <v>0</v>
      </c>
    </row>
    <row r="416" s="132" customFormat="1" ht="24" customHeight="1" spans="1:29">
      <c r="A416" s="150">
        <v>410</v>
      </c>
      <c r="B416" s="166" t="s">
        <v>3618</v>
      </c>
      <c r="C416" s="166" t="s">
        <v>3361</v>
      </c>
      <c r="D416" s="157" t="s">
        <v>2346</v>
      </c>
      <c r="E416" s="158" t="s">
        <v>2938</v>
      </c>
      <c r="F416" s="189" t="s">
        <v>3630</v>
      </c>
      <c r="G416" s="156" t="s">
        <v>3631</v>
      </c>
      <c r="H416" s="157" t="str">
        <f>IF(G416="","",VLOOKUP(G416,'附表8-合同明细采集底稿'!B:I,2,0))</f>
        <v>沁春锦苑一期二批次25#-30#楼楼宇对讲</v>
      </c>
      <c r="I416" s="165" t="str">
        <f>IF(G416="","",VLOOKUP(G416,'附表8-合同明细采集底稿'!B:I,3,0))</f>
        <v>其他合同</v>
      </c>
      <c r="J416" s="169" t="s">
        <v>2420</v>
      </c>
      <c r="K416" s="157" t="s">
        <v>2355</v>
      </c>
      <c r="L416" s="191">
        <v>6500193130</v>
      </c>
      <c r="M416" s="166" t="s">
        <v>3632</v>
      </c>
      <c r="N416" s="167">
        <v>148514.85</v>
      </c>
      <c r="O416" s="167">
        <v>150000</v>
      </c>
      <c r="P416" s="167">
        <v>148514.85</v>
      </c>
      <c r="Q416" s="167"/>
      <c r="R416" s="167">
        <f t="shared" si="47"/>
        <v>148514.85</v>
      </c>
      <c r="S416" s="178">
        <f>IFERROR(VLOOKUP(G416,'附表8-合同明细采集底稿'!B:N,12,0),100%)</f>
        <v>1</v>
      </c>
      <c r="T416" s="167">
        <f t="shared" si="44"/>
        <v>148514.85</v>
      </c>
      <c r="U416" s="157" t="s">
        <v>2416</v>
      </c>
      <c r="V416" s="179" t="s">
        <v>374</v>
      </c>
      <c r="W416" s="182">
        <f>ROUND(T416*成本分摊比例!$G$13/(成本分摊比例!$G$13+成本分摊比例!$H$13+成本分摊比例!$I$13),2)</f>
        <v>80242.84</v>
      </c>
      <c r="X416" s="182">
        <f>ROUND(T416*成本分摊比例!$H$13/(成本分摊比例!$G$13+成本分摊比例!$H$13+成本分摊比例!$I$13),2)</f>
        <v>53090.87</v>
      </c>
      <c r="Y416" s="182">
        <f t="shared" ref="Y416:Y420" si="48">T416-W416-X416</f>
        <v>15181.14</v>
      </c>
      <c r="Z416" s="183" t="s">
        <v>2406</v>
      </c>
      <c r="AA416" s="157"/>
      <c r="AB416" s="184" t="s">
        <v>2319</v>
      </c>
      <c r="AC416" s="132">
        <f t="shared" si="45"/>
        <v>0</v>
      </c>
    </row>
    <row r="417" s="132" customFormat="1" ht="24" customHeight="1" spans="1:29">
      <c r="A417" s="150">
        <v>411</v>
      </c>
      <c r="B417" s="166" t="s">
        <v>3618</v>
      </c>
      <c r="C417" s="166" t="s">
        <v>3361</v>
      </c>
      <c r="D417" s="157" t="s">
        <v>2346</v>
      </c>
      <c r="E417" s="158" t="s">
        <v>2938</v>
      </c>
      <c r="F417" s="189" t="s">
        <v>3630</v>
      </c>
      <c r="G417" s="156" t="s">
        <v>3180</v>
      </c>
      <c r="H417" s="157" t="str">
        <f>IF(G417="","",VLOOKUP(G417,'附表8-合同明细采集底稿'!B:I,2,0))</f>
        <v>沁春锦苑一期、二期电梯监控及五方对讲安装工程合同</v>
      </c>
      <c r="I417" s="165" t="str">
        <f>IF(G417="","",VLOOKUP(G417,'附表8-合同明细采集底稿'!B:I,3,0))</f>
        <v>其他合同</v>
      </c>
      <c r="J417" s="169" t="s">
        <v>2420</v>
      </c>
      <c r="K417" s="157" t="s">
        <v>2355</v>
      </c>
      <c r="L417" s="191">
        <v>6500193130</v>
      </c>
      <c r="M417" s="166" t="s">
        <v>3632</v>
      </c>
      <c r="N417" s="167">
        <v>11881.19</v>
      </c>
      <c r="O417" s="167">
        <v>12000</v>
      </c>
      <c r="P417" s="167">
        <v>11881.19</v>
      </c>
      <c r="Q417" s="167"/>
      <c r="R417" s="167">
        <f t="shared" si="47"/>
        <v>11881.19</v>
      </c>
      <c r="S417" s="178">
        <f>IFERROR(VLOOKUP(G417,'附表8-合同明细采集底稿'!B:N,12,0),100%)</f>
        <v>1</v>
      </c>
      <c r="T417" s="167">
        <f t="shared" si="44"/>
        <v>11881.19</v>
      </c>
      <c r="U417" s="157" t="s">
        <v>2344</v>
      </c>
      <c r="V417" s="179" t="s">
        <v>375</v>
      </c>
      <c r="W417" s="180">
        <f>IF('附表1-面积统计表'!$D$29=0,"",IF(AND(V417="共同成本费用",Z417="总建筑面积法"),ROUND(T417/'附表1-面积统计表'!$D$29*'附表1-面积统计表'!$D$5,2),IF(AND(V417="共同成本费用",Z417="可售建筑面积法"),ROUND(T417/'附表1-面积统计表'!$F$29*'附表1-面积统计表'!$F$5,2),"请手工填写")))</f>
        <v>5756</v>
      </c>
      <c r="X417" s="180">
        <f>IF(SUM('附表1-面积统计表'!$D$6)=0,"",SUM(T417)-SUM(W417)-SUM(Y417))</f>
        <v>3808.32</v>
      </c>
      <c r="Y417" s="180">
        <f>IF(SUM('附表1-面积统计表'!$D$6)=0,SUM(T417)-SUM(W417),IF('附表1-面积统计表'!$D$29=0,"",IF(AND(V417="共同成本费用",Z417="总建筑面积法"),ROUND(T417/'附表1-面积统计表'!$D$29*'附表1-面积统计表'!$D$7,2),IF(AND(V417="共同成本费用",Z417="可售建筑面积法"),ROUND(T417/'附表1-面积统计表'!$F$29*'附表1-面积统计表'!$F$7,2),"请手工填写"))))</f>
        <v>2316.87</v>
      </c>
      <c r="Z417" s="183" t="s">
        <v>351</v>
      </c>
      <c r="AA417" s="157"/>
      <c r="AB417" s="184" t="s">
        <v>2319</v>
      </c>
      <c r="AC417" s="132">
        <f t="shared" si="45"/>
        <v>0</v>
      </c>
    </row>
    <row r="418" s="132" customFormat="1" ht="24" customHeight="1" spans="1:29">
      <c r="A418" s="150">
        <v>412</v>
      </c>
      <c r="B418" s="166" t="s">
        <v>3618</v>
      </c>
      <c r="C418" s="166" t="s">
        <v>3361</v>
      </c>
      <c r="D418" s="157" t="s">
        <v>2346</v>
      </c>
      <c r="E418" s="158" t="s">
        <v>2418</v>
      </c>
      <c r="F418" s="189" t="s">
        <v>3630</v>
      </c>
      <c r="G418" s="156" t="s">
        <v>3633</v>
      </c>
      <c r="H418" s="157" t="str">
        <f>IF(G418="","",VLOOKUP(G418,'附表8-合同明细采集底稿'!B:I,2,0))</f>
        <v>沁春锦苑1#32#33#34#35#、大门亮化工程合同</v>
      </c>
      <c r="I418" s="165" t="str">
        <f>IF(G418="","",VLOOKUP(G418,'附表8-合同明细采集底稿'!B:I,3,0))</f>
        <v>买卖合同</v>
      </c>
      <c r="J418" s="169" t="s">
        <v>2420</v>
      </c>
      <c r="K418" s="157" t="s">
        <v>2355</v>
      </c>
      <c r="L418" s="191">
        <v>6500193130</v>
      </c>
      <c r="M418" s="166" t="s">
        <v>3634</v>
      </c>
      <c r="N418" s="167">
        <v>191089.1</v>
      </c>
      <c r="O418" s="167">
        <v>193000</v>
      </c>
      <c r="P418" s="167">
        <v>191089.1</v>
      </c>
      <c r="Q418" s="167"/>
      <c r="R418" s="167">
        <f t="shared" si="47"/>
        <v>191089.1</v>
      </c>
      <c r="S418" s="178">
        <f>IFERROR(VLOOKUP(G418,'附表8-合同明细采集底稿'!B:N,12,0),100%)</f>
        <v>1</v>
      </c>
      <c r="T418" s="167">
        <f t="shared" si="44"/>
        <v>191089.1</v>
      </c>
      <c r="U418" s="157" t="s">
        <v>2405</v>
      </c>
      <c r="V418" s="179" t="s">
        <v>374</v>
      </c>
      <c r="W418" s="181">
        <v>0</v>
      </c>
      <c r="X418" s="181">
        <v>0</v>
      </c>
      <c r="Y418" s="181">
        <v>191089.1</v>
      </c>
      <c r="Z418" s="183" t="s">
        <v>2406</v>
      </c>
      <c r="AA418" s="157"/>
      <c r="AB418" s="184" t="s">
        <v>2319</v>
      </c>
      <c r="AC418" s="132">
        <f t="shared" si="45"/>
        <v>0</v>
      </c>
    </row>
    <row r="419" s="132" customFormat="1" ht="24" customHeight="1" spans="1:29">
      <c r="A419" s="150">
        <v>413</v>
      </c>
      <c r="B419" s="166" t="s">
        <v>3618</v>
      </c>
      <c r="C419" s="166" t="s">
        <v>3635</v>
      </c>
      <c r="D419" s="157" t="s">
        <v>2533</v>
      </c>
      <c r="E419" s="158" t="s">
        <v>2690</v>
      </c>
      <c r="F419" s="189" t="s">
        <v>3636</v>
      </c>
      <c r="G419" s="156" t="s">
        <v>3017</v>
      </c>
      <c r="H419" s="157" t="str">
        <f>IF(G419="","",VLOOKUP(G419,'附表8-合同明细采集底稿'!B:I,2,0))</f>
        <v>沁春锦苑25#-30#号楼防火防盗门</v>
      </c>
      <c r="I419" s="165" t="str">
        <f>IF(G419="","",VLOOKUP(G419,'附表8-合同明细采集底稿'!B:I,3,0))</f>
        <v>买卖合同</v>
      </c>
      <c r="J419" s="187" t="s">
        <v>3018</v>
      </c>
      <c r="K419" s="157" t="s">
        <v>2355</v>
      </c>
      <c r="L419" s="166">
        <v>6500193130</v>
      </c>
      <c r="M419" s="555" t="s">
        <v>3637</v>
      </c>
      <c r="N419" s="167">
        <v>89115.05</v>
      </c>
      <c r="O419" s="167">
        <v>100700</v>
      </c>
      <c r="P419" s="167">
        <v>89115.05</v>
      </c>
      <c r="Q419" s="167"/>
      <c r="R419" s="167">
        <f t="shared" si="47"/>
        <v>89115.05</v>
      </c>
      <c r="S419" s="178">
        <f>IFERROR(VLOOKUP(G419,'附表8-合同明细采集底稿'!B:N,12,0),100%)</f>
        <v>1</v>
      </c>
      <c r="T419" s="167">
        <f t="shared" si="44"/>
        <v>89115.05</v>
      </c>
      <c r="U419" s="157" t="s">
        <v>2416</v>
      </c>
      <c r="V419" s="179" t="s">
        <v>374</v>
      </c>
      <c r="W419" s="182">
        <f>ROUND(T419*成本分摊比例!$G$13/(成本分摊比例!$G$13+成本分摊比例!$H$13+成本分摊比例!$I$13),2)</f>
        <v>48149.02</v>
      </c>
      <c r="X419" s="182">
        <f>ROUND(T419*成本分摊比例!$H$13/(成本分摊比例!$G$13+成本分摊比例!$H$13+成本分摊比例!$I$13),2)</f>
        <v>31856.72</v>
      </c>
      <c r="Y419" s="182">
        <f t="shared" si="48"/>
        <v>9109.31</v>
      </c>
      <c r="Z419" s="183" t="s">
        <v>2406</v>
      </c>
      <c r="AA419" s="157"/>
      <c r="AB419" s="184" t="s">
        <v>2319</v>
      </c>
      <c r="AC419" s="132">
        <f t="shared" si="45"/>
        <v>0</v>
      </c>
    </row>
    <row r="420" s="132" customFormat="1" ht="24" customHeight="1" spans="1:29">
      <c r="A420" s="150">
        <v>414</v>
      </c>
      <c r="B420" s="166" t="s">
        <v>3618</v>
      </c>
      <c r="C420" s="166" t="s">
        <v>3635</v>
      </c>
      <c r="D420" s="157" t="s">
        <v>2533</v>
      </c>
      <c r="E420" s="158" t="s">
        <v>2690</v>
      </c>
      <c r="F420" s="189" t="s">
        <v>3636</v>
      </c>
      <c r="G420" s="156" t="s">
        <v>3202</v>
      </c>
      <c r="H420" s="157" t="str">
        <f>IF(G420="","",VLOOKUP(G420,'附表8-合同明细采集底稿'!B:I,2,0))</f>
        <v>沁春锦苑一期地下室钢质门（19-24#）</v>
      </c>
      <c r="I420" s="165" t="str">
        <f>IF(G420="","",VLOOKUP(G420,'附表8-合同明细采集底稿'!B:I,3,0))</f>
        <v>买卖合同</v>
      </c>
      <c r="J420" s="187" t="s">
        <v>3018</v>
      </c>
      <c r="K420" s="157" t="s">
        <v>2355</v>
      </c>
      <c r="L420" s="166">
        <v>6500193130</v>
      </c>
      <c r="M420" s="555" t="s">
        <v>3638</v>
      </c>
      <c r="N420" s="167">
        <v>17330.97</v>
      </c>
      <c r="O420" s="167">
        <v>19584</v>
      </c>
      <c r="P420" s="167">
        <v>17330.97</v>
      </c>
      <c r="Q420" s="167"/>
      <c r="R420" s="167">
        <f t="shared" si="47"/>
        <v>17330.97</v>
      </c>
      <c r="S420" s="178">
        <f>IFERROR(VLOOKUP(G420,'附表8-合同明细采集底稿'!B:N,12,0),100%)</f>
        <v>1</v>
      </c>
      <c r="T420" s="167">
        <f t="shared" si="44"/>
        <v>17330.97</v>
      </c>
      <c r="U420" s="157" t="s">
        <v>2416</v>
      </c>
      <c r="V420" s="179" t="s">
        <v>374</v>
      </c>
      <c r="W420" s="182">
        <f>ROUND(T420*成本分摊比例!$G$13/(成本分摊比例!$G$13+成本分摊比例!$H$13+成本分摊比例!$I$13),2)</f>
        <v>9363.95</v>
      </c>
      <c r="X420" s="182">
        <f>ROUND(T420*成本分摊比例!$H$13/(成本分摊比例!$G$13+成本分摊比例!$H$13+成本分摊比例!$I$13),2)</f>
        <v>6195.45</v>
      </c>
      <c r="Y420" s="182">
        <f t="shared" si="48"/>
        <v>1771.57</v>
      </c>
      <c r="Z420" s="183" t="s">
        <v>2406</v>
      </c>
      <c r="AA420" s="157"/>
      <c r="AB420" s="184" t="s">
        <v>2319</v>
      </c>
      <c r="AC420" s="132">
        <f t="shared" si="45"/>
        <v>0</v>
      </c>
    </row>
    <row r="421" s="132" customFormat="1" ht="24" customHeight="1" spans="1:29">
      <c r="A421" s="150">
        <v>415</v>
      </c>
      <c r="B421" s="166" t="s">
        <v>3639</v>
      </c>
      <c r="C421" s="166" t="s">
        <v>3640</v>
      </c>
      <c r="D421" s="157" t="s">
        <v>2470</v>
      </c>
      <c r="E421" s="158" t="s">
        <v>2471</v>
      </c>
      <c r="F421" s="189" t="s">
        <v>3641</v>
      </c>
      <c r="G421" s="156"/>
      <c r="H421" s="157" t="str">
        <f>IF(G421="","",VLOOKUP(G421,'附表8-合同明细采集底稿'!B:I,2,0))</f>
        <v/>
      </c>
      <c r="I421" s="165" t="str">
        <f>IF(G421="","",VLOOKUP(G421,'附表8-合同明细采集底稿'!B:I,3,0))</f>
        <v/>
      </c>
      <c r="J421" s="187" t="s">
        <v>3642</v>
      </c>
      <c r="K421" s="157" t="s">
        <v>2335</v>
      </c>
      <c r="L421" s="168" t="s">
        <v>2336</v>
      </c>
      <c r="M421" s="166" t="s">
        <v>3643</v>
      </c>
      <c r="N421" s="167">
        <v>1176</v>
      </c>
      <c r="O421" s="167">
        <v>0</v>
      </c>
      <c r="P421" s="167">
        <v>1176</v>
      </c>
      <c r="Q421" s="167">
        <v>-1176</v>
      </c>
      <c r="R421" s="167">
        <f t="shared" si="47"/>
        <v>0</v>
      </c>
      <c r="S421" s="178">
        <v>1</v>
      </c>
      <c r="T421" s="167">
        <f t="shared" si="44"/>
        <v>0</v>
      </c>
      <c r="U421" s="157" t="s">
        <v>2641</v>
      </c>
      <c r="V421" s="179" t="s">
        <v>375</v>
      </c>
      <c r="W421" s="180">
        <f>IF('附表1-面积统计表'!$D$29=0,"",IF(AND(V421="共同成本费用",Z421="总建筑面积法"),ROUND(T421/'附表1-面积统计表'!$D$29*'附表1-面积统计表'!$D$5,2),IF(AND(V421="共同成本费用",Z421="可售建筑面积法"),ROUND(T421/'附表1-面积统计表'!$F$29*'附表1-面积统计表'!$F$5,2),"请手工填写")))</f>
        <v>0</v>
      </c>
      <c r="X421" s="180">
        <f>IF(SUM('附表1-面积统计表'!$D$6)=0,"",SUM(T421)-SUM(W421)-SUM(Y421))</f>
        <v>0</v>
      </c>
      <c r="Y421" s="180">
        <f>IF(SUM('附表1-面积统计表'!$D$6)=0,SUM(T421)-SUM(W421),IF('附表1-面积统计表'!$D$29=0,"",IF(AND(V421="共同成本费用",Z421="总建筑面积法"),ROUND(T421/'附表1-面积统计表'!$D$29*'附表1-面积统计表'!$D$7,2),IF(AND(V421="共同成本费用",Z421="可售建筑面积法"),ROUND(T421/'附表1-面积统计表'!$F$29*'附表1-面积统计表'!$F$7,2),"请手工填写"))))</f>
        <v>0</v>
      </c>
      <c r="Z421" s="183" t="s">
        <v>351</v>
      </c>
      <c r="AA421" s="157"/>
      <c r="AB421" s="184" t="s">
        <v>2319</v>
      </c>
      <c r="AC421" s="132">
        <f t="shared" si="45"/>
        <v>0</v>
      </c>
    </row>
    <row r="422" s="132" customFormat="1" ht="24" customHeight="1" spans="1:29">
      <c r="A422" s="150">
        <v>416</v>
      </c>
      <c r="B422" s="166" t="s">
        <v>3639</v>
      </c>
      <c r="C422" s="166" t="s">
        <v>3644</v>
      </c>
      <c r="D422" s="157" t="s">
        <v>2533</v>
      </c>
      <c r="E422" s="158" t="s">
        <v>2690</v>
      </c>
      <c r="F422" s="189" t="s">
        <v>3645</v>
      </c>
      <c r="G422" s="156" t="s">
        <v>3250</v>
      </c>
      <c r="H422" s="157" t="str">
        <f>IF(G422="","",VLOOKUP(G422,'附表8-合同明细采集底稿'!B:I,2,0))</f>
        <v>沁春锦苑32#33#34#楼外墙装修</v>
      </c>
      <c r="I422" s="165" t="str">
        <f>IF(G422="","",VLOOKUP(G422,'附表8-合同明细采集底稿'!B:I,3,0))</f>
        <v>建设工程合同</v>
      </c>
      <c r="J422" s="187" t="s">
        <v>3231</v>
      </c>
      <c r="K422" s="157" t="s">
        <v>2355</v>
      </c>
      <c r="L422" s="191">
        <v>6500193130</v>
      </c>
      <c r="M422" s="166" t="s">
        <v>3646</v>
      </c>
      <c r="N422" s="167">
        <v>229357.8</v>
      </c>
      <c r="O422" s="167">
        <v>250000</v>
      </c>
      <c r="P422" s="167">
        <v>229357.8</v>
      </c>
      <c r="Q422" s="167"/>
      <c r="R422" s="167">
        <f t="shared" si="47"/>
        <v>229357.8</v>
      </c>
      <c r="S422" s="178">
        <f>IFERROR(VLOOKUP(G422,'附表8-合同明细采集底稿'!B:N,12,0),100%)</f>
        <v>1</v>
      </c>
      <c r="T422" s="167">
        <f t="shared" si="44"/>
        <v>229357.8</v>
      </c>
      <c r="U422" s="157" t="s">
        <v>2405</v>
      </c>
      <c r="V422" s="179" t="s">
        <v>374</v>
      </c>
      <c r="W422" s="181">
        <v>0</v>
      </c>
      <c r="X422" s="181">
        <v>0</v>
      </c>
      <c r="Y422" s="181">
        <v>229357.8</v>
      </c>
      <c r="Z422" s="183" t="s">
        <v>2406</v>
      </c>
      <c r="AA422" s="157"/>
      <c r="AB422" s="184" t="s">
        <v>2319</v>
      </c>
      <c r="AC422" s="132">
        <f t="shared" si="45"/>
        <v>0</v>
      </c>
    </row>
    <row r="423" s="132" customFormat="1" ht="24" customHeight="1" spans="1:29">
      <c r="A423" s="150">
        <v>417</v>
      </c>
      <c r="B423" s="166" t="s">
        <v>3647</v>
      </c>
      <c r="C423" s="166" t="s">
        <v>3648</v>
      </c>
      <c r="D423" s="157" t="s">
        <v>2533</v>
      </c>
      <c r="E423" s="158" t="s">
        <v>2564</v>
      </c>
      <c r="F423" s="189" t="s">
        <v>3649</v>
      </c>
      <c r="G423" s="156" t="s">
        <v>2900</v>
      </c>
      <c r="H423" s="157" t="str">
        <f>IF(G423="","",VLOOKUP(G423,'附表8-合同明细采集底稿'!B:I,2,0))</f>
        <v>沁春锦苑25、26、28#施工协议</v>
      </c>
      <c r="I423" s="165" t="str">
        <f>IF(G423="","",VLOOKUP(G423,'附表8-合同明细采集底稿'!B:I,3,0))</f>
        <v>建设工程合同</v>
      </c>
      <c r="J423" s="187" t="s">
        <v>144</v>
      </c>
      <c r="K423" s="157" t="s">
        <v>2355</v>
      </c>
      <c r="L423" s="166">
        <v>6500193130</v>
      </c>
      <c r="M423" s="555" t="s">
        <v>3650</v>
      </c>
      <c r="N423" s="167">
        <v>298307.34</v>
      </c>
      <c r="O423" s="167">
        <v>325155</v>
      </c>
      <c r="P423" s="167">
        <v>298307.34</v>
      </c>
      <c r="Q423" s="167"/>
      <c r="R423" s="167">
        <f t="shared" si="47"/>
        <v>298307.34</v>
      </c>
      <c r="S423" s="178">
        <f>IFERROR(VLOOKUP(G423,'附表8-合同明细采集底稿'!B:N,12,0),100%)</f>
        <v>1</v>
      </c>
      <c r="T423" s="167">
        <f t="shared" si="44"/>
        <v>298307.34</v>
      </c>
      <c r="U423" s="157" t="s">
        <v>2416</v>
      </c>
      <c r="V423" s="179" t="s">
        <v>374</v>
      </c>
      <c r="W423" s="182">
        <f>ROUND(T423*成本分摊比例!$G$13/(成本分摊比例!$G$13+成本分摊比例!$H$13+成本分摊比例!$I$13),2)</f>
        <v>161175.99</v>
      </c>
      <c r="X423" s="182">
        <f>ROUND(T423*成本分摊比例!$H$13/(成本分摊比例!$G$13+成本分摊比例!$H$13+成本分摊比例!$I$13),2)</f>
        <v>106638.47</v>
      </c>
      <c r="Y423" s="182">
        <f t="shared" ref="Y423:Y427" si="49">T423-W423-X423</f>
        <v>30492.88</v>
      </c>
      <c r="Z423" s="183" t="s">
        <v>2406</v>
      </c>
      <c r="AA423" s="157"/>
      <c r="AB423" s="184" t="s">
        <v>2319</v>
      </c>
      <c r="AC423" s="132">
        <f t="shared" si="45"/>
        <v>0</v>
      </c>
    </row>
    <row r="424" s="132" customFormat="1" ht="24" customHeight="1" spans="1:29">
      <c r="A424" s="150">
        <v>418</v>
      </c>
      <c r="B424" s="166" t="s">
        <v>3647</v>
      </c>
      <c r="C424" s="166" t="s">
        <v>2950</v>
      </c>
      <c r="D424" s="157" t="s">
        <v>2470</v>
      </c>
      <c r="E424" s="158" t="s">
        <v>3314</v>
      </c>
      <c r="F424" s="189" t="s">
        <v>3651</v>
      </c>
      <c r="G424" s="156"/>
      <c r="H424" s="157"/>
      <c r="I424" s="165"/>
      <c r="J424" s="187"/>
      <c r="K424" s="157" t="s">
        <v>2317</v>
      </c>
      <c r="L424" s="166"/>
      <c r="M424" s="166"/>
      <c r="N424" s="167">
        <v>137580</v>
      </c>
      <c r="O424" s="167">
        <v>137580</v>
      </c>
      <c r="P424" s="167">
        <v>137580</v>
      </c>
      <c r="Q424" s="167"/>
      <c r="R424" s="167">
        <f t="shared" si="47"/>
        <v>137580</v>
      </c>
      <c r="S424" s="202">
        <v>0.338555832480367</v>
      </c>
      <c r="T424" s="167">
        <f t="shared" si="44"/>
        <v>46578.51</v>
      </c>
      <c r="U424" s="157" t="s">
        <v>2344</v>
      </c>
      <c r="V424" s="179" t="s">
        <v>375</v>
      </c>
      <c r="W424" s="180">
        <f>IF('附表1-面积统计表'!$D$29=0,"",IF(AND(V424="共同成本费用",Z424="总建筑面积法"),ROUND(T424/'附表1-面积统计表'!$D$29*'附表1-面积统计表'!$D$5,2),IF(AND(V424="共同成本费用",Z424="可售建筑面积法"),ROUND(T424/'附表1-面积统计表'!$F$29*'附表1-面积统计表'!$F$5,2),"请手工填写")))</f>
        <v>22565.57</v>
      </c>
      <c r="X424" s="180">
        <f>IF(SUM('附表1-面积统计表'!$D$6)=0,"",SUM(T424)-SUM(W424)-SUM(Y424))</f>
        <v>14930</v>
      </c>
      <c r="Y424" s="180">
        <f>IF(SUM('附表1-面积统计表'!$D$6)=0,SUM(T424)-SUM(W424),IF('附表1-面积统计表'!$D$29=0,"",IF(AND(V424="共同成本费用",Z424="总建筑面积法"),ROUND(T424/'附表1-面积统计表'!$D$29*'附表1-面积统计表'!$D$7,2),IF(AND(V424="共同成本费用",Z424="可售建筑面积法"),ROUND(T424/'附表1-面积统计表'!$F$29*'附表1-面积统计表'!$F$7,2),"请手工填写"))))</f>
        <v>9082.94</v>
      </c>
      <c r="Z424" s="183" t="s">
        <v>351</v>
      </c>
      <c r="AA424" s="157"/>
      <c r="AB424" s="184" t="s">
        <v>2319</v>
      </c>
      <c r="AC424" s="132">
        <f t="shared" si="45"/>
        <v>0</v>
      </c>
    </row>
    <row r="425" s="132" customFormat="1" ht="24" customHeight="1" spans="1:29">
      <c r="A425" s="150">
        <v>419</v>
      </c>
      <c r="B425" s="166" t="s">
        <v>3652</v>
      </c>
      <c r="C425" s="166" t="s">
        <v>2914</v>
      </c>
      <c r="D425" s="157" t="s">
        <v>2533</v>
      </c>
      <c r="E425" s="158" t="s">
        <v>2564</v>
      </c>
      <c r="F425" s="189" t="s">
        <v>3653</v>
      </c>
      <c r="G425" s="156" t="s">
        <v>2952</v>
      </c>
      <c r="H425" s="157" t="str">
        <f>IF(G425="","",VLOOKUP(G425,'附表8-合同明细采集底稿'!B:I,2,0))</f>
        <v>承揽合同（铝合金窗28.29.30）</v>
      </c>
      <c r="I425" s="165" t="str">
        <f>IF(G425="","",VLOOKUP(G425,'附表8-合同明细采集底稿'!B:I,3,0))</f>
        <v>买卖合同</v>
      </c>
      <c r="J425" s="187" t="s">
        <v>2556</v>
      </c>
      <c r="K425" s="157" t="s">
        <v>2355</v>
      </c>
      <c r="L425" s="191">
        <v>6500193130</v>
      </c>
      <c r="M425" s="166" t="s">
        <v>3654</v>
      </c>
      <c r="N425" s="167">
        <v>234027.44</v>
      </c>
      <c r="O425" s="167">
        <v>264451</v>
      </c>
      <c r="P425" s="167">
        <v>234027.44</v>
      </c>
      <c r="Q425" s="167"/>
      <c r="R425" s="167">
        <f t="shared" si="47"/>
        <v>234027.44</v>
      </c>
      <c r="S425" s="178">
        <f>IFERROR(VLOOKUP(G425,'附表8-合同明细采集底稿'!B:N,12,0),100%)</f>
        <v>1</v>
      </c>
      <c r="T425" s="167">
        <f t="shared" si="44"/>
        <v>234027.44</v>
      </c>
      <c r="U425" s="157" t="s">
        <v>2416</v>
      </c>
      <c r="V425" s="179" t="s">
        <v>374</v>
      </c>
      <c r="W425" s="182">
        <f>ROUND(T425*成本分摊比例!$G$13/(成本分摊比例!$G$13+成本分摊比例!$H$13+成本分摊比例!$I$13),2)</f>
        <v>126445.44</v>
      </c>
      <c r="X425" s="182">
        <f>ROUND(T425*成本分摊比例!$H$13/(成本分摊比例!$G$13+成本分摊比例!$H$13+成本分摊比例!$I$13),2)</f>
        <v>83659.79</v>
      </c>
      <c r="Y425" s="182">
        <f t="shared" si="49"/>
        <v>23922.21</v>
      </c>
      <c r="Z425" s="183" t="s">
        <v>2406</v>
      </c>
      <c r="AA425" s="157"/>
      <c r="AB425" s="184" t="s">
        <v>2319</v>
      </c>
      <c r="AC425" s="132">
        <f t="shared" si="45"/>
        <v>0</v>
      </c>
    </row>
    <row r="426" s="132" customFormat="1" ht="24" customHeight="1" spans="1:29">
      <c r="A426" s="150">
        <v>420</v>
      </c>
      <c r="B426" s="166" t="s">
        <v>3652</v>
      </c>
      <c r="C426" s="166" t="s">
        <v>2917</v>
      </c>
      <c r="D426" s="157" t="s">
        <v>2533</v>
      </c>
      <c r="E426" s="158" t="s">
        <v>2564</v>
      </c>
      <c r="F426" s="189" t="s">
        <v>3655</v>
      </c>
      <c r="G426" s="156" t="s">
        <v>2900</v>
      </c>
      <c r="H426" s="157" t="str">
        <f>IF(G426="","",VLOOKUP(G426,'附表8-合同明细采集底稿'!B:I,2,0))</f>
        <v>沁春锦苑25、26、28#施工协议</v>
      </c>
      <c r="I426" s="165" t="str">
        <f>IF(G426="","",VLOOKUP(G426,'附表8-合同明细采集底稿'!B:I,3,0))</f>
        <v>建设工程合同</v>
      </c>
      <c r="J426" s="187" t="s">
        <v>144</v>
      </c>
      <c r="K426" s="157" t="s">
        <v>2355</v>
      </c>
      <c r="L426" s="166">
        <v>6500193130</v>
      </c>
      <c r="M426" s="555" t="s">
        <v>3656</v>
      </c>
      <c r="N426" s="167">
        <v>647090.83</v>
      </c>
      <c r="O426" s="167">
        <v>705329</v>
      </c>
      <c r="P426" s="167">
        <v>647090.83</v>
      </c>
      <c r="Q426" s="167"/>
      <c r="R426" s="167">
        <f t="shared" si="47"/>
        <v>647090.83</v>
      </c>
      <c r="S426" s="178">
        <f>IFERROR(VLOOKUP(G426,'附表8-合同明细采集底稿'!B:N,12,0),100%)</f>
        <v>1</v>
      </c>
      <c r="T426" s="167">
        <f t="shared" si="44"/>
        <v>647090.83</v>
      </c>
      <c r="U426" s="157" t="s">
        <v>2416</v>
      </c>
      <c r="V426" s="179" t="s">
        <v>374</v>
      </c>
      <c r="W426" s="182">
        <f>ROUND(T426*成本分摊比例!$G$13/(成本分摊比例!$G$13+成本分摊比例!$H$13+成本分摊比例!$I$13),2)</f>
        <v>349624.32</v>
      </c>
      <c r="X426" s="182">
        <f>ROUND(T426*成本分摊比例!$H$13/(成本分摊比例!$G$13+成本分摊比例!$H$13+成本分摊比例!$I$13),2)</f>
        <v>231321.08</v>
      </c>
      <c r="Y426" s="182">
        <f t="shared" si="49"/>
        <v>66145.43</v>
      </c>
      <c r="Z426" s="183" t="s">
        <v>2406</v>
      </c>
      <c r="AA426" s="157"/>
      <c r="AB426" s="184" t="s">
        <v>2319</v>
      </c>
      <c r="AC426" s="132">
        <f t="shared" si="45"/>
        <v>0</v>
      </c>
    </row>
    <row r="427" s="132" customFormat="1" ht="24" customHeight="1" spans="1:29">
      <c r="A427" s="150">
        <v>421</v>
      </c>
      <c r="B427" s="166" t="s">
        <v>3652</v>
      </c>
      <c r="C427" s="166" t="s">
        <v>3441</v>
      </c>
      <c r="D427" s="157" t="s">
        <v>2533</v>
      </c>
      <c r="E427" s="158" t="s">
        <v>2564</v>
      </c>
      <c r="F427" s="189" t="s">
        <v>3657</v>
      </c>
      <c r="G427" s="156" t="s">
        <v>2958</v>
      </c>
      <c r="H427" s="157" t="str">
        <f>IF(G427="","",VLOOKUP(G427,'附表8-合同明细采集底稿'!B:I,2,0))</f>
        <v>25#26#27#34#断桥铝合金窗工程</v>
      </c>
      <c r="I427" s="165" t="str">
        <f>IF(G427="","",VLOOKUP(G427,'附表8-合同明细采集底稿'!B:I,3,0))</f>
        <v>买卖合同</v>
      </c>
      <c r="J427" s="187" t="s">
        <v>2596</v>
      </c>
      <c r="K427" s="157" t="s">
        <v>2355</v>
      </c>
      <c r="L427" s="166" t="s">
        <v>2367</v>
      </c>
      <c r="M427" s="166" t="s">
        <v>3658</v>
      </c>
      <c r="N427" s="167">
        <v>361169.69</v>
      </c>
      <c r="O427" s="167">
        <v>408121.73</v>
      </c>
      <c r="P427" s="167">
        <v>361169.69</v>
      </c>
      <c r="Q427" s="167"/>
      <c r="R427" s="167">
        <f t="shared" si="47"/>
        <v>361169.69</v>
      </c>
      <c r="S427" s="178">
        <f>IFERROR(VLOOKUP(G427,'附表8-合同明细采集底稿'!B:N,12,0),100%)</f>
        <v>1</v>
      </c>
      <c r="T427" s="167">
        <f t="shared" si="44"/>
        <v>361169.69</v>
      </c>
      <c r="U427" s="157" t="s">
        <v>2416</v>
      </c>
      <c r="V427" s="179" t="s">
        <v>374</v>
      </c>
      <c r="W427" s="182">
        <f>ROUND(T427*成本分摊比例!$G$13/(成本分摊比例!$G$13+成本分摊比例!$H$13+成本分摊比例!$I$13),2)</f>
        <v>195140.63</v>
      </c>
      <c r="X427" s="182">
        <f>ROUND(T427*成本分摊比例!$H$13/(成本分摊比例!$G$13+成本分摊比例!$H$13+成本分摊比例!$I$13),2)</f>
        <v>129110.41</v>
      </c>
      <c r="Y427" s="182">
        <f t="shared" si="49"/>
        <v>36918.65</v>
      </c>
      <c r="Z427" s="183" t="s">
        <v>2406</v>
      </c>
      <c r="AA427" s="157"/>
      <c r="AB427" s="184" t="s">
        <v>2319</v>
      </c>
      <c r="AC427" s="132">
        <f t="shared" si="45"/>
        <v>0</v>
      </c>
    </row>
    <row r="428" s="132" customFormat="1" ht="24" customHeight="1" spans="1:29">
      <c r="A428" s="150">
        <v>422</v>
      </c>
      <c r="B428" s="166" t="s">
        <v>3659</v>
      </c>
      <c r="C428" s="166" t="s">
        <v>3021</v>
      </c>
      <c r="D428" s="157" t="s">
        <v>2470</v>
      </c>
      <c r="E428" s="158" t="s">
        <v>3314</v>
      </c>
      <c r="F428" s="189" t="s">
        <v>3660</v>
      </c>
      <c r="G428" s="156"/>
      <c r="H428" s="157"/>
      <c r="I428" s="165"/>
      <c r="J428" s="187"/>
      <c r="K428" s="157" t="s">
        <v>2317</v>
      </c>
      <c r="L428" s="166"/>
      <c r="M428" s="166"/>
      <c r="N428" s="167">
        <v>7048.86</v>
      </c>
      <c r="O428" s="167">
        <v>7048.86</v>
      </c>
      <c r="P428" s="167">
        <v>7048.86</v>
      </c>
      <c r="Q428" s="167"/>
      <c r="R428" s="167">
        <f t="shared" si="47"/>
        <v>7048.86</v>
      </c>
      <c r="S428" s="202">
        <v>0.338555832480367</v>
      </c>
      <c r="T428" s="167">
        <f t="shared" si="44"/>
        <v>2386.43</v>
      </c>
      <c r="U428" s="157" t="s">
        <v>2344</v>
      </c>
      <c r="V428" s="179" t="s">
        <v>375</v>
      </c>
      <c r="W428" s="180">
        <f>IF('附表1-面积统计表'!$D$29=0,"",IF(AND(V428="共同成本费用",Z428="总建筑面积法"),ROUND(T428/'附表1-面积统计表'!$D$29*'附表1-面积统计表'!$D$5,2),IF(AND(V428="共同成本费用",Z428="可售建筑面积法"),ROUND(T428/'附表1-面积统计表'!$F$29*'附表1-面积统计表'!$F$5,2),"请手工填写")))</f>
        <v>1156.14</v>
      </c>
      <c r="X428" s="180">
        <f>IF(SUM('附表1-面积统计表'!$D$6)=0,"",SUM(T428)-SUM(W428)-SUM(Y428))</f>
        <v>764.93</v>
      </c>
      <c r="Y428" s="180">
        <f>IF(SUM('附表1-面积统计表'!$D$6)=0,SUM(T428)-SUM(W428),IF('附表1-面积统计表'!$D$29=0,"",IF(AND(V428="共同成本费用",Z428="总建筑面积法"),ROUND(T428/'附表1-面积统计表'!$D$29*'附表1-面积统计表'!$D$7,2),IF(AND(V428="共同成本费用",Z428="可售建筑面积法"),ROUND(T428/'附表1-面积统计表'!$F$29*'附表1-面积统计表'!$F$7,2),"请手工填写"))))</f>
        <v>465.36</v>
      </c>
      <c r="Z428" s="183" t="s">
        <v>351</v>
      </c>
      <c r="AA428" s="157"/>
      <c r="AB428" s="184" t="s">
        <v>2319</v>
      </c>
      <c r="AC428" s="132">
        <f t="shared" si="45"/>
        <v>0</v>
      </c>
    </row>
    <row r="429" s="132" customFormat="1" ht="24" customHeight="1" spans="1:29">
      <c r="A429" s="150">
        <v>423</v>
      </c>
      <c r="B429" s="166" t="s">
        <v>3661</v>
      </c>
      <c r="C429" s="166" t="s">
        <v>3662</v>
      </c>
      <c r="D429" s="157" t="s">
        <v>2346</v>
      </c>
      <c r="E429" s="158" t="s">
        <v>2418</v>
      </c>
      <c r="F429" s="189" t="s">
        <v>3663</v>
      </c>
      <c r="G429" s="156" t="s">
        <v>3664</v>
      </c>
      <c r="H429" s="157" t="str">
        <f>IF(G429="","",VLOOKUP(G429,'附表8-合同明细采集底稿'!B:I,2,0))</f>
        <v>沁春锦苑临时用电及高压开闭所迁移改造合同</v>
      </c>
      <c r="I429" s="165" t="str">
        <f>IF(G429="","",VLOOKUP(G429,'附表8-合同明细采集底稿'!B:I,3,0))</f>
        <v>其他合同</v>
      </c>
      <c r="J429" s="169" t="s">
        <v>3665</v>
      </c>
      <c r="K429" s="157" t="s">
        <v>2355</v>
      </c>
      <c r="L429" s="191">
        <v>6500193130</v>
      </c>
      <c r="M429" s="166" t="s">
        <v>3666</v>
      </c>
      <c r="N429" s="167">
        <v>407064.22</v>
      </c>
      <c r="O429" s="167">
        <v>443700</v>
      </c>
      <c r="P429" s="167">
        <v>407064.22</v>
      </c>
      <c r="Q429" s="167"/>
      <c r="R429" s="167">
        <f t="shared" si="47"/>
        <v>407064.22</v>
      </c>
      <c r="S429" s="178">
        <f>IFERROR(VLOOKUP(G429,'附表8-合同明细采集底稿'!B:N,12,0),100%)</f>
        <v>1</v>
      </c>
      <c r="T429" s="167">
        <f t="shared" si="44"/>
        <v>407064.22</v>
      </c>
      <c r="U429" s="157" t="s">
        <v>2344</v>
      </c>
      <c r="V429" s="179" t="s">
        <v>375</v>
      </c>
      <c r="W429" s="180">
        <f>IF('附表1-面积统计表'!$D$29=0,"",IF(AND(V429="共同成本费用",Z429="总建筑面积法"),ROUND(T429/'附表1-面积统计表'!$D$29*'附表1-面积统计表'!$D$5,2),IF(AND(V429="共同成本费用",Z429="可售建筑面积法"),ROUND(T429/'附表1-面积统计表'!$F$29*'附表1-面积统计表'!$F$5,2),"请手工填写")))</f>
        <v>197207.58</v>
      </c>
      <c r="X429" s="180">
        <f>IF(SUM('附表1-面积统计表'!$D$6)=0,"",SUM(T429)-SUM(W429)-SUM(Y429))</f>
        <v>130477.97</v>
      </c>
      <c r="Y429" s="180">
        <f>IF(SUM('附表1-面积统计表'!$D$6)=0,SUM(T429)-SUM(W429),IF('附表1-面积统计表'!$D$29=0,"",IF(AND(V429="共同成本费用",Z429="总建筑面积法"),ROUND(T429/'附表1-面积统计表'!$D$29*'附表1-面积统计表'!$D$7,2),IF(AND(V429="共同成本费用",Z429="可售建筑面积法"),ROUND(T429/'附表1-面积统计表'!$F$29*'附表1-面积统计表'!$F$7,2),"请手工填写"))))</f>
        <v>79378.67</v>
      </c>
      <c r="Z429" s="183" t="s">
        <v>351</v>
      </c>
      <c r="AA429" s="157"/>
      <c r="AB429" s="184" t="s">
        <v>2319</v>
      </c>
      <c r="AC429" s="132">
        <f t="shared" si="45"/>
        <v>0</v>
      </c>
    </row>
    <row r="430" s="132" customFormat="1" ht="24" customHeight="1" spans="1:29">
      <c r="A430" s="150">
        <v>424</v>
      </c>
      <c r="B430" s="166" t="s">
        <v>3661</v>
      </c>
      <c r="C430" s="166" t="s">
        <v>3667</v>
      </c>
      <c r="D430" s="157" t="s">
        <v>2533</v>
      </c>
      <c r="E430" s="158" t="s">
        <v>2690</v>
      </c>
      <c r="F430" s="189" t="s">
        <v>3668</v>
      </c>
      <c r="G430" s="156" t="s">
        <v>2692</v>
      </c>
      <c r="H430" s="157" t="str">
        <f>IF(G430="","",VLOOKUP(G430,'附表8-合同明细采集底稿'!B:I,2,0))</f>
        <v>沁春锦苑19、20、23、24号楼防火防盗门</v>
      </c>
      <c r="I430" s="165" t="str">
        <f>IF(G430="","",VLOOKUP(G430,'附表8-合同明细采集底稿'!B:I,3,0))</f>
        <v>买卖合同</v>
      </c>
      <c r="J430" s="187" t="s">
        <v>2693</v>
      </c>
      <c r="K430" s="157" t="s">
        <v>2355</v>
      </c>
      <c r="L430" s="166">
        <v>6500201130</v>
      </c>
      <c r="M430" s="555" t="s">
        <v>3669</v>
      </c>
      <c r="N430" s="167">
        <v>75622.57</v>
      </c>
      <c r="O430" s="167">
        <v>85453.5</v>
      </c>
      <c r="P430" s="167">
        <v>75622.57</v>
      </c>
      <c r="Q430" s="167"/>
      <c r="R430" s="167">
        <f t="shared" si="47"/>
        <v>75622.57</v>
      </c>
      <c r="S430" s="178">
        <f>IFERROR(VLOOKUP(G430,'附表8-合同明细采集底稿'!B:N,12,0),100%)</f>
        <v>1</v>
      </c>
      <c r="T430" s="167">
        <f t="shared" si="44"/>
        <v>75622.57</v>
      </c>
      <c r="U430" s="157" t="s">
        <v>2416</v>
      </c>
      <c r="V430" s="179" t="s">
        <v>374</v>
      </c>
      <c r="W430" s="182">
        <f>ROUND(T430*成本分摊比例!$G$13/(成本分摊比例!$G$13+成本分摊比例!$H$13+成本分摊比例!$I$13),2)</f>
        <v>40859.01</v>
      </c>
      <c r="X430" s="182">
        <f>ROUND(T430*成本分摊比例!$H$13/(成本分摊比例!$G$13+成本分摊比例!$H$13+成本分摊比例!$I$13),2)</f>
        <v>27033.45</v>
      </c>
      <c r="Y430" s="182">
        <f>T430-W430-X430</f>
        <v>7730.11</v>
      </c>
      <c r="Z430" s="183" t="s">
        <v>2406</v>
      </c>
      <c r="AA430" s="157"/>
      <c r="AB430" s="184" t="s">
        <v>2319</v>
      </c>
      <c r="AC430" s="132">
        <f t="shared" si="45"/>
        <v>0</v>
      </c>
    </row>
    <row r="431" s="132" customFormat="1" ht="24" customHeight="1" spans="1:29">
      <c r="A431" s="150">
        <v>425</v>
      </c>
      <c r="B431" s="166" t="s">
        <v>3661</v>
      </c>
      <c r="C431" s="166" t="s">
        <v>3453</v>
      </c>
      <c r="D431" s="157" t="s">
        <v>2346</v>
      </c>
      <c r="E431" s="158" t="s">
        <v>2347</v>
      </c>
      <c r="F431" s="189" t="s">
        <v>3670</v>
      </c>
      <c r="G431" s="156" t="s">
        <v>3671</v>
      </c>
      <c r="H431" s="157" t="str">
        <f>IF(G431="","",VLOOKUP(G431,'附表8-合同明细采集底稿'!B:I,2,0))</f>
        <v>沁春锦苑19#-30#楼栋牌、单元牌、楼层牌、户室牌制作安装合同</v>
      </c>
      <c r="I431" s="165" t="str">
        <f>IF(G431="","",VLOOKUP(G431,'附表8-合同明细采集底稿'!B:I,3,0))</f>
        <v>其他合同</v>
      </c>
      <c r="J431" s="165" t="s">
        <v>3129</v>
      </c>
      <c r="K431" s="157" t="s">
        <v>2355</v>
      </c>
      <c r="L431" s="166">
        <v>6500193160</v>
      </c>
      <c r="M431" s="555" t="s">
        <v>3672</v>
      </c>
      <c r="N431" s="167">
        <v>45544.55</v>
      </c>
      <c r="O431" s="167">
        <v>46000</v>
      </c>
      <c r="P431" s="167">
        <v>45544.55</v>
      </c>
      <c r="Q431" s="167"/>
      <c r="R431" s="167">
        <f t="shared" si="47"/>
        <v>45544.55</v>
      </c>
      <c r="S431" s="178">
        <f>IFERROR(VLOOKUP(G431,'附表8-合同明细采集底稿'!B:N,12,0),100%)</f>
        <v>1</v>
      </c>
      <c r="T431" s="167">
        <f t="shared" si="44"/>
        <v>45544.55</v>
      </c>
      <c r="U431" s="157" t="s">
        <v>2416</v>
      </c>
      <c r="V431" s="179" t="s">
        <v>374</v>
      </c>
      <c r="W431" s="182">
        <f>ROUND(T431*成本分摊比例!$G$13/(成本分摊比例!$G$13+成本分摊比例!$H$13+成本分摊比例!$I$13),2)</f>
        <v>24607.8</v>
      </c>
      <c r="X431" s="182">
        <f>ROUND(T431*成本分摊比例!$H$13/(成本分摊比例!$G$13+成本分摊比例!$H$13+成本分摊比例!$I$13),2)</f>
        <v>16281.2</v>
      </c>
      <c r="Y431" s="182">
        <f>T431-W431-X431</f>
        <v>4655.55</v>
      </c>
      <c r="Z431" s="183" t="s">
        <v>2406</v>
      </c>
      <c r="AA431" s="157"/>
      <c r="AB431" s="184" t="s">
        <v>2319</v>
      </c>
      <c r="AC431" s="132">
        <f t="shared" si="45"/>
        <v>0</v>
      </c>
    </row>
    <row r="432" s="132" customFormat="1" ht="24" customHeight="1" spans="1:29">
      <c r="A432" s="150">
        <v>426</v>
      </c>
      <c r="B432" s="166" t="s">
        <v>3673</v>
      </c>
      <c r="C432" s="166" t="s">
        <v>3674</v>
      </c>
      <c r="D432" s="157" t="s">
        <v>2331</v>
      </c>
      <c r="E432" s="158" t="s">
        <v>3544</v>
      </c>
      <c r="F432" s="189" t="s">
        <v>3675</v>
      </c>
      <c r="G432" s="156" t="s">
        <v>3676</v>
      </c>
      <c r="H432" s="157" t="str">
        <f>IF(G432="","",VLOOKUP(G432,'附表8-合同明细采集底稿'!B:I,2,0))</f>
        <v>建设工程施工合同12-15#楼38#楼、31#楼幼儿园（幼儿园—）</v>
      </c>
      <c r="I432" s="165" t="str">
        <f>IF(G432="","",VLOOKUP(G432,'附表8-合同明细采集底稿'!B:I,3,0))</f>
        <v>建设工程合同</v>
      </c>
      <c r="J432" s="187" t="s">
        <v>151</v>
      </c>
      <c r="K432" s="157" t="s">
        <v>2355</v>
      </c>
      <c r="L432" s="166">
        <v>6500193130</v>
      </c>
      <c r="M432" s="555" t="s">
        <v>3677</v>
      </c>
      <c r="N432" s="167">
        <v>807687.15</v>
      </c>
      <c r="O432" s="167">
        <v>880378.99</v>
      </c>
      <c r="P432" s="167">
        <v>807687.15</v>
      </c>
      <c r="Q432" s="167">
        <v>319273.4</v>
      </c>
      <c r="R432" s="167">
        <f t="shared" si="47"/>
        <v>1126960.55</v>
      </c>
      <c r="S432" s="178">
        <f>IFERROR(VLOOKUP(G432,'附表8-合同明细采集底稿'!B:N,12,0),100%)</f>
        <v>0.338555832480367</v>
      </c>
      <c r="T432" s="167">
        <f t="shared" si="44"/>
        <v>381539.07</v>
      </c>
      <c r="U432" s="157" t="s">
        <v>3678</v>
      </c>
      <c r="V432" s="179" t="s">
        <v>375</v>
      </c>
      <c r="W432" s="180">
        <f>IF('附表1-面积统计表'!$D$29=0,"",IF(AND(V432="共同成本费用",Z432="总建筑面积法"),ROUND(T432/'附表1-面积统计表'!$D$29*'附表1-面积统计表'!$D$5,2),IF(AND(V432="共同成本费用",Z432="可售建筑面积法"),ROUND(T432/'附表1-面积统计表'!$F$29*'附表1-面积统计表'!$F$5,2),"请手工填写")))</f>
        <v>184841.59</v>
      </c>
      <c r="X432" s="180">
        <f>IF(SUM('附表1-面积统计表'!$D$6)=0,"",SUM(T432)-SUM(W432)-SUM(Y432))</f>
        <v>122296.29</v>
      </c>
      <c r="Y432" s="180">
        <f>IF(SUM('附表1-面积统计表'!$D$6)=0,SUM(T432)-SUM(W432),IF('附表1-面积统计表'!$D$29=0,"",IF(AND(V432="共同成本费用",Z432="总建筑面积法"),ROUND(T432/'附表1-面积统计表'!$D$29*'附表1-面积统计表'!$D$7,2),IF(AND(V432="共同成本费用",Z432="可售建筑面积法"),ROUND(T432/'附表1-面积统计表'!$F$29*'附表1-面积统计表'!$F$7,2),"请手工填写"))))</f>
        <v>74401.19</v>
      </c>
      <c r="Z432" s="183" t="s">
        <v>351</v>
      </c>
      <c r="AA432" s="157"/>
      <c r="AB432" s="184" t="s">
        <v>2319</v>
      </c>
      <c r="AC432" s="132">
        <f t="shared" si="45"/>
        <v>0</v>
      </c>
    </row>
    <row r="433" s="132" customFormat="1" ht="24" customHeight="1" spans="1:29">
      <c r="A433" s="150">
        <v>427</v>
      </c>
      <c r="B433" s="166" t="s">
        <v>3673</v>
      </c>
      <c r="C433" s="166" t="s">
        <v>3674</v>
      </c>
      <c r="D433" s="157" t="s">
        <v>2533</v>
      </c>
      <c r="E433" s="158" t="s">
        <v>2564</v>
      </c>
      <c r="F433" s="189" t="s">
        <v>3675</v>
      </c>
      <c r="G433" s="156" t="s">
        <v>3679</v>
      </c>
      <c r="H433" s="157" t="str">
        <f>IF(G433="","",VLOOKUP(G433,'附表8-合同明细采集底稿'!B:I,2,0))</f>
        <v>建设工程施工合同12-15#楼38#楼、31#楼.36#幼儿园（36#楼）</v>
      </c>
      <c r="I433" s="165" t="str">
        <f>IF(G433="","",VLOOKUP(G433,'附表8-合同明细采集底稿'!B:I,3,0))</f>
        <v>建设工程合同</v>
      </c>
      <c r="J433" s="187" t="s">
        <v>151</v>
      </c>
      <c r="K433" s="157" t="s">
        <v>2355</v>
      </c>
      <c r="L433" s="166">
        <v>6500193130</v>
      </c>
      <c r="M433" s="555" t="s">
        <v>3677</v>
      </c>
      <c r="N433" s="167">
        <v>319273.4</v>
      </c>
      <c r="O433" s="167">
        <v>348008.01</v>
      </c>
      <c r="P433" s="167">
        <v>319273.4</v>
      </c>
      <c r="Q433" s="167">
        <v>-319273.4</v>
      </c>
      <c r="R433" s="167">
        <f t="shared" si="47"/>
        <v>0</v>
      </c>
      <c r="S433" s="178">
        <f>IFERROR(VLOOKUP(G433,'附表8-合同明细采集底稿'!B:N,12,0),100%)</f>
        <v>1</v>
      </c>
      <c r="T433" s="167">
        <f t="shared" si="44"/>
        <v>0</v>
      </c>
      <c r="U433" s="157" t="s">
        <v>3680</v>
      </c>
      <c r="V433" s="179" t="s">
        <v>374</v>
      </c>
      <c r="W433" s="181">
        <v>0</v>
      </c>
      <c r="X433" s="181">
        <v>0</v>
      </c>
      <c r="Y433" s="181">
        <v>0</v>
      </c>
      <c r="Z433" s="183" t="s">
        <v>2406</v>
      </c>
      <c r="AA433" s="157"/>
      <c r="AB433" s="184" t="s">
        <v>2319</v>
      </c>
      <c r="AC433" s="132">
        <f t="shared" si="45"/>
        <v>0</v>
      </c>
    </row>
    <row r="434" s="132" customFormat="1" ht="24" customHeight="1" spans="1:29">
      <c r="A434" s="150">
        <v>428</v>
      </c>
      <c r="B434" s="166" t="s">
        <v>3681</v>
      </c>
      <c r="C434" s="166" t="s">
        <v>3682</v>
      </c>
      <c r="D434" s="157" t="s">
        <v>2533</v>
      </c>
      <c r="E434" s="158" t="s">
        <v>2564</v>
      </c>
      <c r="F434" s="189" t="s">
        <v>3683</v>
      </c>
      <c r="G434" s="156" t="s">
        <v>2900</v>
      </c>
      <c r="H434" s="157" t="str">
        <f>IF(G434="","",VLOOKUP(G434,'附表8-合同明细采集底稿'!B:I,2,0))</f>
        <v>沁春锦苑25、26、28#施工协议</v>
      </c>
      <c r="I434" s="165" t="str">
        <f>IF(G434="","",VLOOKUP(G434,'附表8-合同明细采集底稿'!B:I,3,0))</f>
        <v>建设工程合同</v>
      </c>
      <c r="J434" s="187" t="s">
        <v>144</v>
      </c>
      <c r="K434" s="157" t="s">
        <v>2355</v>
      </c>
      <c r="L434" s="166">
        <v>6500193130</v>
      </c>
      <c r="M434" s="555" t="s">
        <v>3684</v>
      </c>
      <c r="N434" s="167">
        <v>433902.75</v>
      </c>
      <c r="O434" s="167">
        <v>472954</v>
      </c>
      <c r="P434" s="167">
        <v>433902.75</v>
      </c>
      <c r="Q434" s="167"/>
      <c r="R434" s="167">
        <f t="shared" si="47"/>
        <v>433902.75</v>
      </c>
      <c r="S434" s="178">
        <f>IFERROR(VLOOKUP(G434,'附表8-合同明细采集底稿'!B:N,12,0),100%)</f>
        <v>1</v>
      </c>
      <c r="T434" s="167">
        <f t="shared" si="44"/>
        <v>433902.75</v>
      </c>
      <c r="U434" s="157" t="s">
        <v>2416</v>
      </c>
      <c r="V434" s="179" t="s">
        <v>374</v>
      </c>
      <c r="W434" s="182">
        <f>ROUND(T434*成本分摊比例!$G$13/(成本分摊比例!$G$13+成本分摊比例!$H$13+成本分摊比例!$I$13),2)</f>
        <v>234438.43</v>
      </c>
      <c r="X434" s="182">
        <f>ROUND(T434*成本分摊比例!$H$13/(成本分摊比例!$G$13+成本分摊比例!$H$13+成本分摊比例!$I$13),2)</f>
        <v>155110.92</v>
      </c>
      <c r="Y434" s="182">
        <f>T434-W434-X434</f>
        <v>44353.4</v>
      </c>
      <c r="Z434" s="183" t="s">
        <v>2406</v>
      </c>
      <c r="AA434" s="157"/>
      <c r="AB434" s="184" t="s">
        <v>2319</v>
      </c>
      <c r="AC434" s="132">
        <f t="shared" si="45"/>
        <v>0</v>
      </c>
    </row>
    <row r="435" s="132" customFormat="1" ht="24" customHeight="1" spans="1:29">
      <c r="A435" s="150">
        <v>429</v>
      </c>
      <c r="B435" s="166" t="s">
        <v>3681</v>
      </c>
      <c r="C435" s="166" t="s">
        <v>2929</v>
      </c>
      <c r="D435" s="157" t="s">
        <v>2470</v>
      </c>
      <c r="E435" s="158" t="s">
        <v>3314</v>
      </c>
      <c r="F435" s="189" t="s">
        <v>3685</v>
      </c>
      <c r="G435" s="156"/>
      <c r="H435" s="157"/>
      <c r="I435" s="165"/>
      <c r="J435" s="187"/>
      <c r="K435" s="157" t="s">
        <v>2317</v>
      </c>
      <c r="L435" s="166"/>
      <c r="M435" s="166" t="s">
        <v>3686</v>
      </c>
      <c r="N435" s="167">
        <v>2667</v>
      </c>
      <c r="O435" s="167">
        <v>2667</v>
      </c>
      <c r="P435" s="167">
        <v>2667</v>
      </c>
      <c r="Q435" s="167"/>
      <c r="R435" s="167">
        <f t="shared" si="47"/>
        <v>2667</v>
      </c>
      <c r="S435" s="202">
        <v>0.338555832480367</v>
      </c>
      <c r="T435" s="167">
        <f t="shared" si="44"/>
        <v>902.93</v>
      </c>
      <c r="U435" s="157" t="s">
        <v>2344</v>
      </c>
      <c r="V435" s="179" t="s">
        <v>375</v>
      </c>
      <c r="W435" s="180">
        <f>IF('附表1-面积统计表'!$D$29=0,"",IF(AND(V435="共同成本费用",Z435="总建筑面积法"),ROUND(T435/'附表1-面积统计表'!$D$29*'附表1-面积统计表'!$D$5,2),IF(AND(V435="共同成本费用",Z435="可售建筑面积法"),ROUND(T435/'附表1-面积统计表'!$F$29*'附表1-面积统计表'!$F$5,2),"请手工填写")))</f>
        <v>437.44</v>
      </c>
      <c r="X435" s="180">
        <f>IF(SUM('附表1-面积统计表'!$D$6)=0,"",SUM(T435)-SUM(W435)-SUM(Y435))</f>
        <v>289.42</v>
      </c>
      <c r="Y435" s="180">
        <f>IF(SUM('附表1-面积统计表'!$D$6)=0,SUM(T435)-SUM(W435),IF('附表1-面积统计表'!$D$29=0,"",IF(AND(V435="共同成本费用",Z435="总建筑面积法"),ROUND(T435/'附表1-面积统计表'!$D$29*'附表1-面积统计表'!$D$7,2),IF(AND(V435="共同成本费用",Z435="可售建筑面积法"),ROUND(T435/'附表1-面积统计表'!$F$29*'附表1-面积统计表'!$F$7,2),"请手工填写"))))</f>
        <v>176.07</v>
      </c>
      <c r="Z435" s="183" t="s">
        <v>351</v>
      </c>
      <c r="AA435" s="157"/>
      <c r="AB435" s="184" t="s">
        <v>2319</v>
      </c>
      <c r="AC435" s="132">
        <f t="shared" si="45"/>
        <v>0</v>
      </c>
    </row>
    <row r="436" s="132" customFormat="1" ht="24" customHeight="1" spans="1:29">
      <c r="A436" s="150">
        <v>430</v>
      </c>
      <c r="B436" s="166" t="s">
        <v>3681</v>
      </c>
      <c r="C436" s="166" t="s">
        <v>3134</v>
      </c>
      <c r="D436" s="157" t="s">
        <v>2470</v>
      </c>
      <c r="E436" s="158" t="s">
        <v>3314</v>
      </c>
      <c r="F436" s="189" t="s">
        <v>3687</v>
      </c>
      <c r="G436" s="156"/>
      <c r="H436" s="157"/>
      <c r="I436" s="165"/>
      <c r="J436" s="187"/>
      <c r="K436" s="157" t="s">
        <v>2317</v>
      </c>
      <c r="L436" s="166"/>
      <c r="M436" s="166"/>
      <c r="N436" s="167">
        <v>145333</v>
      </c>
      <c r="O436" s="167">
        <v>145333</v>
      </c>
      <c r="P436" s="167">
        <v>145333</v>
      </c>
      <c r="Q436" s="167"/>
      <c r="R436" s="167">
        <f t="shared" si="47"/>
        <v>145333</v>
      </c>
      <c r="S436" s="202">
        <v>0.338555832480367</v>
      </c>
      <c r="T436" s="167">
        <f t="shared" si="44"/>
        <v>49203.33</v>
      </c>
      <c r="U436" s="157" t="s">
        <v>2344</v>
      </c>
      <c r="V436" s="179" t="s">
        <v>375</v>
      </c>
      <c r="W436" s="180">
        <f>IF('附表1-面积统计表'!$D$29=0,"",IF(AND(V436="共同成本费用",Z436="总建筑面积法"),ROUND(T436/'附表1-面积统计表'!$D$29*'附表1-面积统计表'!$D$5,2),IF(AND(V436="共同成本费用",Z436="可售建筑面积法"),ROUND(T436/'附表1-面积统计表'!$F$29*'附表1-面积统计表'!$F$5,2),"请手工填写")))</f>
        <v>23837.2</v>
      </c>
      <c r="X436" s="180">
        <f>IF(SUM('附表1-面积统计表'!$D$6)=0,"",SUM(T436)-SUM(W436)-SUM(Y436))</f>
        <v>15771.34</v>
      </c>
      <c r="Y436" s="180">
        <f>IF(SUM('附表1-面积统计表'!$D$6)=0,SUM(T436)-SUM(W436),IF('附表1-面积统计表'!$D$29=0,"",IF(AND(V436="共同成本费用",Z436="总建筑面积法"),ROUND(T436/'附表1-面积统计表'!$D$29*'附表1-面积统计表'!$D$7,2),IF(AND(V436="共同成本费用",Z436="可售建筑面积法"),ROUND(T436/'附表1-面积统计表'!$F$29*'附表1-面积统计表'!$F$7,2),"请手工填写"))))</f>
        <v>9594.79</v>
      </c>
      <c r="Z436" s="183" t="s">
        <v>351</v>
      </c>
      <c r="AA436" s="157"/>
      <c r="AB436" s="184" t="s">
        <v>2319</v>
      </c>
      <c r="AC436" s="132">
        <f t="shared" si="45"/>
        <v>0</v>
      </c>
    </row>
    <row r="437" s="132" customFormat="1" ht="24" customHeight="1" spans="1:29">
      <c r="A437" s="150">
        <v>431</v>
      </c>
      <c r="B437" s="166" t="s">
        <v>3688</v>
      </c>
      <c r="C437" s="166" t="s">
        <v>2917</v>
      </c>
      <c r="D437" s="157" t="s">
        <v>2533</v>
      </c>
      <c r="E437" s="158" t="s">
        <v>2564</v>
      </c>
      <c r="F437" s="189" t="s">
        <v>3689</v>
      </c>
      <c r="G437" s="156" t="s">
        <v>3690</v>
      </c>
      <c r="H437" s="157" t="str">
        <f>IF(G437="","",VLOOKUP(G437,'附表8-合同明细采集底稿'!B:I,2,0))</f>
        <v>沁春锦苑2#3#36#楼外墙装修合同（36#）</v>
      </c>
      <c r="I437" s="165" t="str">
        <f>IF(G437="","",VLOOKUP(G437,'附表8-合同明细采集底稿'!B:I,3,0))</f>
        <v>建设工程合同</v>
      </c>
      <c r="J437" s="187" t="s">
        <v>151</v>
      </c>
      <c r="K437" s="157" t="s">
        <v>2355</v>
      </c>
      <c r="L437" s="166">
        <v>6500193130</v>
      </c>
      <c r="M437" s="555" t="s">
        <v>3691</v>
      </c>
      <c r="N437" s="167">
        <v>607360.13</v>
      </c>
      <c r="O437" s="167">
        <v>662022.54</v>
      </c>
      <c r="P437" s="167">
        <v>607360.13</v>
      </c>
      <c r="Q437" s="167">
        <v>-607360.13</v>
      </c>
      <c r="R437" s="167">
        <f t="shared" si="47"/>
        <v>0</v>
      </c>
      <c r="S437" s="178">
        <f>IFERROR(VLOOKUP(G437,'附表8-合同明细采集底稿'!B:N,12,0),100%)</f>
        <v>1</v>
      </c>
      <c r="T437" s="167">
        <f t="shared" si="44"/>
        <v>0</v>
      </c>
      <c r="U437" s="157" t="s">
        <v>3680</v>
      </c>
      <c r="V437" s="179" t="s">
        <v>374</v>
      </c>
      <c r="W437" s="181">
        <v>0</v>
      </c>
      <c r="X437" s="181">
        <v>0</v>
      </c>
      <c r="Y437" s="181">
        <v>0</v>
      </c>
      <c r="Z437" s="183" t="s">
        <v>2406</v>
      </c>
      <c r="AA437" s="157"/>
      <c r="AB437" s="184" t="s">
        <v>2319</v>
      </c>
      <c r="AC437" s="132">
        <f t="shared" si="45"/>
        <v>0</v>
      </c>
    </row>
    <row r="438" s="132" customFormat="1" ht="24" customHeight="1" spans="1:29">
      <c r="A438" s="150">
        <v>432</v>
      </c>
      <c r="B438" s="166" t="s">
        <v>3688</v>
      </c>
      <c r="C438" s="166" t="s">
        <v>3441</v>
      </c>
      <c r="D438" s="157" t="s">
        <v>2339</v>
      </c>
      <c r="E438" s="158" t="s">
        <v>3569</v>
      </c>
      <c r="F438" s="189" t="s">
        <v>3692</v>
      </c>
      <c r="G438" s="156" t="s">
        <v>3693</v>
      </c>
      <c r="H438" s="157" t="str">
        <f>IF(G438="","",VLOOKUP(G438,'附表8-合同明细采集底稿'!B:I,2,0))</f>
        <v>沁春锦苑沁春景苑绿色建筑心机指标申报材料</v>
      </c>
      <c r="I438" s="165" t="str">
        <f>IF(G438="","",VLOOKUP(G438,'附表8-合同明细采集底稿'!B:I,3,0))</f>
        <v>技术合同</v>
      </c>
      <c r="J438" s="187" t="s">
        <v>3694</v>
      </c>
      <c r="K438" s="157" t="s">
        <v>2355</v>
      </c>
      <c r="L438" s="166">
        <v>1100202130</v>
      </c>
      <c r="M438" s="166">
        <v>15601734</v>
      </c>
      <c r="N438" s="167">
        <v>94339.62</v>
      </c>
      <c r="O438" s="167">
        <v>100000</v>
      </c>
      <c r="P438" s="167">
        <v>94339.62</v>
      </c>
      <c r="Q438" s="167"/>
      <c r="R438" s="167">
        <f t="shared" si="47"/>
        <v>94339.62</v>
      </c>
      <c r="S438" s="178">
        <f>IFERROR(VLOOKUP(G438,'附表8-合同明细采集底稿'!B:N,12,0),100%)</f>
        <v>0.3183</v>
      </c>
      <c r="T438" s="167">
        <f t="shared" si="44"/>
        <v>30028.3</v>
      </c>
      <c r="U438" s="157" t="s">
        <v>2318</v>
      </c>
      <c r="V438" s="179" t="s">
        <v>375</v>
      </c>
      <c r="W438" s="180">
        <f>IF('附表1-面积统计表'!$D$29=0,"",IF(AND(V438="共同成本费用",Z438="总建筑面积法"),ROUND(T438/'附表1-面积统计表'!$D$29*'附表1-面积统计表'!$D$5,2),IF(AND(V438="共同成本费用",Z438="可售建筑面积法"),ROUND(T438/'附表1-面积统计表'!$F$29*'附表1-面积统计表'!$F$5,2),"请手工填写")))</f>
        <v>14547.6</v>
      </c>
      <c r="X438" s="180">
        <f>IF(SUM('附表1-面积统计表'!$D$6)=0,"",SUM(T438)-SUM(W438)-SUM(Y438))</f>
        <v>9625.1</v>
      </c>
      <c r="Y438" s="180">
        <f>IF(SUM('附表1-面积统计表'!$D$6)=0,SUM(T438)-SUM(W438),IF('附表1-面积统计表'!$D$29=0,"",IF(AND(V438="共同成本费用",Z438="总建筑面积法"),ROUND(T438/'附表1-面积统计表'!$D$29*'附表1-面积统计表'!$D$7,2),IF(AND(V438="共同成本费用",Z438="可售建筑面积法"),ROUND(T438/'附表1-面积统计表'!$F$29*'附表1-面积统计表'!$F$7,2),"请手工填写"))))</f>
        <v>5855.6</v>
      </c>
      <c r="Z438" s="183" t="s">
        <v>351</v>
      </c>
      <c r="AA438" s="157"/>
      <c r="AB438" s="184" t="s">
        <v>2319</v>
      </c>
      <c r="AC438" s="132">
        <f t="shared" si="45"/>
        <v>0</v>
      </c>
    </row>
    <row r="439" s="132" customFormat="1" ht="24" customHeight="1" spans="1:29">
      <c r="A439" s="150">
        <v>433</v>
      </c>
      <c r="B439" s="166" t="s">
        <v>3688</v>
      </c>
      <c r="C439" s="166" t="s">
        <v>3073</v>
      </c>
      <c r="D439" s="157" t="s">
        <v>2470</v>
      </c>
      <c r="E439" s="158" t="s">
        <v>2471</v>
      </c>
      <c r="F439" s="189" t="s">
        <v>3695</v>
      </c>
      <c r="G439" s="156" t="s">
        <v>3004</v>
      </c>
      <c r="H439" s="157" t="str">
        <f>IF(G439="","",VLOOKUP(G439,'附表8-合同明细采集底稿'!B:I,2,0))</f>
        <v>建设工程监理合同</v>
      </c>
      <c r="I439" s="165" t="str">
        <f>IF(G439="","",VLOOKUP(G439,'附表8-合同明细采集底稿'!B:I,3,0))</f>
        <v>技术合同</v>
      </c>
      <c r="J439" s="154" t="s">
        <v>3696</v>
      </c>
      <c r="K439" s="157" t="s">
        <v>2355</v>
      </c>
      <c r="L439" s="166">
        <v>6500162160</v>
      </c>
      <c r="M439" s="555" t="s">
        <v>3697</v>
      </c>
      <c r="N439" s="167">
        <v>100555.45</v>
      </c>
      <c r="O439" s="167">
        <v>101561</v>
      </c>
      <c r="P439" s="167">
        <v>100555.45</v>
      </c>
      <c r="Q439" s="167"/>
      <c r="R439" s="167">
        <f t="shared" si="47"/>
        <v>100555.45</v>
      </c>
      <c r="S439" s="178">
        <f>IFERROR(VLOOKUP(G439,'附表8-合同明细采集底稿'!B:N,12,0),100%)</f>
        <v>1</v>
      </c>
      <c r="T439" s="167">
        <f t="shared" si="44"/>
        <v>100555.45</v>
      </c>
      <c r="U439" s="157" t="s">
        <v>2344</v>
      </c>
      <c r="V439" s="179" t="s">
        <v>375</v>
      </c>
      <c r="W439" s="180">
        <f>IF('附表1-面积统计表'!$D$29=0,"",IF(AND(V439="共同成本费用",Z439="总建筑面积法"),ROUND(T439/'附表1-面积统计表'!$D$29*'附表1-面积统计表'!$D$5,2),IF(AND(V439="共同成本费用",Z439="可售建筑面积法"),ROUND(T439/'附表1-面积统计表'!$F$29*'附表1-面积统计表'!$F$5,2),"请手工填写")))</f>
        <v>48715.4</v>
      </c>
      <c r="X439" s="180">
        <f>IF(SUM('附表1-面积统计表'!$D$6)=0,"",SUM(T439)-SUM(W439)-SUM(Y439))</f>
        <v>32231.45</v>
      </c>
      <c r="Y439" s="180">
        <f>IF(SUM('附表1-面积统计表'!$D$6)=0,SUM(T439)-SUM(W439),IF('附表1-面积统计表'!$D$29=0,"",IF(AND(V439="共同成本费用",Z439="总建筑面积法"),ROUND(T439/'附表1-面积统计表'!$D$29*'附表1-面积统计表'!$D$7,2),IF(AND(V439="共同成本费用",Z439="可售建筑面积法"),ROUND(T439/'附表1-面积统计表'!$F$29*'附表1-面积统计表'!$F$7,2),"请手工填写"))))</f>
        <v>19608.6</v>
      </c>
      <c r="Z439" s="183" t="s">
        <v>351</v>
      </c>
      <c r="AA439" s="157"/>
      <c r="AB439" s="184" t="s">
        <v>2319</v>
      </c>
      <c r="AC439" s="132">
        <f t="shared" si="45"/>
        <v>0</v>
      </c>
    </row>
    <row r="440" s="132" customFormat="1" ht="24" customHeight="1" spans="1:29">
      <c r="A440" s="150">
        <v>434</v>
      </c>
      <c r="B440" s="166" t="s">
        <v>3698</v>
      </c>
      <c r="C440" s="166" t="s">
        <v>3079</v>
      </c>
      <c r="D440" s="157" t="s">
        <v>2533</v>
      </c>
      <c r="E440" s="158" t="s">
        <v>2564</v>
      </c>
      <c r="F440" s="189" t="s">
        <v>3699</v>
      </c>
      <c r="G440" s="156" t="s">
        <v>2900</v>
      </c>
      <c r="H440" s="157" t="str">
        <f>IF(G440="","",VLOOKUP(G440,'附表8-合同明细采集底稿'!B:I,2,0))</f>
        <v>沁春锦苑25、26、28#施工协议</v>
      </c>
      <c r="I440" s="165" t="str">
        <f>IF(G440="","",VLOOKUP(G440,'附表8-合同明细采集底稿'!B:I,3,0))</f>
        <v>建设工程合同</v>
      </c>
      <c r="J440" s="187" t="s">
        <v>144</v>
      </c>
      <c r="K440" s="157" t="s">
        <v>2355</v>
      </c>
      <c r="L440" s="166">
        <v>6500193130</v>
      </c>
      <c r="M440" s="555" t="s">
        <v>3700</v>
      </c>
      <c r="N440" s="167">
        <v>1539320.18</v>
      </c>
      <c r="O440" s="167">
        <v>1677859</v>
      </c>
      <c r="P440" s="167">
        <v>1539320.18</v>
      </c>
      <c r="Q440" s="167"/>
      <c r="R440" s="167">
        <f t="shared" si="47"/>
        <v>1539320.18</v>
      </c>
      <c r="S440" s="178">
        <f>IFERROR(VLOOKUP(G440,'附表8-合同明细采集底稿'!B:N,12,0),100%)</f>
        <v>1</v>
      </c>
      <c r="T440" s="167">
        <f t="shared" si="44"/>
        <v>1539320.18</v>
      </c>
      <c r="U440" s="157" t="s">
        <v>2416</v>
      </c>
      <c r="V440" s="179" t="s">
        <v>374</v>
      </c>
      <c r="W440" s="182">
        <f>ROUND(T440*成本分摊比例!$G$13/(成本分摊比例!$G$13+成本分摊比例!$H$13+成本分摊比例!$I$13),2)</f>
        <v>831697.43</v>
      </c>
      <c r="X440" s="182">
        <f>ROUND(T440*成本分摊比例!$H$13/(成本分摊比例!$G$13+成本分摊比例!$H$13+成本分摊比例!$I$13),2)</f>
        <v>550273.93</v>
      </c>
      <c r="Y440" s="182">
        <f t="shared" ref="Y440:Y445" si="50">T440-W440-X440</f>
        <v>157348.82</v>
      </c>
      <c r="Z440" s="183" t="s">
        <v>2406</v>
      </c>
      <c r="AA440" s="157"/>
      <c r="AB440" s="184" t="s">
        <v>2319</v>
      </c>
      <c r="AC440" s="132">
        <f t="shared" si="45"/>
        <v>0</v>
      </c>
    </row>
    <row r="441" s="132" customFormat="1" ht="24" customHeight="1" spans="1:29">
      <c r="A441" s="150">
        <v>435</v>
      </c>
      <c r="B441" s="166" t="s">
        <v>3701</v>
      </c>
      <c r="C441" s="166" t="s">
        <v>3702</v>
      </c>
      <c r="D441" s="157" t="s">
        <v>2533</v>
      </c>
      <c r="E441" s="158" t="s">
        <v>2690</v>
      </c>
      <c r="F441" s="189" t="s">
        <v>3703</v>
      </c>
      <c r="G441" s="156" t="s">
        <v>3250</v>
      </c>
      <c r="H441" s="157" t="str">
        <f>IF(G441="","",VLOOKUP(G441,'附表8-合同明细采集底稿'!B:I,2,0))</f>
        <v>沁春锦苑32#33#34#楼外墙装修</v>
      </c>
      <c r="I441" s="165" t="str">
        <f>IF(G441="","",VLOOKUP(G441,'附表8-合同明细采集底稿'!B:I,3,0))</f>
        <v>建设工程合同</v>
      </c>
      <c r="J441" s="187" t="s">
        <v>3231</v>
      </c>
      <c r="K441" s="157" t="s">
        <v>2355</v>
      </c>
      <c r="L441" s="191">
        <v>6500193130</v>
      </c>
      <c r="M441" s="155" t="s">
        <v>3704</v>
      </c>
      <c r="N441" s="167">
        <v>989633.05</v>
      </c>
      <c r="O441" s="167">
        <v>1078700</v>
      </c>
      <c r="P441" s="167">
        <v>989633.05</v>
      </c>
      <c r="Q441" s="167"/>
      <c r="R441" s="167">
        <f t="shared" si="47"/>
        <v>989633.05</v>
      </c>
      <c r="S441" s="178">
        <f>IFERROR(VLOOKUP(G441,'附表8-合同明细采集底稿'!B:N,12,0),100%)</f>
        <v>1</v>
      </c>
      <c r="T441" s="167">
        <f t="shared" si="44"/>
        <v>989633.05</v>
      </c>
      <c r="U441" s="157" t="s">
        <v>2405</v>
      </c>
      <c r="V441" s="179" t="s">
        <v>374</v>
      </c>
      <c r="W441" s="181">
        <v>0</v>
      </c>
      <c r="X441" s="181">
        <v>0</v>
      </c>
      <c r="Y441" s="181">
        <v>989633.05</v>
      </c>
      <c r="Z441" s="183" t="s">
        <v>2406</v>
      </c>
      <c r="AA441" s="157"/>
      <c r="AB441" s="184" t="s">
        <v>2319</v>
      </c>
      <c r="AC441" s="132">
        <f t="shared" si="45"/>
        <v>0</v>
      </c>
    </row>
    <row r="442" s="132" customFormat="1" ht="24" customHeight="1" spans="1:29">
      <c r="A442" s="150">
        <v>436</v>
      </c>
      <c r="B442" s="166" t="s">
        <v>3705</v>
      </c>
      <c r="C442" s="166" t="s">
        <v>3029</v>
      </c>
      <c r="D442" s="157" t="s">
        <v>2533</v>
      </c>
      <c r="E442" s="158" t="s">
        <v>2534</v>
      </c>
      <c r="F442" s="189" t="s">
        <v>3706</v>
      </c>
      <c r="G442" s="156" t="s">
        <v>3463</v>
      </c>
      <c r="H442" s="157" t="str">
        <f>IF(G442="","",VLOOKUP(G442,'附表8-合同明细采集底稿'!B:I,2,0))</f>
        <v>极舍定制（样板间）</v>
      </c>
      <c r="I442" s="165" t="str">
        <f>IF(G442="","",VLOOKUP(G442,'附表8-合同明细采集底稿'!B:I,3,0))</f>
        <v>其他合同</v>
      </c>
      <c r="J442" s="187" t="s">
        <v>3464</v>
      </c>
      <c r="K442" s="157" t="s">
        <v>2335</v>
      </c>
      <c r="L442" s="168" t="s">
        <v>2336</v>
      </c>
      <c r="M442" s="166">
        <v>38957829</v>
      </c>
      <c r="N442" s="167">
        <v>32500</v>
      </c>
      <c r="O442" s="167">
        <v>0</v>
      </c>
      <c r="P442" s="167">
        <v>32500</v>
      </c>
      <c r="Q442" s="167">
        <v>-32500</v>
      </c>
      <c r="R442" s="167">
        <f t="shared" si="47"/>
        <v>0</v>
      </c>
      <c r="S442" s="178">
        <f>IFERROR(VLOOKUP(G442,'附表8-合同明细采集底稿'!B:N,12,0),100%)</f>
        <v>1</v>
      </c>
      <c r="T442" s="167">
        <f t="shared" si="44"/>
        <v>0</v>
      </c>
      <c r="U442" s="157" t="s">
        <v>2416</v>
      </c>
      <c r="V442" s="179" t="s">
        <v>374</v>
      </c>
      <c r="W442" s="182">
        <f>ROUND(T442*成本分摊比例!$G$13/(成本分摊比例!$G$13+成本分摊比例!$H$13+成本分摊比例!$I$13),2)</f>
        <v>0</v>
      </c>
      <c r="X442" s="182">
        <f>ROUND(T442*成本分摊比例!$H$13/(成本分摊比例!$G$13+成本分摊比例!$H$13+成本分摊比例!$I$13),2)</f>
        <v>0</v>
      </c>
      <c r="Y442" s="182">
        <f>T442-W442-X442</f>
        <v>0</v>
      </c>
      <c r="Z442" s="183" t="s">
        <v>2406</v>
      </c>
      <c r="AA442" s="157"/>
      <c r="AB442" s="184" t="s">
        <v>2319</v>
      </c>
      <c r="AC442" s="132">
        <f t="shared" si="45"/>
        <v>0</v>
      </c>
    </row>
    <row r="443" s="132" customFormat="1" ht="24" customHeight="1" spans="1:29">
      <c r="A443" s="150">
        <v>437</v>
      </c>
      <c r="B443" s="166" t="s">
        <v>3705</v>
      </c>
      <c r="C443" s="166" t="s">
        <v>3707</v>
      </c>
      <c r="D443" s="157" t="s">
        <v>2533</v>
      </c>
      <c r="E443" s="158" t="s">
        <v>2564</v>
      </c>
      <c r="F443" s="189" t="s">
        <v>3708</v>
      </c>
      <c r="G443" s="156" t="s">
        <v>2900</v>
      </c>
      <c r="H443" s="157" t="str">
        <f>IF(G443="","",VLOOKUP(G443,'附表8-合同明细采集底稿'!B:I,2,0))</f>
        <v>沁春锦苑25、26、28#施工协议</v>
      </c>
      <c r="I443" s="165" t="str">
        <f>IF(G443="","",VLOOKUP(G443,'附表8-合同明细采集底稿'!B:I,3,0))</f>
        <v>建设工程合同</v>
      </c>
      <c r="J443" s="187" t="s">
        <v>144</v>
      </c>
      <c r="K443" s="157" t="s">
        <v>2355</v>
      </c>
      <c r="L443" s="191">
        <v>6500193130</v>
      </c>
      <c r="M443" s="166" t="s">
        <v>3709</v>
      </c>
      <c r="N443" s="167">
        <v>1318692.66</v>
      </c>
      <c r="O443" s="167">
        <v>1437375</v>
      </c>
      <c r="P443" s="167">
        <v>1318692.66</v>
      </c>
      <c r="Q443" s="167"/>
      <c r="R443" s="167">
        <f t="shared" si="47"/>
        <v>1318692.66</v>
      </c>
      <c r="S443" s="178">
        <f>IFERROR(VLOOKUP(G443,'附表8-合同明细采集底稿'!B:N,12,0),100%)</f>
        <v>1</v>
      </c>
      <c r="T443" s="167">
        <f t="shared" si="44"/>
        <v>1318692.66</v>
      </c>
      <c r="U443" s="157" t="s">
        <v>2416</v>
      </c>
      <c r="V443" s="179" t="s">
        <v>374</v>
      </c>
      <c r="W443" s="182">
        <f>ROUND(T443*成本分摊比例!$G$13/(成本分摊比例!$G$13+成本分摊比例!$H$13+成本分摊比例!$I$13),2)</f>
        <v>712491.99</v>
      </c>
      <c r="X443" s="182">
        <f>ROUND(T443*成本分摊比例!$H$13/(成本分摊比例!$G$13+成本分摊比例!$H$13+成本分摊比例!$I$13),2)</f>
        <v>471404.32</v>
      </c>
      <c r="Y443" s="182">
        <f t="shared" si="50"/>
        <v>134796.35</v>
      </c>
      <c r="Z443" s="183" t="s">
        <v>2406</v>
      </c>
      <c r="AA443" s="157"/>
      <c r="AB443" s="184" t="s">
        <v>2319</v>
      </c>
      <c r="AC443" s="132">
        <f t="shared" si="45"/>
        <v>0</v>
      </c>
    </row>
    <row r="444" s="132" customFormat="1" ht="24" customHeight="1" spans="1:29">
      <c r="A444" s="150">
        <v>438</v>
      </c>
      <c r="B444" s="166" t="s">
        <v>3705</v>
      </c>
      <c r="C444" s="166" t="s">
        <v>3710</v>
      </c>
      <c r="D444" s="157" t="s">
        <v>2339</v>
      </c>
      <c r="E444" s="158" t="s">
        <v>2351</v>
      </c>
      <c r="F444" s="189" t="s">
        <v>3711</v>
      </c>
      <c r="G444" s="156"/>
      <c r="H444" s="157" t="str">
        <f>IF(G444="","",VLOOKUP(G444,'附表8-合同明细采集底稿'!B:I,2,0))</f>
        <v/>
      </c>
      <c r="I444" s="165" t="str">
        <f>IF(G444="","",VLOOKUP(G444,'附表8-合同明细采集底稿'!B:I,3,0))</f>
        <v/>
      </c>
      <c r="J444" s="187" t="s">
        <v>3614</v>
      </c>
      <c r="K444" s="157" t="s">
        <v>2335</v>
      </c>
      <c r="L444" s="168" t="s">
        <v>2336</v>
      </c>
      <c r="M444" s="555" t="s">
        <v>3712</v>
      </c>
      <c r="N444" s="167">
        <v>41107</v>
      </c>
      <c r="O444" s="167">
        <v>41107</v>
      </c>
      <c r="P444" s="167">
        <v>41107</v>
      </c>
      <c r="Q444" s="167">
        <v>-41107</v>
      </c>
      <c r="R444" s="167">
        <f t="shared" si="47"/>
        <v>0</v>
      </c>
      <c r="S444" s="178">
        <v>1</v>
      </c>
      <c r="T444" s="167">
        <f t="shared" si="44"/>
        <v>0</v>
      </c>
      <c r="U444" s="157" t="s">
        <v>2465</v>
      </c>
      <c r="V444" s="179" t="s">
        <v>374</v>
      </c>
      <c r="W444" s="181">
        <v>0</v>
      </c>
      <c r="X444" s="181">
        <v>0</v>
      </c>
      <c r="Y444" s="181">
        <v>0</v>
      </c>
      <c r="Z444" s="183" t="s">
        <v>2406</v>
      </c>
      <c r="AA444" s="157"/>
      <c r="AB444" s="184" t="s">
        <v>2319</v>
      </c>
      <c r="AC444" s="132">
        <f t="shared" si="45"/>
        <v>0</v>
      </c>
    </row>
    <row r="445" s="132" customFormat="1" ht="24" customHeight="1" spans="1:29">
      <c r="A445" s="150">
        <v>439</v>
      </c>
      <c r="B445" s="166" t="s">
        <v>3705</v>
      </c>
      <c r="C445" s="166" t="s">
        <v>3640</v>
      </c>
      <c r="D445" s="157" t="s">
        <v>2533</v>
      </c>
      <c r="E445" s="158" t="s">
        <v>2564</v>
      </c>
      <c r="F445" s="189" t="s">
        <v>3713</v>
      </c>
      <c r="G445" s="156" t="s">
        <v>2900</v>
      </c>
      <c r="H445" s="157" t="str">
        <f>IF(G445="","",VLOOKUP(G445,'附表8-合同明细采集底稿'!B:I,2,0))</f>
        <v>沁春锦苑25、26、28#施工协议</v>
      </c>
      <c r="I445" s="165" t="str">
        <f>IF(G445="","",VLOOKUP(G445,'附表8-合同明细采集底稿'!B:I,3,0))</f>
        <v>建设工程合同</v>
      </c>
      <c r="J445" s="187" t="s">
        <v>144</v>
      </c>
      <c r="K445" s="157" t="s">
        <v>2355</v>
      </c>
      <c r="L445" s="166">
        <v>6500193130</v>
      </c>
      <c r="M445" s="555" t="s">
        <v>3714</v>
      </c>
      <c r="N445" s="167">
        <v>933682.57</v>
      </c>
      <c r="O445" s="167">
        <v>1017714</v>
      </c>
      <c r="P445" s="167">
        <v>933682.57</v>
      </c>
      <c r="Q445" s="167"/>
      <c r="R445" s="167">
        <f t="shared" si="47"/>
        <v>933682.57</v>
      </c>
      <c r="S445" s="178">
        <f>IFERROR(VLOOKUP(G445,'附表8-合同明细采集底稿'!B:N,12,0),100%)</f>
        <v>1</v>
      </c>
      <c r="T445" s="167">
        <f t="shared" si="44"/>
        <v>933682.57</v>
      </c>
      <c r="U445" s="157" t="s">
        <v>2416</v>
      </c>
      <c r="V445" s="179" t="s">
        <v>374</v>
      </c>
      <c r="W445" s="182">
        <f>ROUND(T445*成本分摊比例!$G$13/(成本分摊比例!$G$13+成本分摊比例!$H$13+成本分摊比例!$I$13),2)</f>
        <v>504470.35</v>
      </c>
      <c r="X445" s="182">
        <f>ROUND(T445*成本分摊比例!$H$13/(成本分摊比例!$G$13+成本分摊比例!$H$13+成本分摊比例!$I$13),2)</f>
        <v>333771.48</v>
      </c>
      <c r="Y445" s="182">
        <f t="shared" si="50"/>
        <v>95440.74</v>
      </c>
      <c r="Z445" s="183" t="s">
        <v>2406</v>
      </c>
      <c r="AA445" s="157"/>
      <c r="AB445" s="184" t="s">
        <v>2319</v>
      </c>
      <c r="AC445" s="132">
        <f t="shared" si="45"/>
        <v>0</v>
      </c>
    </row>
    <row r="446" s="132" customFormat="1" ht="24" customHeight="1" spans="1:29">
      <c r="A446" s="150">
        <v>440</v>
      </c>
      <c r="B446" s="166" t="s">
        <v>3705</v>
      </c>
      <c r="C446" s="166" t="s">
        <v>3715</v>
      </c>
      <c r="D446" s="157" t="s">
        <v>2339</v>
      </c>
      <c r="E446" s="158" t="s">
        <v>2523</v>
      </c>
      <c r="F446" s="189" t="s">
        <v>3716</v>
      </c>
      <c r="G446" s="156"/>
      <c r="H446" s="157" t="str">
        <f>IF(G446="","",VLOOKUP(G446,'附表8-合同明细采集底稿'!B:I,2,0))</f>
        <v/>
      </c>
      <c r="I446" s="165" t="str">
        <f>IF(G446="","",VLOOKUP(G446,'附表8-合同明细采集底稿'!B:I,3,0))</f>
        <v/>
      </c>
      <c r="J446" s="187" t="s">
        <v>3717</v>
      </c>
      <c r="K446" s="157" t="s">
        <v>2355</v>
      </c>
      <c r="L446" s="166">
        <v>6500193130</v>
      </c>
      <c r="M446" s="555" t="s">
        <v>3718</v>
      </c>
      <c r="N446" s="167">
        <v>2970.3</v>
      </c>
      <c r="O446" s="167">
        <v>3000</v>
      </c>
      <c r="P446" s="167">
        <v>2970.3</v>
      </c>
      <c r="Q446" s="167"/>
      <c r="R446" s="167">
        <f t="shared" si="47"/>
        <v>2970.3</v>
      </c>
      <c r="S446" s="178">
        <v>1</v>
      </c>
      <c r="T446" s="167">
        <f t="shared" si="44"/>
        <v>2970.3</v>
      </c>
      <c r="U446" s="157" t="s">
        <v>2344</v>
      </c>
      <c r="V446" s="179" t="s">
        <v>375</v>
      </c>
      <c r="W446" s="180">
        <f>IF('附表1-面积统计表'!$D$29=0,"",IF(AND(V446="共同成本费用",Z446="总建筑面积法"),ROUND(T446/'附表1-面积统计表'!$D$29*'附表1-面积统计表'!$D$5,2),IF(AND(V446="共同成本费用",Z446="可售建筑面积法"),ROUND(T446/'附表1-面积统计表'!$F$29*'附表1-面积统计表'!$F$5,2),"请手工填写")))</f>
        <v>1439</v>
      </c>
      <c r="X446" s="180">
        <f>IF(SUM('附表1-面积统计表'!$D$6)=0,"",SUM(T446)-SUM(W446)-SUM(Y446))</f>
        <v>952.08</v>
      </c>
      <c r="Y446" s="180">
        <f>IF(SUM('附表1-面积统计表'!$D$6)=0,SUM(T446)-SUM(W446),IF('附表1-面积统计表'!$D$29=0,"",IF(AND(V446="共同成本费用",Z446="总建筑面积法"),ROUND(T446/'附表1-面积统计表'!$D$29*'附表1-面积统计表'!$D$7,2),IF(AND(V446="共同成本费用",Z446="可售建筑面积法"),ROUND(T446/'附表1-面积统计表'!$F$29*'附表1-面积统计表'!$F$7,2),"请手工填写"))))</f>
        <v>579.22</v>
      </c>
      <c r="Z446" s="183" t="s">
        <v>351</v>
      </c>
      <c r="AA446" s="157"/>
      <c r="AB446" s="184" t="s">
        <v>2319</v>
      </c>
      <c r="AC446" s="132">
        <f t="shared" si="45"/>
        <v>0</v>
      </c>
    </row>
    <row r="447" s="132" customFormat="1" ht="24" customHeight="1" spans="1:29">
      <c r="A447" s="150">
        <v>441</v>
      </c>
      <c r="B447" s="166" t="s">
        <v>3719</v>
      </c>
      <c r="C447" s="166" t="s">
        <v>3319</v>
      </c>
      <c r="D447" s="157" t="s">
        <v>2533</v>
      </c>
      <c r="E447" s="158" t="s">
        <v>2690</v>
      </c>
      <c r="F447" s="189" t="s">
        <v>3720</v>
      </c>
      <c r="G447" s="156" t="s">
        <v>2600</v>
      </c>
      <c r="H447" s="157" t="str">
        <f>IF(G447="","",VLOOKUP(G447,'附表8-合同明细采集底稿'!B:I,2,0))</f>
        <v>装饰装修工程承包合同</v>
      </c>
      <c r="I447" s="165" t="str">
        <f>IF(G447="","",VLOOKUP(G447,'附表8-合同明细采集底稿'!B:I,3,0))</f>
        <v>建设工程合同</v>
      </c>
      <c r="J447" s="187" t="s">
        <v>2601</v>
      </c>
      <c r="K447" s="157" t="s">
        <v>2355</v>
      </c>
      <c r="L447" s="166">
        <v>6500203130</v>
      </c>
      <c r="M447" s="555" t="s">
        <v>3721</v>
      </c>
      <c r="N447" s="167">
        <v>88495.57</v>
      </c>
      <c r="O447" s="167">
        <v>100000</v>
      </c>
      <c r="P447" s="167">
        <v>88495.57</v>
      </c>
      <c r="Q447" s="167">
        <v>-88495.57</v>
      </c>
      <c r="R447" s="167">
        <f t="shared" si="47"/>
        <v>0</v>
      </c>
      <c r="S447" s="178">
        <f>IFERROR(VLOOKUP(G447,'附表8-合同明细采集底稿'!B:N,12,0),100%)</f>
        <v>1</v>
      </c>
      <c r="T447" s="167">
        <f t="shared" si="44"/>
        <v>0</v>
      </c>
      <c r="U447" s="157" t="s">
        <v>2405</v>
      </c>
      <c r="V447" s="179" t="s">
        <v>374</v>
      </c>
      <c r="W447" s="181">
        <v>0</v>
      </c>
      <c r="X447" s="181">
        <v>0</v>
      </c>
      <c r="Y447" s="181">
        <v>0</v>
      </c>
      <c r="Z447" s="183" t="s">
        <v>2406</v>
      </c>
      <c r="AA447" s="157"/>
      <c r="AB447" s="184" t="s">
        <v>2319</v>
      </c>
      <c r="AC447" s="132">
        <f t="shared" si="45"/>
        <v>0</v>
      </c>
    </row>
    <row r="448" s="132" customFormat="1" ht="24" customHeight="1" spans="1:29">
      <c r="A448" s="150">
        <v>442</v>
      </c>
      <c r="B448" s="166" t="s">
        <v>3722</v>
      </c>
      <c r="C448" s="166" t="s">
        <v>3597</v>
      </c>
      <c r="D448" s="157" t="s">
        <v>2331</v>
      </c>
      <c r="E448" s="158" t="s">
        <v>3111</v>
      </c>
      <c r="F448" s="189" t="s">
        <v>3723</v>
      </c>
      <c r="G448" s="156" t="s">
        <v>3724</v>
      </c>
      <c r="H448" s="157" t="str">
        <f>IF(G448="","",VLOOKUP(G448,'附表8-合同明细采集底稿'!B:I,2,0))</f>
        <v>沁春锦苑项目人防门购置18#-21#</v>
      </c>
      <c r="I448" s="165" t="str">
        <f>IF(G448="","",VLOOKUP(G448,'附表8-合同明细采集底稿'!B:I,3,0))</f>
        <v>买卖合同</v>
      </c>
      <c r="J448" s="187" t="s">
        <v>3725</v>
      </c>
      <c r="K448" s="157" t="s">
        <v>2355</v>
      </c>
      <c r="L448" s="166">
        <v>6500203130</v>
      </c>
      <c r="M448" s="555" t="s">
        <v>3726</v>
      </c>
      <c r="N448" s="167">
        <v>328228.33</v>
      </c>
      <c r="O448" s="167">
        <v>370898</v>
      </c>
      <c r="P448" s="167">
        <v>328228.33</v>
      </c>
      <c r="Q448" s="167">
        <v>-2313.1</v>
      </c>
      <c r="R448" s="167">
        <f t="shared" si="47"/>
        <v>325915.23</v>
      </c>
      <c r="S448" s="178">
        <f>IFERROR(VLOOKUP(G448,'附表8-合同明细采集底稿'!B:N,12,0),100%)</f>
        <v>0.109829243890136</v>
      </c>
      <c r="T448" s="167">
        <f t="shared" si="44"/>
        <v>35795.02</v>
      </c>
      <c r="U448" s="157" t="s">
        <v>3116</v>
      </c>
      <c r="V448" s="179" t="s">
        <v>374</v>
      </c>
      <c r="W448" s="181">
        <f>ROUND(T448*0.8162,2)</f>
        <v>29215.9</v>
      </c>
      <c r="X448" s="181">
        <v>0</v>
      </c>
      <c r="Y448" s="181">
        <f>T448-W448</f>
        <v>6579.12</v>
      </c>
      <c r="Z448" s="183" t="s">
        <v>2406</v>
      </c>
      <c r="AA448" s="157"/>
      <c r="AB448" s="184" t="s">
        <v>2319</v>
      </c>
      <c r="AC448" s="132">
        <f t="shared" si="45"/>
        <v>0</v>
      </c>
    </row>
    <row r="449" s="132" customFormat="1" ht="24" customHeight="1" spans="1:29">
      <c r="A449" s="150">
        <v>443</v>
      </c>
      <c r="B449" s="166" t="s">
        <v>3727</v>
      </c>
      <c r="C449" s="166" t="s">
        <v>3728</v>
      </c>
      <c r="D449" s="157" t="s">
        <v>2533</v>
      </c>
      <c r="E449" s="158" t="s">
        <v>2564</v>
      </c>
      <c r="F449" s="189" t="s">
        <v>3729</v>
      </c>
      <c r="G449" s="156" t="s">
        <v>2900</v>
      </c>
      <c r="H449" s="157" t="str">
        <f>IF(G449="","",VLOOKUP(G449,'附表8-合同明细采集底稿'!B:I,2,0))</f>
        <v>沁春锦苑25、26、28#施工协议</v>
      </c>
      <c r="I449" s="165" t="str">
        <f>IF(G449="","",VLOOKUP(G449,'附表8-合同明细采集底稿'!B:I,3,0))</f>
        <v>建设工程合同</v>
      </c>
      <c r="J449" s="187" t="s">
        <v>144</v>
      </c>
      <c r="K449" s="157" t="s">
        <v>2355</v>
      </c>
      <c r="L449" s="166">
        <v>6500193130</v>
      </c>
      <c r="M449" s="555" t="s">
        <v>3730</v>
      </c>
      <c r="N449" s="167">
        <v>659893.58</v>
      </c>
      <c r="O449" s="167">
        <v>719284</v>
      </c>
      <c r="P449" s="167">
        <v>659893.58</v>
      </c>
      <c r="Q449" s="167"/>
      <c r="R449" s="167">
        <f t="shared" si="47"/>
        <v>659893.58</v>
      </c>
      <c r="S449" s="178">
        <f>IFERROR(VLOOKUP(G449,'附表8-合同明细采集底稿'!B:N,12,0),100%)</f>
        <v>1</v>
      </c>
      <c r="T449" s="167">
        <f t="shared" si="44"/>
        <v>659893.58</v>
      </c>
      <c r="U449" s="157" t="s">
        <v>2416</v>
      </c>
      <c r="V449" s="179" t="s">
        <v>374</v>
      </c>
      <c r="W449" s="182">
        <f>ROUND(T449*成本分摊比例!$G$13/(成本分摊比例!$G$13+成本分摊比例!$H$13+成本分摊比例!$I$13),2)</f>
        <v>356541.67</v>
      </c>
      <c r="X449" s="182">
        <f>ROUND(T449*成本分摊比例!$H$13/(成本分摊比例!$G$13+成本分摊比例!$H$13+成本分摊比例!$I$13),2)</f>
        <v>235897.79</v>
      </c>
      <c r="Y449" s="182">
        <f t="shared" ref="Y449:Y455" si="51">T449-W449-X449</f>
        <v>67454.12</v>
      </c>
      <c r="Z449" s="183" t="s">
        <v>2406</v>
      </c>
      <c r="AA449" s="157"/>
      <c r="AB449" s="184" t="s">
        <v>2319</v>
      </c>
      <c r="AC449" s="132">
        <f t="shared" si="45"/>
        <v>0</v>
      </c>
    </row>
    <row r="450" s="132" customFormat="1" ht="24" customHeight="1" spans="1:29">
      <c r="A450" s="150">
        <v>444</v>
      </c>
      <c r="B450" s="166" t="s">
        <v>3727</v>
      </c>
      <c r="C450" s="166" t="s">
        <v>3731</v>
      </c>
      <c r="D450" s="157" t="s">
        <v>2470</v>
      </c>
      <c r="E450" s="158" t="s">
        <v>3314</v>
      </c>
      <c r="F450" s="189" t="s">
        <v>3732</v>
      </c>
      <c r="G450" s="156"/>
      <c r="H450" s="157"/>
      <c r="I450" s="165"/>
      <c r="J450" s="187"/>
      <c r="K450" s="157" t="s">
        <v>2317</v>
      </c>
      <c r="L450" s="166"/>
      <c r="M450" s="166"/>
      <c r="N450" s="167">
        <v>136350.53</v>
      </c>
      <c r="O450" s="167">
        <v>136350.53</v>
      </c>
      <c r="P450" s="167">
        <v>136350.53</v>
      </c>
      <c r="Q450" s="167"/>
      <c r="R450" s="167">
        <f t="shared" si="47"/>
        <v>136350.53</v>
      </c>
      <c r="S450" s="202">
        <v>0.338555832480367</v>
      </c>
      <c r="T450" s="167">
        <f t="shared" si="44"/>
        <v>46162.27</v>
      </c>
      <c r="U450" s="157" t="s">
        <v>2344</v>
      </c>
      <c r="V450" s="179" t="s">
        <v>375</v>
      </c>
      <c r="W450" s="180">
        <f>IF('附表1-面积统计表'!$D$29=0,"",IF(AND(V450="共同成本费用",Z450="总建筑面积法"),ROUND(T450/'附表1-面积统计表'!$D$29*'附表1-面积统计表'!$D$5,2),IF(AND(V450="共同成本费用",Z450="可售建筑面积法"),ROUND(T450/'附表1-面积统计表'!$F$29*'附表1-面积统计表'!$F$5,2),"请手工填写")))</f>
        <v>22363.92</v>
      </c>
      <c r="X450" s="180">
        <f>IF(SUM('附表1-面积统计表'!$D$6)=0,"",SUM(T450)-SUM(W450)-SUM(Y450))</f>
        <v>14796.58</v>
      </c>
      <c r="Y450" s="180">
        <f>IF(SUM('附表1-面积统计表'!$D$6)=0,SUM(T450)-SUM(W450),IF('附表1-面积统计表'!$D$29=0,"",IF(AND(V450="共同成本费用",Z450="总建筑面积法"),ROUND(T450/'附表1-面积统计表'!$D$29*'附表1-面积统计表'!$D$7,2),IF(AND(V450="共同成本费用",Z450="可售建筑面积法"),ROUND(T450/'附表1-面积统计表'!$F$29*'附表1-面积统计表'!$F$7,2),"请手工填写"))))</f>
        <v>9001.77</v>
      </c>
      <c r="Z450" s="183" t="s">
        <v>351</v>
      </c>
      <c r="AA450" s="157"/>
      <c r="AB450" s="184" t="s">
        <v>2319</v>
      </c>
      <c r="AC450" s="132">
        <f t="shared" si="45"/>
        <v>0</v>
      </c>
    </row>
    <row r="451" s="132" customFormat="1" ht="24" customHeight="1" spans="1:29">
      <c r="A451" s="150">
        <v>445</v>
      </c>
      <c r="B451" s="166" t="s">
        <v>3733</v>
      </c>
      <c r="C451" s="166" t="s">
        <v>3534</v>
      </c>
      <c r="D451" s="157" t="s">
        <v>2339</v>
      </c>
      <c r="E451" s="158" t="s">
        <v>2363</v>
      </c>
      <c r="F451" s="189" t="s">
        <v>3734</v>
      </c>
      <c r="G451" s="156" t="s">
        <v>3735</v>
      </c>
      <c r="H451" s="157" t="str">
        <f>IF(G451="","",VLOOKUP(G451,'附表8-合同明细采集底稿'!B:I,2,0))</f>
        <v>沁春锦苑一期、二期、三期三网合一FTTH工程施工合同（绿）</v>
      </c>
      <c r="I451" s="165" t="str">
        <f>IF(G451="","",VLOOKUP(G451,'附表8-合同明细采集底稿'!B:I,3,0))</f>
        <v>建设工程合同</v>
      </c>
      <c r="J451" s="187" t="s">
        <v>3736</v>
      </c>
      <c r="K451" s="157" t="s">
        <v>2355</v>
      </c>
      <c r="L451" s="166">
        <v>6500193130</v>
      </c>
      <c r="M451" s="555" t="s">
        <v>3737</v>
      </c>
      <c r="N451" s="167">
        <v>33229.36</v>
      </c>
      <c r="O451" s="167">
        <v>36220</v>
      </c>
      <c r="P451" s="167">
        <v>33229.36</v>
      </c>
      <c r="Q451" s="167"/>
      <c r="R451" s="167">
        <f t="shared" si="47"/>
        <v>33229.36</v>
      </c>
      <c r="S451" s="178">
        <f>IFERROR(VLOOKUP(G451,'附表8-合同明细采集底稿'!B:N,12,0),100%)</f>
        <v>1</v>
      </c>
      <c r="T451" s="167">
        <f t="shared" si="44"/>
        <v>33229.36</v>
      </c>
      <c r="U451" s="157" t="s">
        <v>2416</v>
      </c>
      <c r="V451" s="179" t="s">
        <v>374</v>
      </c>
      <c r="W451" s="182">
        <f>ROUND(T451*成本分摊比例!$G$13/(成本分摊比例!$G$13+成本分摊比例!$H$13+成本分摊比例!$I$13),2)</f>
        <v>17953.88</v>
      </c>
      <c r="X451" s="182">
        <f>ROUND(T451*成本分摊比例!$H$13/(成本分摊比例!$G$13+成本分摊比例!$H$13+成本分摊比例!$I$13),2)</f>
        <v>11878.78</v>
      </c>
      <c r="Y451" s="182">
        <f t="shared" si="51"/>
        <v>3396.7</v>
      </c>
      <c r="Z451" s="183" t="s">
        <v>2406</v>
      </c>
      <c r="AA451" s="157"/>
      <c r="AB451" s="184" t="s">
        <v>2319</v>
      </c>
      <c r="AC451" s="132">
        <f t="shared" si="45"/>
        <v>0</v>
      </c>
    </row>
    <row r="452" s="132" customFormat="1" ht="24" customHeight="1" spans="1:29">
      <c r="A452" s="150">
        <v>446</v>
      </c>
      <c r="B452" s="166" t="s">
        <v>3738</v>
      </c>
      <c r="C452" s="166" t="s">
        <v>3739</v>
      </c>
      <c r="D452" s="157" t="s">
        <v>2346</v>
      </c>
      <c r="E452" s="158" t="s">
        <v>2656</v>
      </c>
      <c r="F452" s="189" t="s">
        <v>3740</v>
      </c>
      <c r="G452" s="156"/>
      <c r="H452" s="157" t="str">
        <f>IF(G452="","",VLOOKUP(G452,'附表8-合同明细采集底稿'!B:I,2,0))</f>
        <v/>
      </c>
      <c r="I452" s="165" t="str">
        <f>IF(G452="","",VLOOKUP(G452,'附表8-合同明细采集底稿'!B:I,3,0))</f>
        <v/>
      </c>
      <c r="J452" s="169" t="s">
        <v>3741</v>
      </c>
      <c r="K452" s="157" t="s">
        <v>2335</v>
      </c>
      <c r="L452" s="168" t="s">
        <v>2336</v>
      </c>
      <c r="M452" s="166" t="s">
        <v>3742</v>
      </c>
      <c r="N452" s="167">
        <v>15685</v>
      </c>
      <c r="O452" s="167">
        <v>15685</v>
      </c>
      <c r="P452" s="167">
        <v>15685</v>
      </c>
      <c r="Q452" s="167"/>
      <c r="R452" s="167">
        <f t="shared" si="47"/>
        <v>15685</v>
      </c>
      <c r="S452" s="178">
        <v>1</v>
      </c>
      <c r="T452" s="167">
        <f t="shared" si="44"/>
        <v>15685</v>
      </c>
      <c r="U452" s="157" t="s">
        <v>2344</v>
      </c>
      <c r="V452" s="179" t="s">
        <v>375</v>
      </c>
      <c r="W452" s="180">
        <f>IF('附表1-面积统计表'!$D$29=0,"",IF(AND(V452="共同成本费用",Z452="总建筑面积法"),ROUND(T452/'附表1-面积统计表'!$D$29*'附表1-面积统计表'!$D$5,2),IF(AND(V452="共同成本费用",Z452="可售建筑面积法"),ROUND(T452/'附表1-面积统计表'!$F$29*'附表1-面积统计表'!$F$5,2),"请手工填写")))</f>
        <v>7598.8</v>
      </c>
      <c r="X452" s="180">
        <f>IF(SUM('附表1-面积统计表'!$D$6)=0,"",SUM(T452)-SUM(W452)-SUM(Y452))</f>
        <v>5027.58</v>
      </c>
      <c r="Y452" s="180">
        <f>IF(SUM('附表1-面积统计表'!$D$6)=0,SUM(T452)-SUM(W452),IF('附表1-面积统计表'!$D$29=0,"",IF(AND(V452="共同成本费用",Z452="总建筑面积法"),ROUND(T452/'附表1-面积统计表'!$D$29*'附表1-面积统计表'!$D$7,2),IF(AND(V452="共同成本费用",Z452="可售建筑面积法"),ROUND(T452/'附表1-面积统计表'!$F$29*'附表1-面积统计表'!$F$7,2),"请手工填写"))))</f>
        <v>3058.62</v>
      </c>
      <c r="Z452" s="183" t="s">
        <v>351</v>
      </c>
      <c r="AA452" s="157"/>
      <c r="AB452" s="184" t="s">
        <v>2319</v>
      </c>
      <c r="AC452" s="132">
        <f t="shared" si="45"/>
        <v>0</v>
      </c>
    </row>
    <row r="453" s="132" customFormat="1" ht="24" customHeight="1" spans="1:29">
      <c r="A453" s="150">
        <v>447</v>
      </c>
      <c r="B453" s="166" t="s">
        <v>3738</v>
      </c>
      <c r="C453" s="166" t="s">
        <v>3476</v>
      </c>
      <c r="D453" s="157" t="s">
        <v>2533</v>
      </c>
      <c r="E453" s="158" t="s">
        <v>2534</v>
      </c>
      <c r="F453" s="189" t="s">
        <v>3743</v>
      </c>
      <c r="G453" s="156"/>
      <c r="H453" s="157" t="str">
        <f>IF(G453="","",VLOOKUP(G453,'附表8-合同明细采集底稿'!B:I,2,0))</f>
        <v/>
      </c>
      <c r="I453" s="165" t="str">
        <f>IF(G453="","",VLOOKUP(G453,'附表8-合同明细采集底稿'!B:I,3,0))</f>
        <v/>
      </c>
      <c r="J453" s="187" t="s">
        <v>3744</v>
      </c>
      <c r="K453" s="157" t="s">
        <v>2355</v>
      </c>
      <c r="L453" s="166">
        <v>6500193130</v>
      </c>
      <c r="M453" s="555" t="s">
        <v>3745</v>
      </c>
      <c r="N453" s="167">
        <v>4415.93</v>
      </c>
      <c r="O453" s="167">
        <v>4990</v>
      </c>
      <c r="P453" s="167">
        <v>4415.93</v>
      </c>
      <c r="Q453" s="167">
        <v>-4415.93</v>
      </c>
      <c r="R453" s="167">
        <f t="shared" si="47"/>
        <v>0</v>
      </c>
      <c r="S453" s="178">
        <v>1</v>
      </c>
      <c r="T453" s="167">
        <f t="shared" si="44"/>
        <v>0</v>
      </c>
      <c r="U453" s="157" t="s">
        <v>2416</v>
      </c>
      <c r="V453" s="179" t="s">
        <v>374</v>
      </c>
      <c r="W453" s="182">
        <f>ROUND(T453*成本分摊比例!$G$13/(成本分摊比例!$G$13+成本分摊比例!$H$13+成本分摊比例!$I$13),2)</f>
        <v>0</v>
      </c>
      <c r="X453" s="182">
        <f>ROUND(T453*成本分摊比例!$H$13/(成本分摊比例!$G$13+成本分摊比例!$H$13+成本分摊比例!$I$13),2)</f>
        <v>0</v>
      </c>
      <c r="Y453" s="182">
        <f t="shared" si="51"/>
        <v>0</v>
      </c>
      <c r="Z453" s="183" t="s">
        <v>2406</v>
      </c>
      <c r="AA453" s="157"/>
      <c r="AB453" s="184" t="s">
        <v>2319</v>
      </c>
      <c r="AC453" s="132">
        <f t="shared" si="45"/>
        <v>0</v>
      </c>
    </row>
    <row r="454" s="132" customFormat="1" ht="24" customHeight="1" spans="1:29">
      <c r="A454" s="150">
        <v>448</v>
      </c>
      <c r="B454" s="166" t="s">
        <v>3738</v>
      </c>
      <c r="C454" s="166" t="s">
        <v>3622</v>
      </c>
      <c r="D454" s="157" t="s">
        <v>2533</v>
      </c>
      <c r="E454" s="158" t="s">
        <v>2534</v>
      </c>
      <c r="F454" s="189" t="s">
        <v>3746</v>
      </c>
      <c r="G454" s="156" t="s">
        <v>3747</v>
      </c>
      <c r="H454" s="157" t="str">
        <f>IF(G454="","",VLOOKUP(G454,'附表8-合同明细采集底稿'!B:I,2,0))</f>
        <v>沁春锦苑35#楼壁挂炉</v>
      </c>
      <c r="I454" s="165" t="str">
        <f>IF(G454="","",VLOOKUP(G454,'附表8-合同明细采集底稿'!B:I,3,0))</f>
        <v>其他合同</v>
      </c>
      <c r="J454" s="187" t="s">
        <v>3748</v>
      </c>
      <c r="K454" s="157" t="s">
        <v>2355</v>
      </c>
      <c r="L454" s="166">
        <v>6500193130</v>
      </c>
      <c r="M454" s="555" t="s">
        <v>3749</v>
      </c>
      <c r="N454" s="167">
        <v>5221.24</v>
      </c>
      <c r="O454" s="167">
        <v>5900</v>
      </c>
      <c r="P454" s="167">
        <v>5221.24</v>
      </c>
      <c r="Q454" s="167">
        <v>-5221.24</v>
      </c>
      <c r="R454" s="167">
        <f t="shared" si="47"/>
        <v>0</v>
      </c>
      <c r="S454" s="178">
        <f>IFERROR(VLOOKUP(G454,'附表8-合同明细采集底稿'!B:N,12,0),100%)</f>
        <v>1</v>
      </c>
      <c r="T454" s="167">
        <f t="shared" si="44"/>
        <v>0</v>
      </c>
      <c r="U454" s="157" t="s">
        <v>2416</v>
      </c>
      <c r="V454" s="179" t="s">
        <v>374</v>
      </c>
      <c r="W454" s="182">
        <f>ROUND(T454*成本分摊比例!$G$13/(成本分摊比例!$G$13+成本分摊比例!$H$13+成本分摊比例!$I$13),2)</f>
        <v>0</v>
      </c>
      <c r="X454" s="182">
        <f>ROUND(T454*成本分摊比例!$H$13/(成本分摊比例!$G$13+成本分摊比例!$H$13+成本分摊比例!$I$13),2)</f>
        <v>0</v>
      </c>
      <c r="Y454" s="182">
        <f t="shared" si="51"/>
        <v>0</v>
      </c>
      <c r="Z454" s="183" t="s">
        <v>2406</v>
      </c>
      <c r="AA454" s="157"/>
      <c r="AB454" s="184" t="s">
        <v>2319</v>
      </c>
      <c r="AC454" s="132">
        <f t="shared" si="45"/>
        <v>0</v>
      </c>
    </row>
    <row r="455" s="132" customFormat="1" ht="24" customHeight="1" spans="1:29">
      <c r="A455" s="150">
        <v>449</v>
      </c>
      <c r="B455" s="166" t="s">
        <v>3738</v>
      </c>
      <c r="C455" s="166" t="s">
        <v>3358</v>
      </c>
      <c r="D455" s="157" t="s">
        <v>2533</v>
      </c>
      <c r="E455" s="158" t="s">
        <v>2564</v>
      </c>
      <c r="F455" s="189" t="s">
        <v>3750</v>
      </c>
      <c r="G455" s="156" t="s">
        <v>2900</v>
      </c>
      <c r="H455" s="157" t="str">
        <f>IF(G455="","",VLOOKUP(G455,'附表8-合同明细采集底稿'!B:I,2,0))</f>
        <v>沁春锦苑25、26、28#施工协议</v>
      </c>
      <c r="I455" s="165" t="str">
        <f>IF(G455="","",VLOOKUP(G455,'附表8-合同明细采集底稿'!B:I,3,0))</f>
        <v>建设工程合同</v>
      </c>
      <c r="J455" s="187" t="s">
        <v>144</v>
      </c>
      <c r="K455" s="157" t="s">
        <v>2355</v>
      </c>
      <c r="L455" s="166">
        <v>6500193130</v>
      </c>
      <c r="M455" s="555" t="s">
        <v>3751</v>
      </c>
      <c r="N455" s="167">
        <v>677972.48</v>
      </c>
      <c r="O455" s="167">
        <v>738990</v>
      </c>
      <c r="P455" s="167">
        <v>677972.48</v>
      </c>
      <c r="Q455" s="167"/>
      <c r="R455" s="167">
        <f t="shared" si="47"/>
        <v>677972.48</v>
      </c>
      <c r="S455" s="178">
        <f>IFERROR(VLOOKUP(G455,'附表8-合同明细采集底稿'!B:N,12,0),100%)</f>
        <v>1</v>
      </c>
      <c r="T455" s="167">
        <f t="shared" si="44"/>
        <v>677972.48</v>
      </c>
      <c r="U455" s="157" t="s">
        <v>2416</v>
      </c>
      <c r="V455" s="179" t="s">
        <v>374</v>
      </c>
      <c r="W455" s="182">
        <f>ROUND(T455*成本分摊比例!$G$13/(成本分摊比例!$G$13+成本分摊比例!$H$13+成本分摊比例!$I$13),2)</f>
        <v>366309.74</v>
      </c>
      <c r="X455" s="182">
        <f>ROUND(T455*成本分摊比例!$H$13/(成本分摊比例!$G$13+成本分摊比例!$H$13+成本分摊比例!$I$13),2)</f>
        <v>242360.61</v>
      </c>
      <c r="Y455" s="182">
        <f t="shared" si="51"/>
        <v>69302.13</v>
      </c>
      <c r="Z455" s="183" t="s">
        <v>2406</v>
      </c>
      <c r="AA455" s="157"/>
      <c r="AB455" s="184" t="s">
        <v>2319</v>
      </c>
      <c r="AC455" s="132">
        <f t="shared" si="45"/>
        <v>0</v>
      </c>
    </row>
    <row r="456" s="132" customFormat="1" ht="24" customHeight="1" spans="1:29">
      <c r="A456" s="150">
        <v>450</v>
      </c>
      <c r="B456" s="166" t="s">
        <v>3752</v>
      </c>
      <c r="C456" s="166" t="s">
        <v>3568</v>
      </c>
      <c r="D456" s="157" t="s">
        <v>2533</v>
      </c>
      <c r="E456" s="158" t="s">
        <v>2534</v>
      </c>
      <c r="F456" s="189" t="s">
        <v>3753</v>
      </c>
      <c r="G456" s="156"/>
      <c r="H456" s="157" t="str">
        <f>IF(G456="","",VLOOKUP(G456,'附表8-合同明细采集底稿'!B:I,2,0))</f>
        <v/>
      </c>
      <c r="I456" s="165" t="str">
        <f>IF(G456="","",VLOOKUP(G456,'附表8-合同明细采集底稿'!B:I,3,0))</f>
        <v/>
      </c>
      <c r="J456" s="187" t="s">
        <v>3754</v>
      </c>
      <c r="K456" s="157" t="s">
        <v>2335</v>
      </c>
      <c r="L456" s="168" t="s">
        <v>2336</v>
      </c>
      <c r="M456" s="166">
        <v>40488979</v>
      </c>
      <c r="N456" s="167">
        <v>23740</v>
      </c>
      <c r="O456" s="167">
        <v>0</v>
      </c>
      <c r="P456" s="167">
        <v>23740</v>
      </c>
      <c r="Q456" s="167">
        <v>-23740</v>
      </c>
      <c r="R456" s="167">
        <f t="shared" si="47"/>
        <v>0</v>
      </c>
      <c r="S456" s="178">
        <v>1</v>
      </c>
      <c r="T456" s="167">
        <f t="shared" si="44"/>
        <v>0</v>
      </c>
      <c r="U456" s="157" t="s">
        <v>2641</v>
      </c>
      <c r="V456" s="179" t="s">
        <v>375</v>
      </c>
      <c r="W456" s="180">
        <f>IF('附表1-面积统计表'!$D$29=0,"",IF(AND(V456="共同成本费用",Z456="总建筑面积法"),ROUND(T456/'附表1-面积统计表'!$D$29*'附表1-面积统计表'!$D$5,2),IF(AND(V456="共同成本费用",Z456="可售建筑面积法"),ROUND(T456/'附表1-面积统计表'!$F$29*'附表1-面积统计表'!$F$5,2),"请手工填写")))</f>
        <v>0</v>
      </c>
      <c r="X456" s="180">
        <f>IF(SUM('附表1-面积统计表'!$D$6)=0,"",SUM(T456)-SUM(W456)-SUM(Y456))</f>
        <v>0</v>
      </c>
      <c r="Y456" s="180">
        <f>IF(SUM('附表1-面积统计表'!$D$6)=0,SUM(T456)-SUM(W456),IF('附表1-面积统计表'!$D$29=0,"",IF(AND(V456="共同成本费用",Z456="总建筑面积法"),ROUND(T456/'附表1-面积统计表'!$D$29*'附表1-面积统计表'!$D$7,2),IF(AND(V456="共同成本费用",Z456="可售建筑面积法"),ROUND(T456/'附表1-面积统计表'!$F$29*'附表1-面积统计表'!$F$7,2),"请手工填写"))))</f>
        <v>0</v>
      </c>
      <c r="Z456" s="183" t="s">
        <v>351</v>
      </c>
      <c r="AA456" s="157"/>
      <c r="AB456" s="184" t="s">
        <v>2319</v>
      </c>
      <c r="AC456" s="132">
        <f t="shared" ref="AC456:AC519" si="52">T456-W456-X456-Y456</f>
        <v>0</v>
      </c>
    </row>
    <row r="457" s="132" customFormat="1" ht="24" customHeight="1" spans="1:29">
      <c r="A457" s="150">
        <v>451</v>
      </c>
      <c r="B457" s="166" t="s">
        <v>3755</v>
      </c>
      <c r="C457" s="166" t="s">
        <v>3756</v>
      </c>
      <c r="D457" s="157" t="s">
        <v>2533</v>
      </c>
      <c r="E457" s="158" t="s">
        <v>2564</v>
      </c>
      <c r="F457" s="189" t="s">
        <v>3757</v>
      </c>
      <c r="G457" s="156" t="s">
        <v>3679</v>
      </c>
      <c r="H457" s="157" t="str">
        <f>IF(G457="","",VLOOKUP(G457,'附表8-合同明细采集底稿'!B:I,2,0))</f>
        <v>建设工程施工合同12-15#楼38#楼、31#楼.36#幼儿园（36#楼）</v>
      </c>
      <c r="I457" s="165" t="str">
        <f>IF(G457="","",VLOOKUP(G457,'附表8-合同明细采集底稿'!B:I,3,0))</f>
        <v>建设工程合同</v>
      </c>
      <c r="J457" s="187" t="s">
        <v>151</v>
      </c>
      <c r="K457" s="157" t="s">
        <v>2355</v>
      </c>
      <c r="L457" s="166">
        <v>6500203130</v>
      </c>
      <c r="M457" s="555" t="s">
        <v>3758</v>
      </c>
      <c r="N457" s="167">
        <v>133030.28</v>
      </c>
      <c r="O457" s="167">
        <v>145003.01</v>
      </c>
      <c r="P457" s="167">
        <v>133030.28</v>
      </c>
      <c r="Q457" s="167">
        <v>-133030.28</v>
      </c>
      <c r="R457" s="167">
        <f t="shared" si="47"/>
        <v>0</v>
      </c>
      <c r="S457" s="178">
        <f>IFERROR(VLOOKUP(G457,'附表8-合同明细采集底稿'!B:N,12,0),100%)</f>
        <v>1</v>
      </c>
      <c r="T457" s="167">
        <f t="shared" ref="T456:T520" si="53">ROUND(SUM(R457)*SUM(S457),2)</f>
        <v>0</v>
      </c>
      <c r="U457" s="157" t="s">
        <v>3680</v>
      </c>
      <c r="V457" s="179" t="s">
        <v>374</v>
      </c>
      <c r="W457" s="181">
        <v>0</v>
      </c>
      <c r="X457" s="181">
        <v>0</v>
      </c>
      <c r="Y457" s="181">
        <v>0</v>
      </c>
      <c r="Z457" s="183" t="s">
        <v>2406</v>
      </c>
      <c r="AA457" s="157"/>
      <c r="AB457" s="184" t="s">
        <v>2319</v>
      </c>
      <c r="AC457" s="132">
        <f t="shared" si="52"/>
        <v>0</v>
      </c>
    </row>
    <row r="458" s="132" customFormat="1" ht="24" customHeight="1" spans="1:29">
      <c r="A458" s="150">
        <v>452</v>
      </c>
      <c r="B458" s="209" t="s">
        <v>3755</v>
      </c>
      <c r="C458" s="166" t="s">
        <v>3756</v>
      </c>
      <c r="D458" s="157" t="s">
        <v>2331</v>
      </c>
      <c r="E458" s="158" t="s">
        <v>3544</v>
      </c>
      <c r="F458" s="189" t="s">
        <v>3757</v>
      </c>
      <c r="G458" s="156" t="s">
        <v>3676</v>
      </c>
      <c r="H458" s="157" t="str">
        <f>IF(G458="","",VLOOKUP(G458,'附表8-合同明细采集底稿'!B:I,2,0))</f>
        <v>建设工程施工合同12-15#楼38#楼、31#楼幼儿园（幼儿园—）</v>
      </c>
      <c r="I458" s="165" t="str">
        <f>IF(G458="","",VLOOKUP(G458,'附表8-合同明细采集底稿'!B:I,3,0))</f>
        <v>建设工程合同</v>
      </c>
      <c r="J458" s="154" t="s">
        <v>151</v>
      </c>
      <c r="K458" s="157" t="s">
        <v>2355</v>
      </c>
      <c r="L458" s="166">
        <v>6500203130</v>
      </c>
      <c r="M458" s="166" t="s">
        <v>3758</v>
      </c>
      <c r="N458" s="167">
        <v>565413.76</v>
      </c>
      <c r="O458" s="167">
        <v>616301</v>
      </c>
      <c r="P458" s="167">
        <v>565413.76</v>
      </c>
      <c r="Q458" s="167"/>
      <c r="R458" s="167">
        <f t="shared" si="47"/>
        <v>565413.76</v>
      </c>
      <c r="S458" s="178">
        <f>IFERROR(VLOOKUP(G458,'附表8-合同明细采集底稿'!B:N,12,0),100%)</f>
        <v>0.338555832480367</v>
      </c>
      <c r="T458" s="167">
        <f t="shared" si="53"/>
        <v>191424.13</v>
      </c>
      <c r="U458" s="157" t="s">
        <v>3678</v>
      </c>
      <c r="V458" s="179" t="s">
        <v>375</v>
      </c>
      <c r="W458" s="180">
        <f>IF('附表1-面积统计表'!$D$29=0,"",IF(AND(V458="共同成本费用",Z458="总建筑面积法"),ROUND(T458/'附表1-面积统计表'!$D$29*'附表1-面积统计表'!$D$5,2),IF(AND(V458="共同成本费用",Z458="可售建筑面积法"),ROUND(T458/'附表1-面积统计表'!$F$29*'附表1-面积统计表'!$F$5,2),"请手工填写")))</f>
        <v>92737.92</v>
      </c>
      <c r="X458" s="180">
        <f>IF(SUM('附表1-面积统计表'!$D$6)=0,"",SUM(T458)-SUM(W458)-SUM(Y458))</f>
        <v>61357.97</v>
      </c>
      <c r="Y458" s="180">
        <f>IF(SUM('附表1-面积统计表'!$D$6)=0,SUM(T458)-SUM(W458),IF('附表1-面积统计表'!$D$29=0,"",IF(AND(V458="共同成本费用",Z458="总建筑面积法"),ROUND(T458/'附表1-面积统计表'!$D$29*'附表1-面积统计表'!$D$7,2),IF(AND(V458="共同成本费用",Z458="可售建筑面积法"),ROUND(T458/'附表1-面积统计表'!$F$29*'附表1-面积统计表'!$F$7,2),"请手工填写"))))</f>
        <v>37328.24</v>
      </c>
      <c r="Z458" s="183" t="s">
        <v>351</v>
      </c>
      <c r="AA458" s="157"/>
      <c r="AB458" s="184" t="s">
        <v>2319</v>
      </c>
      <c r="AC458" s="132">
        <f t="shared" si="52"/>
        <v>0</v>
      </c>
    </row>
    <row r="459" s="132" customFormat="1" ht="24" customHeight="1" spans="1:29">
      <c r="A459" s="150">
        <v>453</v>
      </c>
      <c r="B459" s="166" t="s">
        <v>3759</v>
      </c>
      <c r="C459" s="166" t="s">
        <v>3760</v>
      </c>
      <c r="D459" s="157" t="s">
        <v>2470</v>
      </c>
      <c r="E459" s="158" t="s">
        <v>3314</v>
      </c>
      <c r="F459" s="189" t="s">
        <v>3761</v>
      </c>
      <c r="G459" s="156"/>
      <c r="H459" s="157"/>
      <c r="I459" s="165"/>
      <c r="J459" s="187" t="s">
        <v>3624</v>
      </c>
      <c r="K459" s="157" t="s">
        <v>2317</v>
      </c>
      <c r="L459" s="166"/>
      <c r="M459" s="166"/>
      <c r="N459" s="167">
        <v>8053.34</v>
      </c>
      <c r="O459" s="167">
        <v>0</v>
      </c>
      <c r="P459" s="167">
        <v>8053.34</v>
      </c>
      <c r="Q459" s="167"/>
      <c r="R459" s="167">
        <f t="shared" si="47"/>
        <v>8053.34</v>
      </c>
      <c r="S459" s="202">
        <v>0.338555832480367</v>
      </c>
      <c r="T459" s="167">
        <f t="shared" si="53"/>
        <v>2726.51</v>
      </c>
      <c r="U459" s="157" t="s">
        <v>2344</v>
      </c>
      <c r="V459" s="179" t="s">
        <v>375</v>
      </c>
      <c r="W459" s="180">
        <f>IF('附表1-面积统计表'!$D$29=0,"",IF(AND(V459="共同成本费用",Z459="总建筑面积法"),ROUND(T459/'附表1-面积统计表'!$D$29*'附表1-面积统计表'!$D$5,2),IF(AND(V459="共同成本费用",Z459="可售建筑面积法"),ROUND(T459/'附表1-面积统计表'!$F$29*'附表1-面积统计表'!$F$5,2),"请手工填写")))</f>
        <v>1320.89</v>
      </c>
      <c r="X459" s="180">
        <f>IF(SUM('附表1-面积统计表'!$D$6)=0,"",SUM(T459)-SUM(W459)-SUM(Y459))</f>
        <v>873.94</v>
      </c>
      <c r="Y459" s="180">
        <f>IF(SUM('附表1-面积统计表'!$D$6)=0,SUM(T459)-SUM(W459),IF('附表1-面积统计表'!$D$29=0,"",IF(AND(V459="共同成本费用",Z459="总建筑面积法"),ROUND(T459/'附表1-面积统计表'!$D$29*'附表1-面积统计表'!$D$7,2),IF(AND(V459="共同成本费用",Z459="可售建筑面积法"),ROUND(T459/'附表1-面积统计表'!$F$29*'附表1-面积统计表'!$F$7,2),"请手工填写"))))</f>
        <v>531.68</v>
      </c>
      <c r="Z459" s="183" t="s">
        <v>351</v>
      </c>
      <c r="AA459" s="157"/>
      <c r="AB459" s="184" t="s">
        <v>2319</v>
      </c>
      <c r="AC459" s="132">
        <f t="shared" si="52"/>
        <v>0</v>
      </c>
    </row>
    <row r="460" s="132" customFormat="1" ht="24" customHeight="1" spans="1:29">
      <c r="A460" s="150">
        <v>454</v>
      </c>
      <c r="B460" s="166" t="s">
        <v>3762</v>
      </c>
      <c r="C460" s="166" t="s">
        <v>3048</v>
      </c>
      <c r="D460" s="157" t="s">
        <v>2339</v>
      </c>
      <c r="E460" s="158" t="s">
        <v>2370</v>
      </c>
      <c r="F460" s="189" t="s">
        <v>3763</v>
      </c>
      <c r="G460" s="156"/>
      <c r="H460" s="157" t="str">
        <f>IF(G460="","",VLOOKUP(G460,'附表8-合同明细采集底稿'!B:I,2,0))</f>
        <v/>
      </c>
      <c r="I460" s="165" t="str">
        <f>IF(G460="","",VLOOKUP(G460,'附表8-合同明细采集底稿'!B:I,3,0))</f>
        <v/>
      </c>
      <c r="J460" s="187" t="s">
        <v>3764</v>
      </c>
      <c r="K460" s="157" t="s">
        <v>2355</v>
      </c>
      <c r="L460" s="166">
        <v>6500203130</v>
      </c>
      <c r="M460" s="555" t="s">
        <v>3765</v>
      </c>
      <c r="N460" s="167">
        <v>61320.75</v>
      </c>
      <c r="O460" s="167">
        <v>65000</v>
      </c>
      <c r="P460" s="167">
        <v>61320.75</v>
      </c>
      <c r="Q460" s="167"/>
      <c r="R460" s="167">
        <f t="shared" si="47"/>
        <v>61320.75</v>
      </c>
      <c r="S460" s="178">
        <v>1</v>
      </c>
      <c r="T460" s="167">
        <f t="shared" si="53"/>
        <v>61320.75</v>
      </c>
      <c r="U460" s="157" t="s">
        <v>2416</v>
      </c>
      <c r="V460" s="179" t="s">
        <v>374</v>
      </c>
      <c r="W460" s="182">
        <f>ROUND(T460*成本分摊比例!$G$13/(成本分摊比例!$G$13+成本分摊比例!$H$13+成本分摊比例!$I$13),2)</f>
        <v>33131.71</v>
      </c>
      <c r="X460" s="182">
        <f>ROUND(T460*成本分摊比例!$H$13/(成本分摊比例!$G$13+成本分摊比例!$H$13+成本分摊比例!$I$13),2)</f>
        <v>21920.85</v>
      </c>
      <c r="Y460" s="182">
        <f t="shared" ref="Y460:Y464" si="54">T460-W460-X460</f>
        <v>6268.19</v>
      </c>
      <c r="Z460" s="183" t="s">
        <v>2406</v>
      </c>
      <c r="AA460" s="157"/>
      <c r="AB460" s="184" t="s">
        <v>2319</v>
      </c>
      <c r="AC460" s="132">
        <f t="shared" si="52"/>
        <v>0</v>
      </c>
    </row>
    <row r="461" s="132" customFormat="1" ht="24" customHeight="1" spans="1:29">
      <c r="A461" s="150">
        <v>455</v>
      </c>
      <c r="B461" s="166" t="s">
        <v>3762</v>
      </c>
      <c r="C461" s="166" t="s">
        <v>3051</v>
      </c>
      <c r="D461" s="157" t="s">
        <v>2533</v>
      </c>
      <c r="E461" s="158" t="s">
        <v>3234</v>
      </c>
      <c r="F461" s="189" t="s">
        <v>3766</v>
      </c>
      <c r="G461" s="156"/>
      <c r="H461" s="157" t="str">
        <f>IF(G461="","",VLOOKUP(G461,'附表8-合同明细采集底稿'!B:I,2,0))</f>
        <v/>
      </c>
      <c r="I461" s="165" t="str">
        <f>IF(G461="","",VLOOKUP(G461,'附表8-合同明细采集底稿'!B:I,3,0))</f>
        <v/>
      </c>
      <c r="J461" s="187" t="s">
        <v>3767</v>
      </c>
      <c r="K461" s="157" t="s">
        <v>2355</v>
      </c>
      <c r="L461" s="166">
        <v>3300204130</v>
      </c>
      <c r="M461" s="555" t="s">
        <v>3768</v>
      </c>
      <c r="N461" s="167">
        <v>15929.2</v>
      </c>
      <c r="O461" s="167">
        <v>18000</v>
      </c>
      <c r="P461" s="167">
        <v>15929.2</v>
      </c>
      <c r="Q461" s="167">
        <v>-15929.2</v>
      </c>
      <c r="R461" s="167">
        <f t="shared" si="47"/>
        <v>0</v>
      </c>
      <c r="S461" s="178">
        <v>1</v>
      </c>
      <c r="T461" s="167">
        <f t="shared" si="53"/>
        <v>0</v>
      </c>
      <c r="U461" s="157" t="s">
        <v>2416</v>
      </c>
      <c r="V461" s="179" t="s">
        <v>374</v>
      </c>
      <c r="W461" s="182">
        <f>ROUND(T461*成本分摊比例!$G$13/(成本分摊比例!$G$13+成本分摊比例!$H$13+成本分摊比例!$I$13),2)</f>
        <v>0</v>
      </c>
      <c r="X461" s="182">
        <f>ROUND(T461*成本分摊比例!$H$13/(成本分摊比例!$G$13+成本分摊比例!$H$13+成本分摊比例!$I$13),2)</f>
        <v>0</v>
      </c>
      <c r="Y461" s="182">
        <f t="shared" si="54"/>
        <v>0</v>
      </c>
      <c r="Z461" s="183" t="s">
        <v>2406</v>
      </c>
      <c r="AA461" s="157"/>
      <c r="AB461" s="184" t="s">
        <v>2319</v>
      </c>
      <c r="AC461" s="132">
        <f t="shared" si="52"/>
        <v>0</v>
      </c>
    </row>
    <row r="462" s="132" customFormat="1" ht="24" customHeight="1" spans="1:29">
      <c r="A462" s="150">
        <v>456</v>
      </c>
      <c r="B462" s="166" t="s">
        <v>3769</v>
      </c>
      <c r="C462" s="166" t="s">
        <v>3770</v>
      </c>
      <c r="D462" s="157" t="s">
        <v>2470</v>
      </c>
      <c r="E462" s="158" t="s">
        <v>3314</v>
      </c>
      <c r="F462" s="189" t="s">
        <v>3771</v>
      </c>
      <c r="G462" s="156"/>
      <c r="H462" s="157"/>
      <c r="I462" s="165"/>
      <c r="J462" s="187"/>
      <c r="K462" s="157" t="s">
        <v>2317</v>
      </c>
      <c r="L462" s="166"/>
      <c r="M462" s="166"/>
      <c r="N462" s="167">
        <v>3333.33</v>
      </c>
      <c r="O462" s="167">
        <v>3333.33</v>
      </c>
      <c r="P462" s="167">
        <v>3333.33</v>
      </c>
      <c r="Q462" s="167"/>
      <c r="R462" s="167">
        <f t="shared" si="47"/>
        <v>3333.33</v>
      </c>
      <c r="S462" s="202">
        <v>0.338555832480367</v>
      </c>
      <c r="T462" s="167">
        <f t="shared" si="53"/>
        <v>1128.52</v>
      </c>
      <c r="U462" s="157" t="s">
        <v>2344</v>
      </c>
      <c r="V462" s="179" t="s">
        <v>375</v>
      </c>
      <c r="W462" s="180">
        <f>IF('附表1-面积统计表'!$D$29=0,"",IF(AND(V462="共同成本费用",Z462="总建筑面积法"),ROUND(T462/'附表1-面积统计表'!$D$29*'附表1-面积统计表'!$D$5,2),IF(AND(V462="共同成本费用",Z462="可售建筑面积法"),ROUND(T462/'附表1-面积统计表'!$F$29*'附表1-面积统计表'!$F$5,2),"请手工填写")))</f>
        <v>546.73</v>
      </c>
      <c r="X462" s="180">
        <f>IF(SUM('附表1-面积统计表'!$D$6)=0,"",SUM(T462)-SUM(W462)-SUM(Y462))</f>
        <v>361.73</v>
      </c>
      <c r="Y462" s="180">
        <f>IF(SUM('附表1-面积统计表'!$D$6)=0,SUM(T462)-SUM(W462),IF('附表1-面积统计表'!$D$29=0,"",IF(AND(V462="共同成本费用",Z462="总建筑面积法"),ROUND(T462/'附表1-面积统计表'!$D$29*'附表1-面积统计表'!$D$7,2),IF(AND(V462="共同成本费用",Z462="可售建筑面积法"),ROUND(T462/'附表1-面积统计表'!$F$29*'附表1-面积统计表'!$F$7,2),"请手工填写"))))</f>
        <v>220.06</v>
      </c>
      <c r="Z462" s="183" t="s">
        <v>351</v>
      </c>
      <c r="AA462" s="157"/>
      <c r="AB462" s="184" t="s">
        <v>2319</v>
      </c>
      <c r="AC462" s="132">
        <f t="shared" si="52"/>
        <v>0</v>
      </c>
    </row>
    <row r="463" s="132" customFormat="1" ht="24" customHeight="1" spans="1:29">
      <c r="A463" s="150">
        <v>457</v>
      </c>
      <c r="B463" s="166" t="s">
        <v>3772</v>
      </c>
      <c r="C463" s="166" t="s">
        <v>3334</v>
      </c>
      <c r="D463" s="157" t="s">
        <v>2533</v>
      </c>
      <c r="E463" s="158" t="s">
        <v>2564</v>
      </c>
      <c r="F463" s="189" t="s">
        <v>3773</v>
      </c>
      <c r="G463" s="156" t="s">
        <v>2692</v>
      </c>
      <c r="H463" s="157" t="str">
        <f>IF(G463="","",VLOOKUP(G463,'附表8-合同明细采集底稿'!B:I,2,0))</f>
        <v>沁春锦苑19、20、23、24号楼防火防盗门</v>
      </c>
      <c r="I463" s="165" t="str">
        <f>IF(G463="","",VLOOKUP(G463,'附表8-合同明细采集底稿'!B:I,3,0))</f>
        <v>买卖合同</v>
      </c>
      <c r="J463" s="187" t="s">
        <v>2693</v>
      </c>
      <c r="K463" s="157" t="s">
        <v>2355</v>
      </c>
      <c r="L463" s="191">
        <v>6500203130</v>
      </c>
      <c r="M463" s="166" t="s">
        <v>3774</v>
      </c>
      <c r="N463" s="167">
        <v>100428.76</v>
      </c>
      <c r="O463" s="167">
        <v>113484.5</v>
      </c>
      <c r="P463" s="167">
        <v>100428.76</v>
      </c>
      <c r="Q463" s="167">
        <v>-11812.39</v>
      </c>
      <c r="R463" s="167">
        <f t="shared" si="47"/>
        <v>88616.37</v>
      </c>
      <c r="S463" s="178">
        <f>IFERROR(VLOOKUP(G463,'附表8-合同明细采集底稿'!B:N,12,0),100%)</f>
        <v>1</v>
      </c>
      <c r="T463" s="167">
        <f t="shared" si="53"/>
        <v>88616.37</v>
      </c>
      <c r="U463" s="157" t="s">
        <v>2416</v>
      </c>
      <c r="V463" s="179" t="s">
        <v>374</v>
      </c>
      <c r="W463" s="182">
        <f>ROUND(T463*成本分摊比例!$G$13/(成本分摊比例!$G$13+成本分摊比例!$H$13+成本分摊比例!$I$13),2)</f>
        <v>47879.58</v>
      </c>
      <c r="X463" s="182">
        <f>ROUND(T463*成本分摊比例!$H$13/(成本分摊比例!$G$13+成本分摊比例!$H$13+成本分摊比例!$I$13),2)</f>
        <v>31678.45</v>
      </c>
      <c r="Y463" s="182">
        <f t="shared" si="54"/>
        <v>9058.33999999999</v>
      </c>
      <c r="Z463" s="183" t="s">
        <v>2406</v>
      </c>
      <c r="AA463" s="157"/>
      <c r="AB463" s="184" t="s">
        <v>2319</v>
      </c>
      <c r="AC463" s="132">
        <f t="shared" si="52"/>
        <v>0</v>
      </c>
    </row>
    <row r="464" s="132" customFormat="1" ht="24" customHeight="1" spans="1:29">
      <c r="A464" s="150">
        <v>458</v>
      </c>
      <c r="B464" s="166" t="s">
        <v>3775</v>
      </c>
      <c r="C464" s="166" t="s">
        <v>3021</v>
      </c>
      <c r="D464" s="157" t="s">
        <v>2533</v>
      </c>
      <c r="E464" s="158" t="s">
        <v>2564</v>
      </c>
      <c r="F464" s="189" t="s">
        <v>3776</v>
      </c>
      <c r="G464" s="156" t="s">
        <v>2900</v>
      </c>
      <c r="H464" s="157" t="str">
        <f>IF(G464="","",VLOOKUP(G464,'附表8-合同明细采集底稿'!B:I,2,0))</f>
        <v>沁春锦苑25、26、28#施工协议</v>
      </c>
      <c r="I464" s="165" t="str">
        <f>IF(G464="","",VLOOKUP(G464,'附表8-合同明细采集底稿'!B:I,3,0))</f>
        <v>建设工程合同</v>
      </c>
      <c r="J464" s="187" t="s">
        <v>144</v>
      </c>
      <c r="K464" s="157" t="s">
        <v>2355</v>
      </c>
      <c r="L464" s="166">
        <v>6500193130</v>
      </c>
      <c r="M464" s="555" t="s">
        <v>3777</v>
      </c>
      <c r="N464" s="167">
        <v>1112456.88</v>
      </c>
      <c r="O464" s="167">
        <v>1212578</v>
      </c>
      <c r="P464" s="167">
        <v>1112456.88</v>
      </c>
      <c r="Q464" s="167"/>
      <c r="R464" s="167">
        <f t="shared" si="47"/>
        <v>1112456.88</v>
      </c>
      <c r="S464" s="178">
        <f>IFERROR(VLOOKUP(G464,'附表8-合同明细采集底稿'!B:N,12,0),100%)</f>
        <v>1</v>
      </c>
      <c r="T464" s="167">
        <f t="shared" si="53"/>
        <v>1112456.88</v>
      </c>
      <c r="U464" s="157" t="s">
        <v>2416</v>
      </c>
      <c r="V464" s="179" t="s">
        <v>374</v>
      </c>
      <c r="W464" s="182">
        <f>ROUND(T464*成本分摊比例!$G$13/(成本分摊比例!$G$13+成本分摊比例!$H$13+成本分摊比例!$I$13),2)</f>
        <v>601062.43</v>
      </c>
      <c r="X464" s="182">
        <f>ROUND(T464*成本分摊比例!$H$13/(成本分摊比例!$G$13+成本分摊比例!$H$13+成本分摊比例!$I$13),2)</f>
        <v>397679.46</v>
      </c>
      <c r="Y464" s="182">
        <f t="shared" si="54"/>
        <v>113714.99</v>
      </c>
      <c r="Z464" s="183" t="s">
        <v>2406</v>
      </c>
      <c r="AA464" s="157"/>
      <c r="AB464" s="184" t="s">
        <v>2319</v>
      </c>
      <c r="AC464" s="132">
        <f t="shared" si="52"/>
        <v>0</v>
      </c>
    </row>
    <row r="465" s="132" customFormat="1" ht="24" customHeight="1" spans="1:29">
      <c r="A465" s="150">
        <v>459</v>
      </c>
      <c r="B465" s="166" t="s">
        <v>3775</v>
      </c>
      <c r="C465" s="166" t="s">
        <v>3778</v>
      </c>
      <c r="D465" s="157" t="s">
        <v>2339</v>
      </c>
      <c r="E465" s="158" t="s">
        <v>2370</v>
      </c>
      <c r="F465" s="189" t="s">
        <v>3779</v>
      </c>
      <c r="G465" s="156"/>
      <c r="H465" s="157" t="str">
        <f>IF(G465="","",VLOOKUP(G465,'附表8-合同明细采集底稿'!B:I,2,0))</f>
        <v/>
      </c>
      <c r="I465" s="165" t="str">
        <f>IF(G465="","",VLOOKUP(G465,'附表8-合同明细采集底稿'!B:I,3,0))</f>
        <v/>
      </c>
      <c r="J465" s="187" t="s">
        <v>3780</v>
      </c>
      <c r="K465" s="157" t="s">
        <v>2355</v>
      </c>
      <c r="L465" s="166">
        <v>6500193130</v>
      </c>
      <c r="M465" s="555" t="s">
        <v>3781</v>
      </c>
      <c r="N465" s="167">
        <v>94339.62</v>
      </c>
      <c r="O465" s="167">
        <v>100000</v>
      </c>
      <c r="P465" s="167">
        <v>94339.62</v>
      </c>
      <c r="Q465" s="167"/>
      <c r="R465" s="167">
        <f t="shared" si="47"/>
        <v>94339.62</v>
      </c>
      <c r="S465" s="178">
        <v>1</v>
      </c>
      <c r="T465" s="167">
        <f t="shared" si="53"/>
        <v>94339.62</v>
      </c>
      <c r="U465" s="157" t="s">
        <v>2344</v>
      </c>
      <c r="V465" s="179" t="s">
        <v>375</v>
      </c>
      <c r="W465" s="180">
        <f>IF('附表1-面积统计表'!$D$29=0,"",IF(AND(V465="共同成本费用",Z465="总建筑面积法"),ROUND(T465/'附表1-面积统计表'!$D$29*'附表1-面积统计表'!$D$5,2),IF(AND(V465="共同成本费用",Z465="可售建筑面积法"),ROUND(T465/'附表1-面积统计表'!$F$29*'附表1-面积统计表'!$F$5,2),"请手工填写")))</f>
        <v>45704.06</v>
      </c>
      <c r="X465" s="180">
        <f>IF(SUM('附表1-面积统计表'!$D$6)=0,"",SUM(T465)-SUM(W465)-SUM(Y465))</f>
        <v>30239.07</v>
      </c>
      <c r="Y465" s="180">
        <f>IF(SUM('附表1-面积统计表'!$D$6)=0,SUM(T465)-SUM(W465),IF('附表1-面积统计表'!$D$29=0,"",IF(AND(V465="共同成本费用",Z465="总建筑面积法"),ROUND(T465/'附表1-面积统计表'!$D$29*'附表1-面积统计表'!$D$7,2),IF(AND(V465="共同成本费用",Z465="可售建筑面积法"),ROUND(T465/'附表1-面积统计表'!$F$29*'附表1-面积统计表'!$F$7,2),"请手工填写"))))</f>
        <v>18396.49</v>
      </c>
      <c r="Z465" s="183" t="s">
        <v>351</v>
      </c>
      <c r="AA465" s="157"/>
      <c r="AB465" s="184" t="s">
        <v>2319</v>
      </c>
      <c r="AC465" s="132">
        <f t="shared" si="52"/>
        <v>0</v>
      </c>
    </row>
    <row r="466" s="132" customFormat="1" ht="24" customHeight="1" spans="1:29">
      <c r="A466" s="150">
        <v>460</v>
      </c>
      <c r="B466" s="166" t="s">
        <v>3775</v>
      </c>
      <c r="C466" s="166" t="s">
        <v>3782</v>
      </c>
      <c r="D466" s="157" t="s">
        <v>2470</v>
      </c>
      <c r="E466" s="158" t="s">
        <v>3314</v>
      </c>
      <c r="F466" s="189" t="s">
        <v>3783</v>
      </c>
      <c r="G466" s="156"/>
      <c r="H466" s="157"/>
      <c r="I466" s="165"/>
      <c r="J466" s="187"/>
      <c r="K466" s="157" t="s">
        <v>2317</v>
      </c>
      <c r="L466" s="166"/>
      <c r="M466" s="166"/>
      <c r="N466" s="167">
        <v>80824</v>
      </c>
      <c r="O466" s="167">
        <v>80824</v>
      </c>
      <c r="P466" s="167">
        <v>80824</v>
      </c>
      <c r="Q466" s="167"/>
      <c r="R466" s="167">
        <f t="shared" si="47"/>
        <v>80824</v>
      </c>
      <c r="S466" s="202">
        <v>0.338555832480367</v>
      </c>
      <c r="T466" s="167">
        <f t="shared" si="53"/>
        <v>27363.44</v>
      </c>
      <c r="U466" s="157" t="s">
        <v>2344</v>
      </c>
      <c r="V466" s="179" t="s">
        <v>375</v>
      </c>
      <c r="W466" s="180">
        <f>IF('附表1-面积统计表'!$D$29=0,"",IF(AND(V466="共同成本费用",Z466="总建筑面积法"),ROUND(T466/'附表1-面积统计表'!$D$29*'附表1-面积统计表'!$D$5,2),IF(AND(V466="共同成本费用",Z466="可售建筑面积法"),ROUND(T466/'附表1-面积统计表'!$F$29*'附表1-面积统计表'!$F$5,2),"请手工填写")))</f>
        <v>13256.58</v>
      </c>
      <c r="X466" s="180">
        <f>IF(SUM('附表1-面积统计表'!$D$6)=0,"",SUM(T466)-SUM(W466)-SUM(Y466))</f>
        <v>8770.91</v>
      </c>
      <c r="Y466" s="180">
        <f>IF(SUM('附表1-面积统计表'!$D$6)=0,SUM(T466)-SUM(W466),IF('附表1-面积统计表'!$D$29=0,"",IF(AND(V466="共同成本费用",Z466="总建筑面积法"),ROUND(T466/'附表1-面积统计表'!$D$29*'附表1-面积统计表'!$D$7,2),IF(AND(V466="共同成本费用",Z466="可售建筑面积法"),ROUND(T466/'附表1-面积统计表'!$F$29*'附表1-面积统计表'!$F$7,2),"请手工填写"))))</f>
        <v>5335.95</v>
      </c>
      <c r="Z466" s="183" t="s">
        <v>351</v>
      </c>
      <c r="AA466" s="157"/>
      <c r="AB466" s="184" t="s">
        <v>2319</v>
      </c>
      <c r="AC466" s="132">
        <f t="shared" si="52"/>
        <v>0</v>
      </c>
    </row>
    <row r="467" s="132" customFormat="1" ht="24" customHeight="1" spans="1:29">
      <c r="A467" s="150">
        <v>461</v>
      </c>
      <c r="B467" s="166" t="s">
        <v>3784</v>
      </c>
      <c r="C467" s="166" t="s">
        <v>3785</v>
      </c>
      <c r="D467" s="157" t="s">
        <v>2470</v>
      </c>
      <c r="E467" s="158" t="s">
        <v>3314</v>
      </c>
      <c r="F467" s="189" t="s">
        <v>3786</v>
      </c>
      <c r="G467" s="156"/>
      <c r="H467" s="157"/>
      <c r="I467" s="165"/>
      <c r="J467" s="187"/>
      <c r="K467" s="157" t="s">
        <v>2317</v>
      </c>
      <c r="L467" s="166"/>
      <c r="M467" s="166"/>
      <c r="N467" s="167">
        <v>12629.92</v>
      </c>
      <c r="O467" s="167">
        <v>12629.92</v>
      </c>
      <c r="P467" s="167">
        <v>12629.92</v>
      </c>
      <c r="Q467" s="167"/>
      <c r="R467" s="167">
        <f t="shared" si="47"/>
        <v>12629.92</v>
      </c>
      <c r="S467" s="202">
        <v>0.338555832480367</v>
      </c>
      <c r="T467" s="167">
        <f t="shared" si="53"/>
        <v>4275.93</v>
      </c>
      <c r="U467" s="157" t="s">
        <v>2344</v>
      </c>
      <c r="V467" s="179" t="s">
        <v>375</v>
      </c>
      <c r="W467" s="180">
        <f>IF('附表1-面积统计表'!$D$29=0,"",IF(AND(V467="共同成本费用",Z467="总建筑面积法"),ROUND(T467/'附表1-面积统计表'!$D$29*'附表1-面积统计表'!$D$5,2),IF(AND(V467="共同成本费用",Z467="可售建筑面积法"),ROUND(T467/'附表1-面积统计表'!$F$29*'附表1-面积统计表'!$F$5,2),"请手工填写")))</f>
        <v>2071.53</v>
      </c>
      <c r="X467" s="180">
        <f>IF(SUM('附表1-面积统计表'!$D$6)=0,"",SUM(T467)-SUM(W467)-SUM(Y467))</f>
        <v>1370.58</v>
      </c>
      <c r="Y467" s="180">
        <f>IF(SUM('附表1-面积统计表'!$D$6)=0,SUM(T467)-SUM(W467),IF('附表1-面积统计表'!$D$29=0,"",IF(AND(V467="共同成本费用",Z467="总建筑面积法"),ROUND(T467/'附表1-面积统计表'!$D$29*'附表1-面积统计表'!$D$7,2),IF(AND(V467="共同成本费用",Z467="可售建筑面积法"),ROUND(T467/'附表1-面积统计表'!$F$29*'附表1-面积统计表'!$F$7,2),"请手工填写"))))</f>
        <v>833.82</v>
      </c>
      <c r="Z467" s="183" t="s">
        <v>351</v>
      </c>
      <c r="AA467" s="157"/>
      <c r="AB467" s="184" t="s">
        <v>2319</v>
      </c>
      <c r="AC467" s="132">
        <f t="shared" si="52"/>
        <v>0</v>
      </c>
    </row>
    <row r="468" s="132" customFormat="1" ht="24" customHeight="1" spans="1:29">
      <c r="A468" s="150">
        <v>462</v>
      </c>
      <c r="B468" s="166" t="s">
        <v>3787</v>
      </c>
      <c r="C468" s="166" t="s">
        <v>3094</v>
      </c>
      <c r="D468" s="157" t="s">
        <v>2533</v>
      </c>
      <c r="E468" s="158" t="s">
        <v>2690</v>
      </c>
      <c r="F468" s="189" t="s">
        <v>3788</v>
      </c>
      <c r="G468" s="156" t="s">
        <v>3789</v>
      </c>
      <c r="H468" s="157" t="str">
        <f>IF(G468="","",VLOOKUP(G468,'附表8-合同明细采集底稿'!B:I,2,0))</f>
        <v>镀锌矩管</v>
      </c>
      <c r="I468" s="165" t="str">
        <f>IF(G468="","",VLOOKUP(G468,'附表8-合同明细采集底稿'!B:I,3,0))</f>
        <v>其他合同</v>
      </c>
      <c r="J468" s="187" t="s">
        <v>3790</v>
      </c>
      <c r="K468" s="157" t="s">
        <v>2335</v>
      </c>
      <c r="L468" s="168" t="s">
        <v>2336</v>
      </c>
      <c r="M468" s="166" t="s">
        <v>3791</v>
      </c>
      <c r="N468" s="167">
        <v>33000</v>
      </c>
      <c r="O468" s="167">
        <v>33000</v>
      </c>
      <c r="P468" s="167">
        <v>33000</v>
      </c>
      <c r="Q468" s="167">
        <v>-33000</v>
      </c>
      <c r="R468" s="167">
        <f t="shared" si="47"/>
        <v>0</v>
      </c>
      <c r="S468" s="178">
        <f>IFERROR(VLOOKUP(G468,'附表8-合同明细采集底稿'!B:N,12,0),100%)</f>
        <v>1</v>
      </c>
      <c r="T468" s="167">
        <f t="shared" si="53"/>
        <v>0</v>
      </c>
      <c r="U468" s="157" t="s">
        <v>2416</v>
      </c>
      <c r="V468" s="179" t="s">
        <v>374</v>
      </c>
      <c r="W468" s="182">
        <f>ROUND(T468*成本分摊比例!$G$13/(成本分摊比例!$G$13+成本分摊比例!$H$13+成本分摊比例!$I$13),2)</f>
        <v>0</v>
      </c>
      <c r="X468" s="182">
        <f>ROUND(T468*成本分摊比例!$H$13/(成本分摊比例!$G$13+成本分摊比例!$H$13+成本分摊比例!$I$13),2)</f>
        <v>0</v>
      </c>
      <c r="Y468" s="182">
        <f>T468-W468-X468</f>
        <v>0</v>
      </c>
      <c r="Z468" s="183" t="s">
        <v>2406</v>
      </c>
      <c r="AA468" s="157"/>
      <c r="AB468" s="184" t="s">
        <v>2319</v>
      </c>
      <c r="AC468" s="132">
        <f t="shared" si="52"/>
        <v>0</v>
      </c>
    </row>
    <row r="469" s="132" customFormat="1" ht="24" customHeight="1" spans="1:29">
      <c r="A469" s="150">
        <v>463</v>
      </c>
      <c r="B469" s="166" t="s">
        <v>3787</v>
      </c>
      <c r="C469" s="166" t="s">
        <v>3534</v>
      </c>
      <c r="D469" s="157" t="s">
        <v>2533</v>
      </c>
      <c r="E469" s="158" t="s">
        <v>2534</v>
      </c>
      <c r="F469" s="189" t="s">
        <v>3792</v>
      </c>
      <c r="G469" s="156" t="s">
        <v>2608</v>
      </c>
      <c r="H469" s="157" t="str">
        <f>IF(G469="","",VLOOKUP(G469,'附表8-合同明细采集底稿'!B:I,2,0))</f>
        <v>沁春锦苑35#中央空调</v>
      </c>
      <c r="I469" s="165" t="str">
        <f>IF(G469="","",VLOOKUP(G469,'附表8-合同明细采集底稿'!B:I,3,0))</f>
        <v>其他合同</v>
      </c>
      <c r="J469" s="187" t="s">
        <v>2609</v>
      </c>
      <c r="K469" s="157" t="s">
        <v>2355</v>
      </c>
      <c r="L469" s="166">
        <v>6500193130</v>
      </c>
      <c r="M469" s="555" t="s">
        <v>3793</v>
      </c>
      <c r="N469" s="167">
        <v>62389.38</v>
      </c>
      <c r="O469" s="167">
        <v>70500</v>
      </c>
      <c r="P469" s="167">
        <v>62389.38</v>
      </c>
      <c r="Q469" s="167">
        <v>-62389.38</v>
      </c>
      <c r="R469" s="167">
        <f t="shared" si="47"/>
        <v>0</v>
      </c>
      <c r="S469" s="178">
        <f>IFERROR(VLOOKUP(G469,'附表8-合同明细采集底稿'!B:N,12,0),100%)</f>
        <v>1</v>
      </c>
      <c r="T469" s="167">
        <f t="shared" si="53"/>
        <v>0</v>
      </c>
      <c r="U469" s="157" t="s">
        <v>2405</v>
      </c>
      <c r="V469" s="179" t="s">
        <v>374</v>
      </c>
      <c r="W469" s="181">
        <v>0</v>
      </c>
      <c r="X469" s="181">
        <v>0</v>
      </c>
      <c r="Y469" s="181"/>
      <c r="Z469" s="183" t="s">
        <v>2406</v>
      </c>
      <c r="AA469" s="157"/>
      <c r="AB469" s="184" t="s">
        <v>2319</v>
      </c>
      <c r="AC469" s="132">
        <f t="shared" si="52"/>
        <v>0</v>
      </c>
    </row>
    <row r="470" s="132" customFormat="1" ht="24" customHeight="1" spans="1:29">
      <c r="A470" s="150">
        <v>464</v>
      </c>
      <c r="B470" s="166" t="s">
        <v>3787</v>
      </c>
      <c r="C470" s="166" t="s">
        <v>3543</v>
      </c>
      <c r="D470" s="157" t="s">
        <v>2346</v>
      </c>
      <c r="E470" s="158" t="s">
        <v>2347</v>
      </c>
      <c r="F470" s="189" t="s">
        <v>3794</v>
      </c>
      <c r="G470" s="156" t="s">
        <v>3795</v>
      </c>
      <c r="H470" s="157" t="str">
        <f>IF(G470="","",VLOOKUP(G470,'附表8-合同明细采集底稿'!B:I,2,0))</f>
        <v>25-30#楼进户门智能锁购销安装合同</v>
      </c>
      <c r="I470" s="165" t="str">
        <f>IF(G470="","",VLOOKUP(G470,'附表8-合同明细采集底稿'!B:I,3,0))</f>
        <v>买卖合同</v>
      </c>
      <c r="J470" s="169" t="s">
        <v>3018</v>
      </c>
      <c r="K470" s="157" t="s">
        <v>2355</v>
      </c>
      <c r="L470" s="166">
        <v>6500193130</v>
      </c>
      <c r="M470" s="555" t="s">
        <v>3796</v>
      </c>
      <c r="N470" s="167">
        <v>34194.69</v>
      </c>
      <c r="O470" s="167">
        <v>38640</v>
      </c>
      <c r="P470" s="167">
        <v>34194.69</v>
      </c>
      <c r="Q470" s="167"/>
      <c r="R470" s="167">
        <f t="shared" si="47"/>
        <v>34194.69</v>
      </c>
      <c r="S470" s="178">
        <f>IFERROR(VLOOKUP(G470,'附表8-合同明细采集底稿'!B:N,12,0),100%)</f>
        <v>1</v>
      </c>
      <c r="T470" s="167">
        <f t="shared" si="53"/>
        <v>34194.69</v>
      </c>
      <c r="U470" s="157" t="s">
        <v>2416</v>
      </c>
      <c r="V470" s="179" t="s">
        <v>374</v>
      </c>
      <c r="W470" s="182">
        <f>ROUND(T470*成本分摊比例!$G$13/(成本分摊比例!$G$13+成本分摊比例!$H$13+成本分摊比例!$I$13),2)</f>
        <v>18475.45</v>
      </c>
      <c r="X470" s="182">
        <f>ROUND(T470*成本分摊比例!$H$13/(成本分摊比例!$G$13+成本分摊比例!$H$13+成本分摊比例!$I$13),2)</f>
        <v>12223.87</v>
      </c>
      <c r="Y470" s="182">
        <f t="shared" ref="Y470:Y474" si="55">T470-W470-X470</f>
        <v>3495.37</v>
      </c>
      <c r="Z470" s="183" t="s">
        <v>2406</v>
      </c>
      <c r="AA470" s="157"/>
      <c r="AB470" s="184" t="s">
        <v>2319</v>
      </c>
      <c r="AC470" s="132">
        <f t="shared" si="52"/>
        <v>0</v>
      </c>
    </row>
    <row r="471" s="132" customFormat="1" ht="24" customHeight="1" spans="1:29">
      <c r="A471" s="150">
        <v>465</v>
      </c>
      <c r="B471" s="166" t="s">
        <v>3797</v>
      </c>
      <c r="C471" s="166" t="s">
        <v>3702</v>
      </c>
      <c r="D471" s="157" t="s">
        <v>2533</v>
      </c>
      <c r="E471" s="158" t="s">
        <v>2564</v>
      </c>
      <c r="F471" s="189" t="s">
        <v>3798</v>
      </c>
      <c r="G471" s="156" t="s">
        <v>2900</v>
      </c>
      <c r="H471" s="157" t="str">
        <f>IF(G471="","",VLOOKUP(G471,'附表8-合同明细采集底稿'!B:I,2,0))</f>
        <v>沁春锦苑25、26、28#施工协议</v>
      </c>
      <c r="I471" s="165" t="str">
        <f>IF(G471="","",VLOOKUP(G471,'附表8-合同明细采集底稿'!B:I,3,0))</f>
        <v>建设工程合同</v>
      </c>
      <c r="J471" s="187" t="s">
        <v>144</v>
      </c>
      <c r="K471" s="157" t="s">
        <v>2355</v>
      </c>
      <c r="L471" s="166">
        <v>6500193130</v>
      </c>
      <c r="M471" s="555" t="s">
        <v>3799</v>
      </c>
      <c r="N471" s="167">
        <v>328852.29</v>
      </c>
      <c r="O471" s="167">
        <v>358449</v>
      </c>
      <c r="P471" s="167">
        <v>328852.29</v>
      </c>
      <c r="Q471" s="167"/>
      <c r="R471" s="167">
        <f t="shared" si="47"/>
        <v>328852.29</v>
      </c>
      <c r="S471" s="178">
        <f>IFERROR(VLOOKUP(G471,'附表8-合同明细采集底稿'!B:N,12,0),100%)</f>
        <v>1</v>
      </c>
      <c r="T471" s="167">
        <f t="shared" si="53"/>
        <v>328852.29</v>
      </c>
      <c r="U471" s="157" t="s">
        <v>2416</v>
      </c>
      <c r="V471" s="179" t="s">
        <v>374</v>
      </c>
      <c r="W471" s="182">
        <f>ROUND(T471*成本分摊比例!$G$13/(成本分摊比例!$G$13+成本分摊比例!$H$13+成本分摊比例!$I$13),2)</f>
        <v>177679.48</v>
      </c>
      <c r="X471" s="182">
        <f>ROUND(T471*成本分摊比例!$H$13/(成本分摊比例!$G$13+成本分摊比例!$H$13+成本分摊比例!$I$13),2)</f>
        <v>117557.64</v>
      </c>
      <c r="Y471" s="182">
        <f t="shared" si="55"/>
        <v>33615.17</v>
      </c>
      <c r="Z471" s="183" t="s">
        <v>2406</v>
      </c>
      <c r="AA471" s="157"/>
      <c r="AB471" s="184" t="s">
        <v>2319</v>
      </c>
      <c r="AC471" s="132">
        <f t="shared" si="52"/>
        <v>0</v>
      </c>
    </row>
    <row r="472" s="132" customFormat="1" ht="24" customHeight="1" spans="1:29">
      <c r="A472" s="150">
        <v>466</v>
      </c>
      <c r="B472" s="166" t="s">
        <v>3797</v>
      </c>
      <c r="C472" s="166" t="s">
        <v>3800</v>
      </c>
      <c r="D472" s="157" t="s">
        <v>2533</v>
      </c>
      <c r="E472" s="158" t="s">
        <v>2534</v>
      </c>
      <c r="F472" s="189" t="s">
        <v>3801</v>
      </c>
      <c r="G472" s="156" t="s">
        <v>3802</v>
      </c>
      <c r="H472" s="157" t="str">
        <f>IF(G472="","",VLOOKUP(G472,'附表8-合同明细采集底稿'!B:I,2,0))</f>
        <v>材料款-美缝施工</v>
      </c>
      <c r="I472" s="165" t="str">
        <f>IF(G472="","",VLOOKUP(G472,'附表8-合同明细采集底稿'!B:I,3,0))</f>
        <v>建设工程合同</v>
      </c>
      <c r="J472" s="187" t="s">
        <v>3803</v>
      </c>
      <c r="K472" s="157" t="s">
        <v>2335</v>
      </c>
      <c r="L472" s="168" t="s">
        <v>2336</v>
      </c>
      <c r="M472" s="166" t="s">
        <v>3804</v>
      </c>
      <c r="N472" s="167">
        <v>13000</v>
      </c>
      <c r="O472" s="167">
        <v>13000</v>
      </c>
      <c r="P472" s="167">
        <v>13000</v>
      </c>
      <c r="Q472" s="167">
        <v>-13000</v>
      </c>
      <c r="R472" s="167">
        <f t="shared" si="47"/>
        <v>0</v>
      </c>
      <c r="S472" s="178">
        <f>IFERROR(VLOOKUP(G472,'附表8-合同明细采集底稿'!B:N,12,0),100%)</f>
        <v>1</v>
      </c>
      <c r="T472" s="167">
        <f t="shared" si="53"/>
        <v>0</v>
      </c>
      <c r="U472" s="157" t="s">
        <v>2405</v>
      </c>
      <c r="V472" s="179" t="s">
        <v>374</v>
      </c>
      <c r="W472" s="181">
        <v>0</v>
      </c>
      <c r="X472" s="181">
        <v>0</v>
      </c>
      <c r="Y472" s="181"/>
      <c r="Z472" s="183" t="s">
        <v>2406</v>
      </c>
      <c r="AA472" s="157"/>
      <c r="AB472" s="184" t="s">
        <v>2319</v>
      </c>
      <c r="AC472" s="132">
        <f t="shared" si="52"/>
        <v>0</v>
      </c>
    </row>
    <row r="473" s="132" customFormat="1" ht="24" customHeight="1" spans="1:29">
      <c r="A473" s="150">
        <v>467</v>
      </c>
      <c r="B473" s="166" t="s">
        <v>3805</v>
      </c>
      <c r="C473" s="166" t="s">
        <v>3029</v>
      </c>
      <c r="D473" s="157" t="s">
        <v>2470</v>
      </c>
      <c r="E473" s="158" t="s">
        <v>3314</v>
      </c>
      <c r="F473" s="189" t="s">
        <v>3806</v>
      </c>
      <c r="G473" s="156"/>
      <c r="H473" s="157"/>
      <c r="I473" s="165"/>
      <c r="J473" s="187"/>
      <c r="K473" s="157" t="s">
        <v>2317</v>
      </c>
      <c r="L473" s="166"/>
      <c r="M473" s="166"/>
      <c r="N473" s="167">
        <v>8400.7</v>
      </c>
      <c r="O473" s="167">
        <v>8400.7</v>
      </c>
      <c r="P473" s="167">
        <v>8400.7</v>
      </c>
      <c r="Q473" s="167"/>
      <c r="R473" s="167">
        <f t="shared" si="47"/>
        <v>8400.7</v>
      </c>
      <c r="S473" s="202">
        <v>0.338555832480367</v>
      </c>
      <c r="T473" s="167">
        <f t="shared" si="53"/>
        <v>2844.11</v>
      </c>
      <c r="U473" s="157" t="s">
        <v>2344</v>
      </c>
      <c r="V473" s="179" t="s">
        <v>375</v>
      </c>
      <c r="W473" s="180">
        <f>IF('附表1-面积统计表'!$D$29=0,"",IF(AND(V473="共同成本费用",Z473="总建筑面积法"),ROUND(T473/'附表1-面积统计表'!$D$29*'附表1-面积统计表'!$D$5,2),IF(AND(V473="共同成本费用",Z473="可售建筑面积法"),ROUND(T473/'附表1-面积统计表'!$F$29*'附表1-面积统计表'!$F$5,2),"请手工填写")))</f>
        <v>1377.87</v>
      </c>
      <c r="X473" s="180">
        <f>IF(SUM('附表1-面积统计表'!$D$6)=0,"",SUM(T473)-SUM(W473)-SUM(Y473))</f>
        <v>911.63</v>
      </c>
      <c r="Y473" s="180">
        <f>IF(SUM('附表1-面积统计表'!$D$6)=0,SUM(T473)-SUM(W473),IF('附表1-面积统计表'!$D$29=0,"",IF(AND(V473="共同成本费用",Z473="总建筑面积法"),ROUND(T473/'附表1-面积统计表'!$D$29*'附表1-面积统计表'!$D$7,2),IF(AND(V473="共同成本费用",Z473="可售建筑面积法"),ROUND(T473/'附表1-面积统计表'!$F$29*'附表1-面积统计表'!$F$7,2),"请手工填写"))))</f>
        <v>554.61</v>
      </c>
      <c r="Z473" s="183" t="s">
        <v>351</v>
      </c>
      <c r="AA473" s="157"/>
      <c r="AB473" s="184" t="s">
        <v>2319</v>
      </c>
      <c r="AC473" s="132">
        <f t="shared" si="52"/>
        <v>0</v>
      </c>
    </row>
    <row r="474" s="132" customFormat="1" ht="24" customHeight="1" spans="1:29">
      <c r="A474" s="150">
        <v>468</v>
      </c>
      <c r="B474" s="166" t="s">
        <v>3807</v>
      </c>
      <c r="C474" s="166" t="s">
        <v>3808</v>
      </c>
      <c r="D474" s="157" t="s">
        <v>2533</v>
      </c>
      <c r="E474" s="158" t="s">
        <v>2564</v>
      </c>
      <c r="F474" s="189" t="s">
        <v>3809</v>
      </c>
      <c r="G474" s="156"/>
      <c r="H474" s="157" t="str">
        <f>IF(G474="","",VLOOKUP(G474,'附表8-合同明细采集底稿'!B:I,2,0))</f>
        <v/>
      </c>
      <c r="I474" s="165" t="str">
        <f>IF(G474="","",VLOOKUP(G474,'附表8-合同明细采集底稿'!B:I,3,0))</f>
        <v/>
      </c>
      <c r="J474" s="187" t="s">
        <v>3810</v>
      </c>
      <c r="K474" s="157" t="s">
        <v>2355</v>
      </c>
      <c r="L474" s="166">
        <v>6500174130</v>
      </c>
      <c r="M474" s="555" t="s">
        <v>3811</v>
      </c>
      <c r="N474" s="167">
        <v>3274.34</v>
      </c>
      <c r="O474" s="167">
        <v>3700</v>
      </c>
      <c r="P474" s="167">
        <v>3274.34</v>
      </c>
      <c r="Q474" s="167"/>
      <c r="R474" s="167">
        <f t="shared" ref="R474:R537" si="56">P474+Q474</f>
        <v>3274.34</v>
      </c>
      <c r="S474" s="178">
        <v>1</v>
      </c>
      <c r="T474" s="167">
        <f t="shared" si="53"/>
        <v>3274.34</v>
      </c>
      <c r="U474" s="157" t="s">
        <v>2416</v>
      </c>
      <c r="V474" s="179" t="s">
        <v>374</v>
      </c>
      <c r="W474" s="182">
        <f>ROUND(T474*成本分摊比例!$G$13/(成本分摊比例!$G$13+成本分摊比例!$H$13+成本分摊比例!$I$13),2)</f>
        <v>1769.13</v>
      </c>
      <c r="X474" s="182">
        <f>ROUND(T474*成本分摊比例!$H$13/(成本分摊比例!$G$13+成本分摊比例!$H$13+成本分摊比例!$I$13),2)</f>
        <v>1170.51</v>
      </c>
      <c r="Y474" s="182">
        <f t="shared" si="55"/>
        <v>334.7</v>
      </c>
      <c r="Z474" s="183" t="s">
        <v>2406</v>
      </c>
      <c r="AA474" s="157"/>
      <c r="AB474" s="184" t="s">
        <v>2319</v>
      </c>
      <c r="AC474" s="132">
        <f t="shared" si="52"/>
        <v>0</v>
      </c>
    </row>
    <row r="475" s="132" customFormat="1" ht="24" customHeight="1" spans="1:29">
      <c r="A475" s="150">
        <v>469</v>
      </c>
      <c r="B475" s="166" t="s">
        <v>3807</v>
      </c>
      <c r="C475" s="166" t="s">
        <v>3812</v>
      </c>
      <c r="D475" s="157" t="s">
        <v>2533</v>
      </c>
      <c r="E475" s="158" t="s">
        <v>2534</v>
      </c>
      <c r="F475" s="189" t="s">
        <v>3813</v>
      </c>
      <c r="G475" s="156"/>
      <c r="H475" s="157" t="str">
        <f>IF(G475="","",VLOOKUP(G475,'附表8-合同明细采集底稿'!B:I,2,0))</f>
        <v/>
      </c>
      <c r="I475" s="165" t="str">
        <f>IF(G475="","",VLOOKUP(G475,'附表8-合同明细采集底稿'!B:I,3,0))</f>
        <v/>
      </c>
      <c r="J475" s="187" t="s">
        <v>3814</v>
      </c>
      <c r="K475" s="157" t="s">
        <v>2335</v>
      </c>
      <c r="L475" s="168" t="s">
        <v>2336</v>
      </c>
      <c r="M475" s="555" t="s">
        <v>3815</v>
      </c>
      <c r="N475" s="167">
        <v>10000</v>
      </c>
      <c r="O475" s="167">
        <v>10000</v>
      </c>
      <c r="P475" s="167">
        <v>10000</v>
      </c>
      <c r="Q475" s="167">
        <v>-10000</v>
      </c>
      <c r="R475" s="167">
        <f t="shared" si="56"/>
        <v>0</v>
      </c>
      <c r="S475" s="178">
        <v>1</v>
      </c>
      <c r="T475" s="167">
        <f t="shared" si="53"/>
        <v>0</v>
      </c>
      <c r="U475" s="157" t="s">
        <v>2405</v>
      </c>
      <c r="V475" s="179" t="s">
        <v>374</v>
      </c>
      <c r="W475" s="181">
        <v>0</v>
      </c>
      <c r="X475" s="181">
        <v>0</v>
      </c>
      <c r="Y475" s="181"/>
      <c r="Z475" s="183" t="s">
        <v>2406</v>
      </c>
      <c r="AA475" s="157"/>
      <c r="AB475" s="184" t="s">
        <v>2319</v>
      </c>
      <c r="AC475" s="132">
        <f t="shared" si="52"/>
        <v>0</v>
      </c>
    </row>
    <row r="476" s="132" customFormat="1" ht="24" customHeight="1" spans="1:29">
      <c r="A476" s="150">
        <v>470</v>
      </c>
      <c r="B476" s="166" t="s">
        <v>3816</v>
      </c>
      <c r="C476" s="166" t="s">
        <v>2960</v>
      </c>
      <c r="D476" s="157" t="s">
        <v>2346</v>
      </c>
      <c r="E476" s="158" t="s">
        <v>2453</v>
      </c>
      <c r="F476" s="189" t="s">
        <v>3817</v>
      </c>
      <c r="G476" s="156" t="s">
        <v>3246</v>
      </c>
      <c r="H476" s="157" t="str">
        <f>IF(G476="","",VLOOKUP(G476,'附表8-合同明细采集底稿'!B:I,2,0))</f>
        <v>沁春锦苑一期二批次景观绿化（25-30#）+提升附属合同</v>
      </c>
      <c r="I476" s="165" t="str">
        <f>IF(G476="","",VLOOKUP(G476,'附表8-合同明细采集底稿'!B:I,3,0))</f>
        <v>其他合同</v>
      </c>
      <c r="J476" s="169" t="s">
        <v>2498</v>
      </c>
      <c r="K476" s="157" t="s">
        <v>2355</v>
      </c>
      <c r="L476" s="191">
        <v>6500201130</v>
      </c>
      <c r="M476" s="166" t="s">
        <v>3818</v>
      </c>
      <c r="N476" s="167">
        <v>917431.2</v>
      </c>
      <c r="O476" s="167">
        <v>1000000</v>
      </c>
      <c r="P476" s="167">
        <v>917431.2</v>
      </c>
      <c r="Q476" s="167"/>
      <c r="R476" s="167">
        <f t="shared" si="56"/>
        <v>917431.2</v>
      </c>
      <c r="S476" s="178">
        <f>IFERROR(VLOOKUP(G476,'附表8-合同明细采集底稿'!B:N,12,0),100%)</f>
        <v>1</v>
      </c>
      <c r="T476" s="167">
        <f t="shared" si="53"/>
        <v>917431.2</v>
      </c>
      <c r="U476" s="157" t="s">
        <v>2344</v>
      </c>
      <c r="V476" s="179" t="s">
        <v>375</v>
      </c>
      <c r="W476" s="180">
        <f>IF('附表1-面积统计表'!$D$29=0,"",IF(AND(V476="共同成本费用",Z476="总建筑面积法"),ROUND(T476/'附表1-面积统计表'!$D$29*'附表1-面积统计表'!$D$5,2),IF(AND(V476="共同成本费用",Z476="可售建筑面积法"),ROUND(T476/'附表1-面积统计表'!$F$29*'附表1-面积统计表'!$F$5,2),"请手工填写")))</f>
        <v>444461.54</v>
      </c>
      <c r="X476" s="180">
        <f>IF(SUM('附表1-面积统计表'!$D$6)=0,"",SUM(T476)-SUM(W476)-SUM(Y476))</f>
        <v>294067.99</v>
      </c>
      <c r="Y476" s="180">
        <f>IF(SUM('附表1-面积统计表'!$D$6)=0,SUM(T476)-SUM(W476),IF('附表1-面积统计表'!$D$29=0,"",IF(AND(V476="共同成本费用",Z476="总建筑面积法"),ROUND(T476/'附表1-面积统计表'!$D$29*'附表1-面积统计表'!$D$7,2),IF(AND(V476="共同成本费用",Z476="可售建筑面积法"),ROUND(T476/'附表1-面积统计表'!$F$29*'附表1-面积统计表'!$F$7,2),"请手工填写"))))</f>
        <v>178901.67</v>
      </c>
      <c r="Z476" s="183" t="s">
        <v>351</v>
      </c>
      <c r="AA476" s="157"/>
      <c r="AB476" s="184" t="s">
        <v>2319</v>
      </c>
      <c r="AC476" s="132">
        <f t="shared" si="52"/>
        <v>0</v>
      </c>
    </row>
    <row r="477" s="132" customFormat="1" ht="24" customHeight="1" spans="1:29">
      <c r="A477" s="150">
        <v>471</v>
      </c>
      <c r="B477" s="166" t="s">
        <v>3816</v>
      </c>
      <c r="C477" s="166" t="s">
        <v>3819</v>
      </c>
      <c r="D477" s="157" t="s">
        <v>2470</v>
      </c>
      <c r="E477" s="158" t="s">
        <v>3314</v>
      </c>
      <c r="F477" s="189" t="s">
        <v>3820</v>
      </c>
      <c r="G477" s="156"/>
      <c r="H477" s="157"/>
      <c r="I477" s="165"/>
      <c r="J477" s="187"/>
      <c r="K477" s="157" t="s">
        <v>2317</v>
      </c>
      <c r="L477" s="166"/>
      <c r="M477" s="166"/>
      <c r="N477" s="167">
        <v>90290</v>
      </c>
      <c r="O477" s="167">
        <v>0</v>
      </c>
      <c r="P477" s="167">
        <v>90290</v>
      </c>
      <c r="Q477" s="167"/>
      <c r="R477" s="167">
        <f t="shared" si="56"/>
        <v>90290</v>
      </c>
      <c r="S477" s="202">
        <v>0.338555832480367</v>
      </c>
      <c r="T477" s="167">
        <f t="shared" si="53"/>
        <v>30568.21</v>
      </c>
      <c r="U477" s="157" t="s">
        <v>2344</v>
      </c>
      <c r="V477" s="179" t="s">
        <v>375</v>
      </c>
      <c r="W477" s="180">
        <f>IF('附表1-面积统计表'!$D$29=0,"",IF(AND(V477="共同成本费用",Z477="总建筑面积法"),ROUND(T477/'附表1-面积统计表'!$D$29*'附表1-面积统计表'!$D$5,2),IF(AND(V477="共同成本费用",Z477="可售建筑面积法"),ROUND(T477/'附表1-面积统计表'!$F$29*'附表1-面积统计表'!$F$5,2),"请手工填写")))</f>
        <v>14809.17</v>
      </c>
      <c r="X477" s="180">
        <f>IF(SUM('附表1-面积统计表'!$D$6)=0,"",SUM(T477)-SUM(W477)-SUM(Y477))</f>
        <v>9798.15</v>
      </c>
      <c r="Y477" s="180">
        <f>IF(SUM('附表1-面积统计表'!$D$6)=0,SUM(T477)-SUM(W477),IF('附表1-面积统计表'!$D$29=0,"",IF(AND(V477="共同成本费用",Z477="总建筑面积法"),ROUND(T477/'附表1-面积统计表'!$D$29*'附表1-面积统计表'!$D$7,2),IF(AND(V477="共同成本费用",Z477="可售建筑面积法"),ROUND(T477/'附表1-面积统计表'!$F$29*'附表1-面积统计表'!$F$7,2),"请手工填写"))))</f>
        <v>5960.89</v>
      </c>
      <c r="Z477" s="183" t="s">
        <v>351</v>
      </c>
      <c r="AA477" s="157"/>
      <c r="AB477" s="184" t="s">
        <v>2319</v>
      </c>
      <c r="AC477" s="132">
        <f t="shared" si="52"/>
        <v>0</v>
      </c>
    </row>
    <row r="478" s="132" customFormat="1" ht="24" customHeight="1" spans="1:29">
      <c r="A478" s="150">
        <v>472</v>
      </c>
      <c r="B478" s="166" t="s">
        <v>3821</v>
      </c>
      <c r="C478" s="166" t="s">
        <v>3334</v>
      </c>
      <c r="D478" s="157" t="s">
        <v>2339</v>
      </c>
      <c r="E478" s="158" t="s">
        <v>2351</v>
      </c>
      <c r="F478" s="189" t="s">
        <v>3822</v>
      </c>
      <c r="G478" s="156" t="s">
        <v>3823</v>
      </c>
      <c r="H478" s="157" t="str">
        <f>IF(G478="","",VLOOKUP(G478,'附表8-合同明细采集底稿'!B:I,2,0))</f>
        <v>35 号楼消防改造及装修设计项目</v>
      </c>
      <c r="I478" s="165" t="str">
        <f>IF(G478="","",VLOOKUP(G478,'附表8-合同明细采集底稿'!B:I,3,0))</f>
        <v>技术合同</v>
      </c>
      <c r="J478" s="187" t="s">
        <v>3824</v>
      </c>
      <c r="K478" s="157" t="s">
        <v>2355</v>
      </c>
      <c r="L478" s="166">
        <v>6500203130</v>
      </c>
      <c r="M478" s="556" t="s">
        <v>3825</v>
      </c>
      <c r="N478" s="167">
        <v>10396.04</v>
      </c>
      <c r="O478" s="167">
        <v>10500</v>
      </c>
      <c r="P478" s="167">
        <v>10396.04</v>
      </c>
      <c r="Q478" s="167"/>
      <c r="R478" s="167">
        <f t="shared" si="56"/>
        <v>10396.04</v>
      </c>
      <c r="S478" s="178">
        <f>IFERROR(VLOOKUP(G478,'附表8-合同明细采集底稿'!B:N,12,0),100%)</f>
        <v>1</v>
      </c>
      <c r="T478" s="167">
        <f t="shared" si="53"/>
        <v>10396.04</v>
      </c>
      <c r="U478" s="157" t="s">
        <v>2405</v>
      </c>
      <c r="V478" s="179" t="s">
        <v>374</v>
      </c>
      <c r="W478" s="181">
        <v>0</v>
      </c>
      <c r="X478" s="181">
        <v>0</v>
      </c>
      <c r="Y478" s="181">
        <v>10396.04</v>
      </c>
      <c r="Z478" s="183" t="s">
        <v>2406</v>
      </c>
      <c r="AA478" s="157"/>
      <c r="AB478" s="184" t="s">
        <v>2319</v>
      </c>
      <c r="AC478" s="132">
        <f t="shared" si="52"/>
        <v>0</v>
      </c>
    </row>
    <row r="479" s="132" customFormat="1" ht="24" customHeight="1" spans="1:29">
      <c r="A479" s="150">
        <v>473</v>
      </c>
      <c r="B479" s="166" t="s">
        <v>3821</v>
      </c>
      <c r="C479" s="166" t="s">
        <v>3826</v>
      </c>
      <c r="D479" s="157" t="s">
        <v>2339</v>
      </c>
      <c r="E479" s="158" t="s">
        <v>3569</v>
      </c>
      <c r="F479" s="189" t="s">
        <v>3827</v>
      </c>
      <c r="G479" s="156" t="s">
        <v>3163</v>
      </c>
      <c r="H479" s="157" t="str">
        <f>IF(G479="","",VLOOKUP(G479,'附表8-合同明细采集底稿'!B:I,2,0))</f>
        <v>建设工程造价咨询合同</v>
      </c>
      <c r="I479" s="165" t="str">
        <f>IF(G479="","",VLOOKUP(G479,'附表8-合同明细采集底稿'!B:I,3,0))</f>
        <v>技术合同</v>
      </c>
      <c r="J479" s="187" t="s">
        <v>3164</v>
      </c>
      <c r="K479" s="157" t="s">
        <v>2335</v>
      </c>
      <c r="L479" s="168" t="s">
        <v>2336</v>
      </c>
      <c r="M479" s="155" t="s">
        <v>3828</v>
      </c>
      <c r="N479" s="167">
        <v>100000</v>
      </c>
      <c r="O479" s="167">
        <v>100000</v>
      </c>
      <c r="P479" s="167">
        <v>100000</v>
      </c>
      <c r="Q479" s="167"/>
      <c r="R479" s="167">
        <f t="shared" si="56"/>
        <v>100000</v>
      </c>
      <c r="S479" s="178">
        <f>IFERROR(VLOOKUP(G479,'附表8-合同明细采集底稿'!B:N,12,0),100%)</f>
        <v>1</v>
      </c>
      <c r="T479" s="167">
        <f t="shared" si="53"/>
        <v>100000</v>
      </c>
      <c r="U479" s="157" t="s">
        <v>2344</v>
      </c>
      <c r="V479" s="179" t="s">
        <v>375</v>
      </c>
      <c r="W479" s="180">
        <f>IF('附表1-面积统计表'!$D$29=0,"",IF(AND(V479="共同成本费用",Z479="总建筑面积法"),ROUND(T479/'附表1-面积统计表'!$D$29*'附表1-面积统计表'!$D$5,2),IF(AND(V479="共同成本费用",Z479="可售建筑面积法"),ROUND(T479/'附表1-面积统计表'!$F$29*'附表1-面积统计表'!$F$5,2),"请手工填写")))</f>
        <v>48446.31</v>
      </c>
      <c r="X479" s="180">
        <f>IF(SUM('附表1-面积统计表'!$D$6)=0,"",SUM(T479)-SUM(W479)-SUM(Y479))</f>
        <v>32053.41</v>
      </c>
      <c r="Y479" s="180">
        <f>IF(SUM('附表1-面积统计表'!$D$6)=0,SUM(T479)-SUM(W479),IF('附表1-面积统计表'!$D$29=0,"",IF(AND(V479="共同成本费用",Z479="总建筑面积法"),ROUND(T479/'附表1-面积统计表'!$D$29*'附表1-面积统计表'!$D$7,2),IF(AND(V479="共同成本费用",Z479="可售建筑面积法"),ROUND(T479/'附表1-面积统计表'!$F$29*'附表1-面积统计表'!$F$7,2),"请手工填写"))))</f>
        <v>19500.28</v>
      </c>
      <c r="Z479" s="183" t="s">
        <v>351</v>
      </c>
      <c r="AA479" s="157"/>
      <c r="AB479" s="184" t="s">
        <v>2319</v>
      </c>
      <c r="AC479" s="132">
        <f t="shared" si="52"/>
        <v>0</v>
      </c>
    </row>
    <row r="480" s="132" customFormat="1" ht="24" customHeight="1" spans="1:29">
      <c r="A480" s="150">
        <v>474</v>
      </c>
      <c r="B480" s="166" t="s">
        <v>3829</v>
      </c>
      <c r="C480" s="166" t="s">
        <v>3526</v>
      </c>
      <c r="D480" s="157" t="s">
        <v>2339</v>
      </c>
      <c r="E480" s="158" t="s">
        <v>2370</v>
      </c>
      <c r="F480" s="189" t="s">
        <v>3830</v>
      </c>
      <c r="G480" s="156"/>
      <c r="H480" s="157" t="str">
        <f>IF(G480="","",VLOOKUP(G480,'附表8-合同明细采集底稿'!B:I,2,0))</f>
        <v/>
      </c>
      <c r="I480" s="165" t="str">
        <f>IF(G480="","",VLOOKUP(G480,'附表8-合同明细采集底稿'!B:I,3,0))</f>
        <v/>
      </c>
      <c r="J480" s="187" t="s">
        <v>3780</v>
      </c>
      <c r="K480" s="157" t="s">
        <v>2355</v>
      </c>
      <c r="L480" s="166">
        <v>6500193130</v>
      </c>
      <c r="M480" s="555" t="s">
        <v>3831</v>
      </c>
      <c r="N480" s="167">
        <v>33438.68</v>
      </c>
      <c r="O480" s="167">
        <v>35445</v>
      </c>
      <c r="P480" s="167">
        <v>33438.68</v>
      </c>
      <c r="Q480" s="167"/>
      <c r="R480" s="167">
        <f t="shared" si="56"/>
        <v>33438.68</v>
      </c>
      <c r="S480" s="178">
        <v>1</v>
      </c>
      <c r="T480" s="167">
        <f t="shared" si="53"/>
        <v>33438.68</v>
      </c>
      <c r="U480" s="157" t="s">
        <v>2344</v>
      </c>
      <c r="V480" s="179" t="s">
        <v>375</v>
      </c>
      <c r="W480" s="180">
        <f>IF('附表1-面积统计表'!$D$29=0,"",IF(AND(V480="共同成本费用",Z480="总建筑面积法"),ROUND(T480/'附表1-面积统计表'!$D$29*'附表1-面积统计表'!$D$5,2),IF(AND(V480="共同成本费用",Z480="可售建筑面积法"),ROUND(T480/'附表1-面积统计表'!$F$29*'附表1-面积统计表'!$F$5,2),"请手工填写")))</f>
        <v>16199.81</v>
      </c>
      <c r="X480" s="180">
        <f>IF(SUM('附表1-面积统计表'!$D$6)=0,"",SUM(T480)-SUM(W480)-SUM(Y480))</f>
        <v>10718.23</v>
      </c>
      <c r="Y480" s="180">
        <f>IF(SUM('附表1-面积统计表'!$D$6)=0,SUM(T480)-SUM(W480),IF('附表1-面积统计表'!$D$29=0,"",IF(AND(V480="共同成本费用",Z480="总建筑面积法"),ROUND(T480/'附表1-面积统计表'!$D$29*'附表1-面积统计表'!$D$7,2),IF(AND(V480="共同成本费用",Z480="可售建筑面积法"),ROUND(T480/'附表1-面积统计表'!$F$29*'附表1-面积统计表'!$F$7,2),"请手工填写"))))</f>
        <v>6520.64</v>
      </c>
      <c r="Z480" s="183" t="s">
        <v>351</v>
      </c>
      <c r="AA480" s="157"/>
      <c r="AB480" s="184" t="s">
        <v>2319</v>
      </c>
      <c r="AC480" s="132">
        <f t="shared" si="52"/>
        <v>0</v>
      </c>
    </row>
    <row r="481" s="132" customFormat="1" ht="24" customHeight="1" spans="1:29">
      <c r="A481" s="150">
        <v>475</v>
      </c>
      <c r="B481" s="166" t="s">
        <v>3832</v>
      </c>
      <c r="C481" s="166" t="s">
        <v>3537</v>
      </c>
      <c r="D481" s="157" t="s">
        <v>2470</v>
      </c>
      <c r="E481" s="158" t="s">
        <v>3314</v>
      </c>
      <c r="F481" s="189" t="s">
        <v>3833</v>
      </c>
      <c r="G481" s="156"/>
      <c r="H481" s="157"/>
      <c r="I481" s="165"/>
      <c r="J481" s="187"/>
      <c r="K481" s="157" t="s">
        <v>2317</v>
      </c>
      <c r="L481" s="166"/>
      <c r="M481" s="166"/>
      <c r="N481" s="167">
        <v>23027.18</v>
      </c>
      <c r="O481" s="167">
        <v>0</v>
      </c>
      <c r="P481" s="167">
        <v>23027.18</v>
      </c>
      <c r="Q481" s="167"/>
      <c r="R481" s="167">
        <f t="shared" si="56"/>
        <v>23027.18</v>
      </c>
      <c r="S481" s="202">
        <v>0.338555832480367</v>
      </c>
      <c r="T481" s="167">
        <f t="shared" si="53"/>
        <v>7795.99</v>
      </c>
      <c r="U481" s="157" t="s">
        <v>2344</v>
      </c>
      <c r="V481" s="179" t="s">
        <v>375</v>
      </c>
      <c r="W481" s="180">
        <f>IF('附表1-面积统计表'!$D$29=0,"",IF(AND(V481="共同成本费用",Z481="总建筑面积法"),ROUND(T481/'附表1-面积统计表'!$D$29*'附表1-面积统计表'!$D$5,2),IF(AND(V481="共同成本费用",Z481="可售建筑面积法"),ROUND(T481/'附表1-面积统计表'!$F$29*'附表1-面积统计表'!$F$5,2),"请手工填写")))</f>
        <v>3776.87</v>
      </c>
      <c r="X481" s="180">
        <f>IF(SUM('附表1-面积统计表'!$D$6)=0,"",SUM(T481)-SUM(W481)-SUM(Y481))</f>
        <v>2498.88</v>
      </c>
      <c r="Y481" s="180">
        <f>IF(SUM('附表1-面积统计表'!$D$6)=0,SUM(T481)-SUM(W481),IF('附表1-面积统计表'!$D$29=0,"",IF(AND(V481="共同成本费用",Z481="总建筑面积法"),ROUND(T481/'附表1-面积统计表'!$D$29*'附表1-面积统计表'!$D$7,2),IF(AND(V481="共同成本费用",Z481="可售建筑面积法"),ROUND(T481/'附表1-面积统计表'!$F$29*'附表1-面积统计表'!$F$7,2),"请手工填写"))))</f>
        <v>1520.24</v>
      </c>
      <c r="Z481" s="183" t="s">
        <v>351</v>
      </c>
      <c r="AA481" s="157"/>
      <c r="AB481" s="184" t="s">
        <v>2319</v>
      </c>
      <c r="AC481" s="132">
        <f t="shared" si="52"/>
        <v>0</v>
      </c>
    </row>
    <row r="482" s="132" customFormat="1" ht="24" customHeight="1" spans="1:29">
      <c r="A482" s="150">
        <v>476</v>
      </c>
      <c r="B482" s="166" t="s">
        <v>3834</v>
      </c>
      <c r="C482" s="166" t="s">
        <v>3835</v>
      </c>
      <c r="D482" s="157" t="s">
        <v>2533</v>
      </c>
      <c r="E482" s="158" t="s">
        <v>2534</v>
      </c>
      <c r="F482" s="189" t="s">
        <v>3836</v>
      </c>
      <c r="G482" s="156" t="s">
        <v>3837</v>
      </c>
      <c r="H482" s="157" t="str">
        <f>IF(G482="","",VLOOKUP(G482,'附表8-合同明细采集底稿'!B:I,2,0))</f>
        <v>沁春锦苑35#楼防火玻璃制作及安装</v>
      </c>
      <c r="I482" s="165" t="str">
        <f>IF(G482="","",VLOOKUP(G482,'附表8-合同明细采集底稿'!B:I,3,0))</f>
        <v>其他合同</v>
      </c>
      <c r="J482" s="187" t="s">
        <v>3838</v>
      </c>
      <c r="K482" s="157" t="s">
        <v>2355</v>
      </c>
      <c r="L482" s="166">
        <v>6500201130</v>
      </c>
      <c r="M482" s="555" t="s">
        <v>3839</v>
      </c>
      <c r="N482" s="167">
        <v>13274.34</v>
      </c>
      <c r="O482" s="167">
        <v>15000</v>
      </c>
      <c r="P482" s="167">
        <v>13274.34</v>
      </c>
      <c r="Q482" s="167">
        <v>-13274.34</v>
      </c>
      <c r="R482" s="167">
        <f t="shared" si="56"/>
        <v>0</v>
      </c>
      <c r="S482" s="178">
        <f>IFERROR(VLOOKUP(G482,'附表8-合同明细采集底稿'!B:N,12,0),100%)</f>
        <v>1</v>
      </c>
      <c r="T482" s="167">
        <f t="shared" si="53"/>
        <v>0</v>
      </c>
      <c r="U482" s="157" t="s">
        <v>2405</v>
      </c>
      <c r="V482" s="179" t="s">
        <v>374</v>
      </c>
      <c r="W482" s="181">
        <v>0</v>
      </c>
      <c r="X482" s="181">
        <v>0</v>
      </c>
      <c r="Y482" s="181"/>
      <c r="Z482" s="183" t="s">
        <v>2406</v>
      </c>
      <c r="AA482" s="157"/>
      <c r="AB482" s="184" t="s">
        <v>2319</v>
      </c>
      <c r="AC482" s="132">
        <f t="shared" si="52"/>
        <v>0</v>
      </c>
    </row>
    <row r="483" s="132" customFormat="1" ht="24" customHeight="1" spans="1:29">
      <c r="A483" s="150">
        <v>477</v>
      </c>
      <c r="B483" s="166" t="s">
        <v>3840</v>
      </c>
      <c r="C483" s="166" t="s">
        <v>3841</v>
      </c>
      <c r="D483" s="157" t="s">
        <v>2470</v>
      </c>
      <c r="E483" s="158" t="s">
        <v>3314</v>
      </c>
      <c r="F483" s="189" t="s">
        <v>3842</v>
      </c>
      <c r="G483" s="156"/>
      <c r="H483" s="157"/>
      <c r="I483" s="165"/>
      <c r="J483" s="187"/>
      <c r="K483" s="157" t="s">
        <v>2317</v>
      </c>
      <c r="L483" s="166"/>
      <c r="M483" s="166"/>
      <c r="N483" s="167">
        <v>162190.94</v>
      </c>
      <c r="O483" s="167">
        <v>0</v>
      </c>
      <c r="P483" s="167">
        <v>162190.94</v>
      </c>
      <c r="Q483" s="167"/>
      <c r="R483" s="167">
        <f t="shared" si="56"/>
        <v>162190.94</v>
      </c>
      <c r="S483" s="202">
        <v>0.338555832480367</v>
      </c>
      <c r="T483" s="167">
        <f t="shared" si="53"/>
        <v>54910.69</v>
      </c>
      <c r="U483" s="157" t="s">
        <v>2344</v>
      </c>
      <c r="V483" s="179" t="s">
        <v>375</v>
      </c>
      <c r="W483" s="180">
        <f>IF('附表1-面积统计表'!$D$29=0,"",IF(AND(V483="共同成本费用",Z483="总建筑面积法"),ROUND(T483/'附表1-面积统计表'!$D$29*'附表1-面积统计表'!$D$5,2),IF(AND(V483="共同成本费用",Z483="可售建筑面积法"),ROUND(T483/'附表1-面积统计表'!$F$29*'附表1-面积统计表'!$F$5,2),"请手工填写")))</f>
        <v>26602.2</v>
      </c>
      <c r="X483" s="180">
        <f>IF(SUM('附表1-面积统计表'!$D$6)=0,"",SUM(T483)-SUM(W483)-SUM(Y483))</f>
        <v>17600.75</v>
      </c>
      <c r="Y483" s="180">
        <f>IF(SUM('附表1-面积统计表'!$D$6)=0,SUM(T483)-SUM(W483),IF('附表1-面积统计表'!$D$29=0,"",IF(AND(V483="共同成本费用",Z483="总建筑面积法"),ROUND(T483/'附表1-面积统计表'!$D$29*'附表1-面积统计表'!$D$7,2),IF(AND(V483="共同成本费用",Z483="可售建筑面积法"),ROUND(T483/'附表1-面积统计表'!$F$29*'附表1-面积统计表'!$F$7,2),"请手工填写"))))</f>
        <v>10707.74</v>
      </c>
      <c r="Z483" s="183" t="s">
        <v>351</v>
      </c>
      <c r="AA483" s="157"/>
      <c r="AB483" s="184" t="s">
        <v>2319</v>
      </c>
      <c r="AC483" s="132">
        <f t="shared" si="52"/>
        <v>0</v>
      </c>
    </row>
    <row r="484" s="132" customFormat="1" ht="24" customHeight="1" spans="1:29">
      <c r="A484" s="150">
        <v>478</v>
      </c>
      <c r="B484" s="166" t="s">
        <v>3843</v>
      </c>
      <c r="C484" s="166" t="s">
        <v>3122</v>
      </c>
      <c r="D484" s="157" t="s">
        <v>2339</v>
      </c>
      <c r="E484" s="158" t="s">
        <v>2363</v>
      </c>
      <c r="F484" s="189" t="s">
        <v>3844</v>
      </c>
      <c r="G484" s="156"/>
      <c r="H484" s="157" t="str">
        <f>IF(G484="","",VLOOKUP(G484,'附表8-合同明细采集底稿'!B:I,2,0))</f>
        <v/>
      </c>
      <c r="I484" s="165" t="str">
        <f>IF(G484="","",VLOOKUP(G484,'附表8-合同明细采集底稿'!B:I,3,0))</f>
        <v/>
      </c>
      <c r="J484" s="187" t="s">
        <v>3845</v>
      </c>
      <c r="K484" s="157" t="s">
        <v>2355</v>
      </c>
      <c r="L484" s="166">
        <v>6500203130</v>
      </c>
      <c r="M484" s="555" t="s">
        <v>3846</v>
      </c>
      <c r="N484" s="167">
        <v>2907.55</v>
      </c>
      <c r="O484" s="167">
        <v>3082</v>
      </c>
      <c r="P484" s="167">
        <v>2907.55</v>
      </c>
      <c r="Q484" s="167"/>
      <c r="R484" s="167">
        <f t="shared" si="56"/>
        <v>2907.55</v>
      </c>
      <c r="S484" s="178">
        <v>1</v>
      </c>
      <c r="T484" s="167">
        <f t="shared" si="53"/>
        <v>2907.55</v>
      </c>
      <c r="U484" s="157" t="s">
        <v>2405</v>
      </c>
      <c r="V484" s="179" t="s">
        <v>374</v>
      </c>
      <c r="W484" s="181">
        <v>0</v>
      </c>
      <c r="X484" s="181">
        <v>0</v>
      </c>
      <c r="Y484" s="181">
        <v>2907.55</v>
      </c>
      <c r="Z484" s="183" t="s">
        <v>2406</v>
      </c>
      <c r="AA484" s="157"/>
      <c r="AB484" s="184" t="s">
        <v>2319</v>
      </c>
      <c r="AC484" s="132">
        <f t="shared" si="52"/>
        <v>0</v>
      </c>
    </row>
    <row r="485" s="132" customFormat="1" ht="24" customHeight="1" spans="1:29">
      <c r="A485" s="150">
        <v>479</v>
      </c>
      <c r="B485" s="166" t="s">
        <v>3843</v>
      </c>
      <c r="C485" s="166" t="s">
        <v>3847</v>
      </c>
      <c r="D485" s="157" t="s">
        <v>2346</v>
      </c>
      <c r="E485" s="158" t="s">
        <v>2938</v>
      </c>
      <c r="F485" s="189" t="s">
        <v>3848</v>
      </c>
      <c r="G485" s="156" t="s">
        <v>3795</v>
      </c>
      <c r="H485" s="157" t="str">
        <f>IF(G485="","",VLOOKUP(G485,'附表8-合同明细采集底稿'!B:I,2,0))</f>
        <v>25-30#楼进户门智能锁购销安装合同</v>
      </c>
      <c r="I485" s="165" t="str">
        <f>IF(G485="","",VLOOKUP(G485,'附表8-合同明细采集底稿'!B:I,3,0))</f>
        <v>买卖合同</v>
      </c>
      <c r="J485" s="169" t="s">
        <v>3018</v>
      </c>
      <c r="K485" s="157" t="s">
        <v>2355</v>
      </c>
      <c r="L485" s="166">
        <v>6500203130</v>
      </c>
      <c r="M485" s="555" t="s">
        <v>3849</v>
      </c>
      <c r="N485" s="167">
        <v>34194.69</v>
      </c>
      <c r="O485" s="167">
        <v>38640</v>
      </c>
      <c r="P485" s="167">
        <v>34194.69</v>
      </c>
      <c r="Q485" s="167"/>
      <c r="R485" s="167">
        <f t="shared" si="56"/>
        <v>34194.69</v>
      </c>
      <c r="S485" s="178">
        <f>IFERROR(VLOOKUP(G485,'附表8-合同明细采集底稿'!B:N,12,0),100%)</f>
        <v>1</v>
      </c>
      <c r="T485" s="167">
        <f t="shared" si="53"/>
        <v>34194.69</v>
      </c>
      <c r="U485" s="157" t="s">
        <v>2416</v>
      </c>
      <c r="V485" s="179" t="s">
        <v>374</v>
      </c>
      <c r="W485" s="182">
        <f>ROUND(T485*成本分摊比例!$G$13/(成本分摊比例!$G$13+成本分摊比例!$H$13+成本分摊比例!$I$13),2)</f>
        <v>18475.45</v>
      </c>
      <c r="X485" s="182">
        <f>ROUND(T485*成本分摊比例!$H$13/(成本分摊比例!$G$13+成本分摊比例!$H$13+成本分摊比例!$I$13),2)</f>
        <v>12223.87</v>
      </c>
      <c r="Y485" s="182">
        <f>T485-W485-X485</f>
        <v>3495.37</v>
      </c>
      <c r="Z485" s="183" t="s">
        <v>2406</v>
      </c>
      <c r="AA485" s="157"/>
      <c r="AB485" s="184" t="s">
        <v>2319</v>
      </c>
      <c r="AC485" s="132">
        <f t="shared" si="52"/>
        <v>0</v>
      </c>
    </row>
    <row r="486" s="132" customFormat="1" ht="24" customHeight="1" spans="1:29">
      <c r="A486" s="150">
        <v>480</v>
      </c>
      <c r="B486" s="166" t="s">
        <v>3850</v>
      </c>
      <c r="C486" s="166" t="s">
        <v>3048</v>
      </c>
      <c r="D486" s="157" t="s">
        <v>2470</v>
      </c>
      <c r="E486" s="158" t="s">
        <v>2471</v>
      </c>
      <c r="F486" s="189" t="s">
        <v>3851</v>
      </c>
      <c r="G486" s="156"/>
      <c r="H486" s="157" t="str">
        <f>IF(G486="","",VLOOKUP(G486,'附表8-合同明细采集底稿'!B:I,2,0))</f>
        <v/>
      </c>
      <c r="I486" s="165" t="str">
        <f>IF(G486="","",VLOOKUP(G486,'附表8-合同明细采集底稿'!B:I,3,0))</f>
        <v/>
      </c>
      <c r="J486" s="154" t="s">
        <v>3852</v>
      </c>
      <c r="K486" s="157" t="s">
        <v>2335</v>
      </c>
      <c r="L486" s="168" t="s">
        <v>2336</v>
      </c>
      <c r="M486" s="555" t="s">
        <v>3853</v>
      </c>
      <c r="N486" s="167">
        <v>5101.99</v>
      </c>
      <c r="O486" s="167">
        <v>5101.99</v>
      </c>
      <c r="P486" s="167">
        <v>5101.99</v>
      </c>
      <c r="Q486" s="167"/>
      <c r="R486" s="167">
        <f t="shared" si="56"/>
        <v>5101.99</v>
      </c>
      <c r="S486" s="178">
        <v>1</v>
      </c>
      <c r="T486" s="167">
        <f t="shared" si="53"/>
        <v>5101.99</v>
      </c>
      <c r="U486" s="157" t="s">
        <v>2344</v>
      </c>
      <c r="V486" s="179" t="s">
        <v>375</v>
      </c>
      <c r="W486" s="180">
        <f>IF('附表1-面积统计表'!$D$29=0,"",IF(AND(V486="共同成本费用",Z486="总建筑面积法"),ROUND(T486/'附表1-面积统计表'!$D$29*'附表1-面积统计表'!$D$5,2),IF(AND(V486="共同成本费用",Z486="可售建筑面积法"),ROUND(T486/'附表1-面积统计表'!$F$29*'附表1-面积统计表'!$F$5,2),"请手工填写")))</f>
        <v>2471.73</v>
      </c>
      <c r="X486" s="180">
        <f>IF(SUM('附表1-面积统计表'!$D$6)=0,"",SUM(T486)-SUM(W486)-SUM(Y486))</f>
        <v>1635.36</v>
      </c>
      <c r="Y486" s="180">
        <f>IF(SUM('附表1-面积统计表'!$D$6)=0,SUM(T486)-SUM(W486),IF('附表1-面积统计表'!$D$29=0,"",IF(AND(V486="共同成本费用",Z486="总建筑面积法"),ROUND(T486/'附表1-面积统计表'!$D$29*'附表1-面积统计表'!$D$7,2),IF(AND(V486="共同成本费用",Z486="可售建筑面积法"),ROUND(T486/'附表1-面积统计表'!$F$29*'附表1-面积统计表'!$F$7,2),"请手工填写"))))</f>
        <v>994.9</v>
      </c>
      <c r="Z486" s="183" t="s">
        <v>351</v>
      </c>
      <c r="AA486" s="157"/>
      <c r="AB486" s="184" t="s">
        <v>2319</v>
      </c>
      <c r="AC486" s="132">
        <f t="shared" si="52"/>
        <v>0</v>
      </c>
    </row>
    <row r="487" s="132" customFormat="1" ht="24" customHeight="1" spans="1:29">
      <c r="A487" s="150">
        <v>481</v>
      </c>
      <c r="B487" s="166" t="s">
        <v>3850</v>
      </c>
      <c r="C487" s="166" t="s">
        <v>2991</v>
      </c>
      <c r="D487" s="157" t="s">
        <v>2533</v>
      </c>
      <c r="E487" s="158" t="s">
        <v>2564</v>
      </c>
      <c r="F487" s="189" t="s">
        <v>3854</v>
      </c>
      <c r="G487" s="156" t="s">
        <v>2900</v>
      </c>
      <c r="H487" s="157" t="str">
        <f>IF(G487="","",VLOOKUP(G487,'附表8-合同明细采集底稿'!B:I,2,0))</f>
        <v>沁春锦苑25、26、28#施工协议</v>
      </c>
      <c r="I487" s="165" t="str">
        <f>IF(G487="","",VLOOKUP(G487,'附表8-合同明细采集底稿'!B:I,3,0))</f>
        <v>建设工程合同</v>
      </c>
      <c r="J487" s="187" t="s">
        <v>144</v>
      </c>
      <c r="K487" s="157" t="s">
        <v>2355</v>
      </c>
      <c r="L487" s="191">
        <v>6500203130</v>
      </c>
      <c r="M487" s="166" t="s">
        <v>3855</v>
      </c>
      <c r="N487" s="167">
        <v>1851407.8</v>
      </c>
      <c r="O487" s="167">
        <v>2018034.5</v>
      </c>
      <c r="P487" s="167">
        <v>1851407.8</v>
      </c>
      <c r="Q487" s="167"/>
      <c r="R487" s="167">
        <f t="shared" si="56"/>
        <v>1851407.8</v>
      </c>
      <c r="S487" s="178">
        <f>IFERROR(VLOOKUP(G487,'附表8-合同明细采集底稿'!B:N,12,0),100%)</f>
        <v>1</v>
      </c>
      <c r="T487" s="167">
        <f t="shared" si="53"/>
        <v>1851407.8</v>
      </c>
      <c r="U487" s="157" t="s">
        <v>2416</v>
      </c>
      <c r="V487" s="179" t="s">
        <v>374</v>
      </c>
      <c r="W487" s="182">
        <f>ROUND(T487*成本分摊比例!$G$13/(成本分摊比例!$G$13+成本分摊比例!$H$13+成本分摊比例!$I$13),2)</f>
        <v>1000318.92</v>
      </c>
      <c r="X487" s="182">
        <f>ROUND(T487*成本分摊比例!$H$13/(成本分摊比例!$G$13+成本分摊比例!$H$13+成本分摊比例!$I$13),2)</f>
        <v>661838.55</v>
      </c>
      <c r="Y487" s="182">
        <f t="shared" ref="Y487:Y493" si="57">T487-W487-X487</f>
        <v>189250.33</v>
      </c>
      <c r="Z487" s="183" t="s">
        <v>2406</v>
      </c>
      <c r="AA487" s="157"/>
      <c r="AB487" s="184" t="s">
        <v>2319</v>
      </c>
      <c r="AC487" s="132">
        <f t="shared" si="52"/>
        <v>0</v>
      </c>
    </row>
    <row r="488" s="132" customFormat="1" ht="24" customHeight="1" spans="1:29">
      <c r="A488" s="150">
        <v>482</v>
      </c>
      <c r="B488" s="166" t="s">
        <v>3856</v>
      </c>
      <c r="C488" s="166" t="s">
        <v>3062</v>
      </c>
      <c r="D488" s="157" t="s">
        <v>2346</v>
      </c>
      <c r="E488" s="158" t="s">
        <v>2347</v>
      </c>
      <c r="F488" s="189" t="s">
        <v>3857</v>
      </c>
      <c r="G488" s="156"/>
      <c r="H488" s="157" t="str">
        <f>IF(G488="","",VLOOKUP(G488,'附表8-合同明细采集底稿'!B:I,2,0))</f>
        <v/>
      </c>
      <c r="I488" s="165" t="str">
        <f>IF(G488="","",VLOOKUP(G488,'附表8-合同明细采集底稿'!B:I,3,0))</f>
        <v/>
      </c>
      <c r="J488" s="165" t="s">
        <v>3858</v>
      </c>
      <c r="K488" s="157" t="s">
        <v>2355</v>
      </c>
      <c r="L488" s="555" t="s">
        <v>3859</v>
      </c>
      <c r="M488" s="166">
        <v>15516834</v>
      </c>
      <c r="N488" s="167">
        <v>19057.52</v>
      </c>
      <c r="O488" s="167">
        <v>21535</v>
      </c>
      <c r="P488" s="167">
        <v>19057.52</v>
      </c>
      <c r="Q488" s="167">
        <v>-19057.52</v>
      </c>
      <c r="R488" s="167">
        <f t="shared" si="56"/>
        <v>0</v>
      </c>
      <c r="S488" s="178">
        <v>1</v>
      </c>
      <c r="T488" s="167">
        <f t="shared" si="53"/>
        <v>0</v>
      </c>
      <c r="U488" s="157" t="s">
        <v>2344</v>
      </c>
      <c r="V488" s="179" t="s">
        <v>375</v>
      </c>
      <c r="W488" s="180">
        <f>IF('附表1-面积统计表'!$D$29=0,"",IF(AND(V488="共同成本费用",Z488="总建筑面积法"),ROUND(T488/'附表1-面积统计表'!$D$29*'附表1-面积统计表'!$D$5,2),IF(AND(V488="共同成本费用",Z488="可售建筑面积法"),ROUND(T488/'附表1-面积统计表'!$F$29*'附表1-面积统计表'!$F$5,2),"请手工填写")))</f>
        <v>0</v>
      </c>
      <c r="X488" s="180">
        <f>IF(SUM('附表1-面积统计表'!$D$6)=0,"",SUM(T488)-SUM(W488)-SUM(Y488))</f>
        <v>0</v>
      </c>
      <c r="Y488" s="180">
        <f>IF(SUM('附表1-面积统计表'!$D$6)=0,SUM(T488)-SUM(W488),IF('附表1-面积统计表'!$D$29=0,"",IF(AND(V488="共同成本费用",Z488="总建筑面积法"),ROUND(T488/'附表1-面积统计表'!$D$29*'附表1-面积统计表'!$D$7,2),IF(AND(V488="共同成本费用",Z488="可售建筑面积法"),ROUND(T488/'附表1-面积统计表'!$F$29*'附表1-面积统计表'!$F$7,2),"请手工填写"))))</f>
        <v>0</v>
      </c>
      <c r="Z488" s="183" t="s">
        <v>351</v>
      </c>
      <c r="AA488" s="157"/>
      <c r="AB488" s="184" t="s">
        <v>2319</v>
      </c>
      <c r="AC488" s="132">
        <f t="shared" si="52"/>
        <v>0</v>
      </c>
    </row>
    <row r="489" s="132" customFormat="1" ht="24" customHeight="1" spans="1:29">
      <c r="A489" s="150">
        <v>483</v>
      </c>
      <c r="B489" s="166" t="s">
        <v>3860</v>
      </c>
      <c r="C489" s="166" t="s">
        <v>3861</v>
      </c>
      <c r="D489" s="157" t="s">
        <v>2346</v>
      </c>
      <c r="E489" s="158" t="s">
        <v>2453</v>
      </c>
      <c r="F489" s="189" t="s">
        <v>3862</v>
      </c>
      <c r="G489" s="156" t="s">
        <v>3863</v>
      </c>
      <c r="H489" s="157" t="str">
        <f>IF(G489="","",VLOOKUP(G489,'附表8-合同明细采集底稿'!B:I,2,0))</f>
        <v>沁春锦苑一期园林硬质景观施工合同（19-24、32/33.34)</v>
      </c>
      <c r="I489" s="165" t="str">
        <f>IF(G489="","",VLOOKUP(G489,'附表8-合同明细采集底稿'!B:I,3,0))</f>
        <v>建设工程合同</v>
      </c>
      <c r="J489" s="169" t="s">
        <v>2498</v>
      </c>
      <c r="K489" s="157" t="s">
        <v>2355</v>
      </c>
      <c r="L489" s="191">
        <v>6500212130</v>
      </c>
      <c r="M489" s="166" t="s">
        <v>3864</v>
      </c>
      <c r="N489" s="167">
        <v>680536.7</v>
      </c>
      <c r="O489" s="167">
        <v>741785</v>
      </c>
      <c r="P489" s="167">
        <v>680536.7</v>
      </c>
      <c r="Q489" s="167"/>
      <c r="R489" s="167">
        <f t="shared" si="56"/>
        <v>680536.7</v>
      </c>
      <c r="S489" s="178">
        <f>IFERROR(VLOOKUP(G489,'附表8-合同明细采集底稿'!B:N,12,0),100%)</f>
        <v>1</v>
      </c>
      <c r="T489" s="167">
        <f t="shared" si="53"/>
        <v>680536.7</v>
      </c>
      <c r="U489" s="157" t="s">
        <v>2344</v>
      </c>
      <c r="V489" s="179" t="s">
        <v>375</v>
      </c>
      <c r="W489" s="180">
        <f>IF('附表1-面积统计表'!$D$29=0,"",IF(AND(V489="共同成本费用",Z489="总建筑面积法"),ROUND(T489/'附表1-面积统计表'!$D$29*'附表1-面积统计表'!$D$5,2),IF(AND(V489="共同成本费用",Z489="可售建筑面积法"),ROUND(T489/'附表1-面积统计表'!$F$29*'附表1-面积统计表'!$F$5,2),"请手工填写")))</f>
        <v>329694.9</v>
      </c>
      <c r="X489" s="180">
        <f>IF(SUM('附表1-面积统计表'!$D$6)=0,"",SUM(T489)-SUM(W489)-SUM(Y489))</f>
        <v>218135.23</v>
      </c>
      <c r="Y489" s="180">
        <f>IF(SUM('附表1-面积统计表'!$D$6)=0,SUM(T489)-SUM(W489),IF('附表1-面积统计表'!$D$29=0,"",IF(AND(V489="共同成本费用",Z489="总建筑面积法"),ROUND(T489/'附表1-面积统计表'!$D$29*'附表1-面积统计表'!$D$7,2),IF(AND(V489="共同成本费用",Z489="可售建筑面积法"),ROUND(T489/'附表1-面积统计表'!$F$29*'附表1-面积统计表'!$F$7,2),"请手工填写"))))</f>
        <v>132706.57</v>
      </c>
      <c r="Z489" s="183" t="s">
        <v>351</v>
      </c>
      <c r="AA489" s="157"/>
      <c r="AB489" s="184" t="s">
        <v>2319</v>
      </c>
      <c r="AC489" s="132">
        <f t="shared" si="52"/>
        <v>0</v>
      </c>
    </row>
    <row r="490" s="132" customFormat="1" ht="24" customHeight="1" spans="1:29">
      <c r="A490" s="150">
        <v>484</v>
      </c>
      <c r="B490" s="166" t="s">
        <v>3860</v>
      </c>
      <c r="C490" s="166" t="s">
        <v>3334</v>
      </c>
      <c r="D490" s="157" t="s">
        <v>2346</v>
      </c>
      <c r="E490" s="158" t="s">
        <v>2453</v>
      </c>
      <c r="F490" s="189" t="s">
        <v>3865</v>
      </c>
      <c r="G490" s="156" t="s">
        <v>3246</v>
      </c>
      <c r="H490" s="157" t="str">
        <f>IF(G490="","",VLOOKUP(G490,'附表8-合同明细采集底稿'!B:I,2,0))</f>
        <v>沁春锦苑一期二批次景观绿化（25-30#）+提升附属合同</v>
      </c>
      <c r="I490" s="165" t="str">
        <f>IF(G490="","",VLOOKUP(G490,'附表8-合同明细采集底稿'!B:I,3,0))</f>
        <v>其他合同</v>
      </c>
      <c r="J490" s="169" t="s">
        <v>2498</v>
      </c>
      <c r="K490" s="157" t="s">
        <v>2355</v>
      </c>
      <c r="L490" s="191">
        <v>6500212130</v>
      </c>
      <c r="M490" s="155" t="s">
        <v>3866</v>
      </c>
      <c r="N490" s="167">
        <v>1359761.48</v>
      </c>
      <c r="O490" s="167">
        <v>1482140</v>
      </c>
      <c r="P490" s="167">
        <v>1359761.48</v>
      </c>
      <c r="Q490" s="167">
        <v>-1009047.62</v>
      </c>
      <c r="R490" s="167">
        <f t="shared" si="56"/>
        <v>350713.86</v>
      </c>
      <c r="S490" s="178">
        <f>IFERROR(VLOOKUP(G490,'附表8-合同明细采集底稿'!B:N,12,0),100%)</f>
        <v>1</v>
      </c>
      <c r="T490" s="167">
        <f t="shared" si="53"/>
        <v>350713.86</v>
      </c>
      <c r="U490" s="157" t="s">
        <v>2344</v>
      </c>
      <c r="V490" s="179" t="s">
        <v>375</v>
      </c>
      <c r="W490" s="180">
        <f>IF('附表1-面积统计表'!$D$29=0,"",IF(AND(V490="共同成本费用",Z490="总建筑面积法"),ROUND(T490/'附表1-面积统计表'!$D$29*'附表1-面积统计表'!$D$5,2),IF(AND(V490="共同成本费用",Z490="可售建筑面积法"),ROUND(T490/'附表1-面积统计表'!$F$29*'附表1-面积统计表'!$F$5,2),"请手工填写")))</f>
        <v>169907.91</v>
      </c>
      <c r="X490" s="180">
        <f>IF(SUM('附表1-面积统计表'!$D$6)=0,"",SUM(T490)-SUM(W490)-SUM(Y490))</f>
        <v>112415.76</v>
      </c>
      <c r="Y490" s="180">
        <f>IF(SUM('附表1-面积统计表'!$D$6)=0,SUM(T490)-SUM(W490),IF('附表1-面积统计表'!$D$29=0,"",IF(AND(V490="共同成本费用",Z490="总建筑面积法"),ROUND(T490/'附表1-面积统计表'!$D$29*'附表1-面积统计表'!$D$7,2),IF(AND(V490="共同成本费用",Z490="可售建筑面积法"),ROUND(T490/'附表1-面积统计表'!$F$29*'附表1-面积统计表'!$F$7,2),"请手工填写"))))</f>
        <v>68390.19</v>
      </c>
      <c r="Z490" s="183" t="s">
        <v>351</v>
      </c>
      <c r="AA490" s="157"/>
      <c r="AB490" s="184" t="s">
        <v>2319</v>
      </c>
      <c r="AC490" s="132">
        <f t="shared" si="52"/>
        <v>0</v>
      </c>
    </row>
    <row r="491" s="132" customFormat="1" ht="24" customHeight="1" spans="1:29">
      <c r="A491" s="150">
        <v>485</v>
      </c>
      <c r="B491" s="166" t="s">
        <v>3860</v>
      </c>
      <c r="C491" s="166" t="s">
        <v>3731</v>
      </c>
      <c r="D491" s="157" t="s">
        <v>2346</v>
      </c>
      <c r="E491" s="158" t="s">
        <v>2656</v>
      </c>
      <c r="F491" s="189" t="s">
        <v>3867</v>
      </c>
      <c r="G491" s="156" t="s">
        <v>3735</v>
      </c>
      <c r="H491" s="157" t="str">
        <f>IF(G491="","",VLOOKUP(G491,'附表8-合同明细采集底稿'!B:I,2,0))</f>
        <v>沁春锦苑一期、二期、三期三网合一FTTH工程施工合同（绿）</v>
      </c>
      <c r="I491" s="165" t="str">
        <f>IF(G491="","",VLOOKUP(G491,'附表8-合同明细采集底稿'!B:I,3,0))</f>
        <v>建设工程合同</v>
      </c>
      <c r="J491" s="169" t="s">
        <v>3736</v>
      </c>
      <c r="K491" s="157" t="s">
        <v>2355</v>
      </c>
      <c r="L491" s="166">
        <v>6500203130</v>
      </c>
      <c r="M491" s="555" t="s">
        <v>3868</v>
      </c>
      <c r="N491" s="167">
        <v>53801.83</v>
      </c>
      <c r="O491" s="167">
        <v>58644</v>
      </c>
      <c r="P491" s="167">
        <v>65273.39</v>
      </c>
      <c r="Q491" s="167">
        <v>-18576.14</v>
      </c>
      <c r="R491" s="167">
        <f t="shared" si="56"/>
        <v>46697.25</v>
      </c>
      <c r="S491" s="178">
        <f>IFERROR(VLOOKUP(G491,'附表8-合同明细采集底稿'!B:N,12,0),100%)</f>
        <v>1</v>
      </c>
      <c r="T491" s="167">
        <f t="shared" si="53"/>
        <v>46697.25</v>
      </c>
      <c r="U491" s="157" t="s">
        <v>2416</v>
      </c>
      <c r="V491" s="179" t="s">
        <v>374</v>
      </c>
      <c r="W491" s="182">
        <f>ROUND(T491*成本分摊比例!$G$13/(成本分摊比例!$G$13+成本分摊比例!$H$13+成本分摊比例!$I$13),2)</f>
        <v>25230.61</v>
      </c>
      <c r="X491" s="182">
        <f>ROUND(T491*成本分摊比例!$H$13/(成本分摊比例!$G$13+成本分摊比例!$H$13+成本分摊比例!$I$13),2)</f>
        <v>16693.26</v>
      </c>
      <c r="Y491" s="182">
        <f t="shared" si="57"/>
        <v>4773.38</v>
      </c>
      <c r="Z491" s="183" t="s">
        <v>2406</v>
      </c>
      <c r="AA491" s="157"/>
      <c r="AB491" s="184" t="s">
        <v>2319</v>
      </c>
      <c r="AC491" s="132">
        <f t="shared" si="52"/>
        <v>0</v>
      </c>
    </row>
    <row r="492" s="132" customFormat="1" ht="24" customHeight="1" spans="1:29">
      <c r="A492" s="150">
        <v>486</v>
      </c>
      <c r="B492" s="166" t="s">
        <v>3869</v>
      </c>
      <c r="C492" s="166" t="s">
        <v>3870</v>
      </c>
      <c r="D492" s="157" t="s">
        <v>2346</v>
      </c>
      <c r="E492" s="158" t="s">
        <v>2938</v>
      </c>
      <c r="F492" s="189" t="s">
        <v>3871</v>
      </c>
      <c r="G492" s="156" t="s">
        <v>3872</v>
      </c>
      <c r="H492" s="157" t="str">
        <f>IF(G492="","",VLOOKUP(G492,'附表8-合同明细采集底稿'!B:I,2,0))</f>
        <v>沁春锦苑一期智慧小区设备采购合同</v>
      </c>
      <c r="I492" s="165" t="str">
        <f>IF(G492="","",VLOOKUP(G492,'附表8-合同明细采集底稿'!B:I,3,0))</f>
        <v>其他合同</v>
      </c>
      <c r="J492" s="169" t="s">
        <v>3305</v>
      </c>
      <c r="K492" s="157" t="s">
        <v>2335</v>
      </c>
      <c r="L492" s="168" t="s">
        <v>2336</v>
      </c>
      <c r="M492" s="166">
        <v>58576736</v>
      </c>
      <c r="N492" s="167">
        <v>59460</v>
      </c>
      <c r="O492" s="167">
        <v>59460</v>
      </c>
      <c r="P492" s="167">
        <v>59460</v>
      </c>
      <c r="Q492" s="167"/>
      <c r="R492" s="167">
        <f t="shared" si="56"/>
        <v>59460</v>
      </c>
      <c r="S492" s="178">
        <f>IFERROR(VLOOKUP(G492,'附表8-合同明细采集底稿'!B:N,12,0),100%)</f>
        <v>1</v>
      </c>
      <c r="T492" s="167">
        <f t="shared" si="53"/>
        <v>59460</v>
      </c>
      <c r="U492" s="157" t="s">
        <v>2416</v>
      </c>
      <c r="V492" s="179" t="s">
        <v>374</v>
      </c>
      <c r="W492" s="182">
        <f>ROUND(T492*成本分摊比例!$G$13/(成本分摊比例!$G$13+成本分摊比例!$H$13+成本分摊比例!$I$13),2)</f>
        <v>32126.34</v>
      </c>
      <c r="X492" s="182">
        <f>ROUND(T492*成本分摊比例!$H$13/(成本分摊比例!$G$13+成本分摊比例!$H$13+成本分摊比例!$I$13),2)</f>
        <v>21255.67</v>
      </c>
      <c r="Y492" s="182">
        <f t="shared" si="57"/>
        <v>6077.99</v>
      </c>
      <c r="Z492" s="183" t="s">
        <v>2406</v>
      </c>
      <c r="AA492" s="157"/>
      <c r="AB492" s="184" t="s">
        <v>2319</v>
      </c>
      <c r="AC492" s="132">
        <f t="shared" si="52"/>
        <v>0</v>
      </c>
    </row>
    <row r="493" s="132" customFormat="1" ht="24" customHeight="1" spans="1:29">
      <c r="A493" s="150">
        <v>487</v>
      </c>
      <c r="B493" s="166" t="s">
        <v>3869</v>
      </c>
      <c r="C493" s="166" t="s">
        <v>3079</v>
      </c>
      <c r="D493" s="157" t="s">
        <v>2339</v>
      </c>
      <c r="E493" s="158" t="s">
        <v>2351</v>
      </c>
      <c r="F493" s="189" t="s">
        <v>3873</v>
      </c>
      <c r="G493" s="156" t="s">
        <v>2515</v>
      </c>
      <c r="H493" s="157" t="str">
        <f>IF(G493="","",VLOOKUP(G493,'附表8-合同明细采集底稿'!B:I,2,0))</f>
        <v>25-34#建设工程设计合同（民用建设工程设计合同）25#-30#、32#-34</v>
      </c>
      <c r="I493" s="165" t="str">
        <f>IF(G493="","",VLOOKUP(G493,'附表8-合同明细采集底稿'!B:I,3,0))</f>
        <v>技术合同</v>
      </c>
      <c r="J493" s="187" t="s">
        <v>3057</v>
      </c>
      <c r="K493" s="157" t="s">
        <v>2335</v>
      </c>
      <c r="L493" s="168" t="s">
        <v>2336</v>
      </c>
      <c r="M493" s="166" t="s">
        <v>3874</v>
      </c>
      <c r="N493" s="167">
        <v>77632.08</v>
      </c>
      <c r="O493" s="167">
        <v>82290</v>
      </c>
      <c r="P493" s="167">
        <v>77632.08</v>
      </c>
      <c r="Q493" s="167"/>
      <c r="R493" s="167">
        <f t="shared" si="56"/>
        <v>77632.08</v>
      </c>
      <c r="S493" s="178">
        <f>IFERROR(VLOOKUP(G493,'附表8-合同明细采集底稿'!B:N,12,0),100%)</f>
        <v>1</v>
      </c>
      <c r="T493" s="167">
        <f t="shared" si="53"/>
        <v>77632.08</v>
      </c>
      <c r="U493" s="157" t="s">
        <v>2416</v>
      </c>
      <c r="V493" s="179" t="s">
        <v>374</v>
      </c>
      <c r="W493" s="182">
        <f>ROUND(T493*成本分摊比例!$G$13/(成本分摊比例!$G$13+成本分摊比例!$H$13+成本分摊比例!$I$13),2)</f>
        <v>41944.75</v>
      </c>
      <c r="X493" s="182">
        <f>ROUND(T493*成本分摊比例!$H$13/(成本分摊比例!$G$13+成本分摊比例!$H$13+成本分摊比例!$I$13),2)</f>
        <v>27751.8</v>
      </c>
      <c r="Y493" s="182">
        <f t="shared" si="57"/>
        <v>7935.53</v>
      </c>
      <c r="Z493" s="183" t="s">
        <v>2406</v>
      </c>
      <c r="AA493" s="157"/>
      <c r="AB493" s="184" t="s">
        <v>2319</v>
      </c>
      <c r="AC493" s="132">
        <f t="shared" si="52"/>
        <v>0</v>
      </c>
    </row>
    <row r="494" s="132" customFormat="1" ht="24" customHeight="1" spans="1:29">
      <c r="A494" s="150">
        <v>488</v>
      </c>
      <c r="B494" s="166" t="s">
        <v>3869</v>
      </c>
      <c r="C494" s="166" t="s">
        <v>3079</v>
      </c>
      <c r="D494" s="157" t="s">
        <v>2339</v>
      </c>
      <c r="E494" s="158" t="s">
        <v>2351</v>
      </c>
      <c r="F494" s="189" t="s">
        <v>3873</v>
      </c>
      <c r="G494" s="156" t="s">
        <v>2397</v>
      </c>
      <c r="H494" s="157" t="str">
        <f>IF(G494="","",VLOOKUP(G494,'附表8-合同明细采集底稿'!B:I,2,0))</f>
        <v>沁春锦苑室外管网设计</v>
      </c>
      <c r="I494" s="165" t="str">
        <f>IF(G494="","",VLOOKUP(G494,'附表8-合同明细采集底稿'!B:I,3,0))</f>
        <v>技术合同</v>
      </c>
      <c r="J494" s="187" t="s">
        <v>3057</v>
      </c>
      <c r="K494" s="157" t="s">
        <v>2335</v>
      </c>
      <c r="L494" s="168" t="s">
        <v>2336</v>
      </c>
      <c r="M494" s="166" t="s">
        <v>3875</v>
      </c>
      <c r="N494" s="167">
        <v>33578.3</v>
      </c>
      <c r="O494" s="167">
        <v>35593</v>
      </c>
      <c r="P494" s="167">
        <v>33578.3</v>
      </c>
      <c r="Q494" s="167"/>
      <c r="R494" s="167">
        <f t="shared" si="56"/>
        <v>33578.3</v>
      </c>
      <c r="S494" s="178">
        <f>IFERROR(VLOOKUP(G494,'附表8-合同明细采集底稿'!B:N,12,0),100%)</f>
        <v>0.338555832480367</v>
      </c>
      <c r="T494" s="167">
        <f t="shared" si="53"/>
        <v>11368.13</v>
      </c>
      <c r="U494" s="157" t="s">
        <v>2318</v>
      </c>
      <c r="V494" s="179" t="s">
        <v>375</v>
      </c>
      <c r="W494" s="180">
        <f>IF('附表1-面积统计表'!$D$29=0,"",IF(AND(V494="共同成本费用",Z494="总建筑面积法"),ROUND(T494/'附表1-面积统计表'!$D$29*'附表1-面积统计表'!$D$5,2),IF(AND(V494="共同成本费用",Z494="可售建筑面积法"),ROUND(T494/'附表1-面积统计表'!$F$29*'附表1-面积统计表'!$F$5,2),"请手工填写")))</f>
        <v>5507.44</v>
      </c>
      <c r="X494" s="180">
        <f>IF(SUM('附表1-面积统计表'!$D$6)=0,"",SUM(T494)-SUM(W494)-SUM(Y494))</f>
        <v>3643.87</v>
      </c>
      <c r="Y494" s="180">
        <f>IF(SUM('附表1-面积统计表'!$D$6)=0,SUM(T494)-SUM(W494),IF('附表1-面积统计表'!$D$29=0,"",IF(AND(V494="共同成本费用",Z494="总建筑面积法"),ROUND(T494/'附表1-面积统计表'!$D$29*'附表1-面积统计表'!$D$7,2),IF(AND(V494="共同成本费用",Z494="可售建筑面积法"),ROUND(T494/'附表1-面积统计表'!$F$29*'附表1-面积统计表'!$F$7,2),"请手工填写"))))</f>
        <v>2216.82</v>
      </c>
      <c r="Z494" s="183" t="s">
        <v>351</v>
      </c>
      <c r="AA494" s="157"/>
      <c r="AB494" s="184" t="s">
        <v>2319</v>
      </c>
      <c r="AC494" s="132">
        <f t="shared" si="52"/>
        <v>0</v>
      </c>
    </row>
    <row r="495" s="132" customFormat="1" ht="24" customHeight="1" spans="1:29">
      <c r="A495" s="150">
        <v>489</v>
      </c>
      <c r="B495" s="166" t="s">
        <v>3869</v>
      </c>
      <c r="C495" s="166" t="s">
        <v>3079</v>
      </c>
      <c r="D495" s="157" t="s">
        <v>2339</v>
      </c>
      <c r="E495" s="158" t="s">
        <v>2351</v>
      </c>
      <c r="F495" s="189" t="s">
        <v>3873</v>
      </c>
      <c r="G495" s="156" t="s">
        <v>2415</v>
      </c>
      <c r="H495" s="157" t="str">
        <f>IF(G495="","",VLOOKUP(G495,'附表8-合同明细采集底稿'!B:I,2,0))</f>
        <v>建设工程设计合同（19-24#、1#35#、大门、值班室）</v>
      </c>
      <c r="I495" s="165" t="str">
        <f>IF(G495="","",VLOOKUP(G495,'附表8-合同明细采集底稿'!B:I,3,0))</f>
        <v>技术合同</v>
      </c>
      <c r="J495" s="187" t="s">
        <v>3057</v>
      </c>
      <c r="K495" s="157" t="s">
        <v>2335</v>
      </c>
      <c r="L495" s="168" t="s">
        <v>2336</v>
      </c>
      <c r="M495" s="166" t="s">
        <v>3876</v>
      </c>
      <c r="N495" s="167">
        <v>38528.3</v>
      </c>
      <c r="O495" s="167">
        <v>40840</v>
      </c>
      <c r="P495" s="167">
        <v>38528.3</v>
      </c>
      <c r="Q495" s="167"/>
      <c r="R495" s="167">
        <f t="shared" si="56"/>
        <v>38528.3</v>
      </c>
      <c r="S495" s="178">
        <f>IFERROR(VLOOKUP(G495,'附表8-合同明细采集底稿'!B:N,12,0),100%)</f>
        <v>1</v>
      </c>
      <c r="T495" s="167">
        <f t="shared" si="53"/>
        <v>38528.3</v>
      </c>
      <c r="U495" s="157" t="s">
        <v>2416</v>
      </c>
      <c r="V495" s="179" t="s">
        <v>374</v>
      </c>
      <c r="W495" s="182">
        <f>ROUND(T495*成本分摊比例!$G$13/(成本分摊比例!$G$13+成本分摊比例!$H$13+成本分摊比例!$I$13),2)</f>
        <v>20816.91</v>
      </c>
      <c r="X495" s="182">
        <f>ROUND(T495*成本分摊比例!$H$13/(成本分摊比例!$G$13+成本分摊比例!$H$13+成本分摊比例!$I$13),2)</f>
        <v>13773.04</v>
      </c>
      <c r="Y495" s="182">
        <f>T495-W495-X495</f>
        <v>3938.35</v>
      </c>
      <c r="Z495" s="183" t="s">
        <v>2406</v>
      </c>
      <c r="AA495" s="157"/>
      <c r="AB495" s="184" t="s">
        <v>2319</v>
      </c>
      <c r="AC495" s="132">
        <f t="shared" si="52"/>
        <v>0</v>
      </c>
    </row>
    <row r="496" s="132" customFormat="1" ht="24" customHeight="1" spans="1:29">
      <c r="A496" s="150">
        <v>490</v>
      </c>
      <c r="B496" s="166" t="s">
        <v>3877</v>
      </c>
      <c r="C496" s="166" t="s">
        <v>3086</v>
      </c>
      <c r="D496" s="157" t="s">
        <v>2470</v>
      </c>
      <c r="E496" s="158" t="s">
        <v>3314</v>
      </c>
      <c r="F496" s="189" t="s">
        <v>3878</v>
      </c>
      <c r="G496" s="156"/>
      <c r="H496" s="157"/>
      <c r="I496" s="165"/>
      <c r="J496" s="187"/>
      <c r="K496" s="157" t="s">
        <v>2317</v>
      </c>
      <c r="L496" s="166"/>
      <c r="M496" s="166"/>
      <c r="N496" s="167">
        <v>17512.02</v>
      </c>
      <c r="O496" s="167">
        <v>17512.02</v>
      </c>
      <c r="P496" s="167">
        <v>17512.02</v>
      </c>
      <c r="Q496" s="167"/>
      <c r="R496" s="167">
        <f t="shared" si="56"/>
        <v>17512.02</v>
      </c>
      <c r="S496" s="202">
        <v>0.338555832480367</v>
      </c>
      <c r="T496" s="167">
        <f t="shared" si="53"/>
        <v>5928.8</v>
      </c>
      <c r="U496" s="157" t="s">
        <v>2344</v>
      </c>
      <c r="V496" s="179" t="s">
        <v>375</v>
      </c>
      <c r="W496" s="180">
        <f>IF('附表1-面积统计表'!$D$29=0,"",IF(AND(V496="共同成本费用",Z496="总建筑面积法"),ROUND(T496/'附表1-面积统计表'!$D$29*'附表1-面积统计表'!$D$5,2),IF(AND(V496="共同成本费用",Z496="可售建筑面积法"),ROUND(T496/'附表1-面积统计表'!$F$29*'附表1-面积统计表'!$F$5,2),"请手工填写")))</f>
        <v>2872.28</v>
      </c>
      <c r="X496" s="180">
        <f>IF(SUM('附表1-面积统计表'!$D$6)=0,"",SUM(T496)-SUM(W496)-SUM(Y496))</f>
        <v>1900.39</v>
      </c>
      <c r="Y496" s="180">
        <f>IF(SUM('附表1-面积统计表'!$D$6)=0,SUM(T496)-SUM(W496),IF('附表1-面积统计表'!$D$29=0,"",IF(AND(V496="共同成本费用",Z496="总建筑面积法"),ROUND(T496/'附表1-面积统计表'!$D$29*'附表1-面积统计表'!$D$7,2),IF(AND(V496="共同成本费用",Z496="可售建筑面积法"),ROUND(T496/'附表1-面积统计表'!$F$29*'附表1-面积统计表'!$F$7,2),"请手工填写"))))</f>
        <v>1156.13</v>
      </c>
      <c r="Z496" s="183" t="s">
        <v>351</v>
      </c>
      <c r="AA496" s="157"/>
      <c r="AB496" s="184" t="s">
        <v>2319</v>
      </c>
      <c r="AC496" s="132">
        <f t="shared" si="52"/>
        <v>0</v>
      </c>
    </row>
    <row r="497" s="132" customFormat="1" ht="24" customHeight="1" spans="1:29">
      <c r="A497" s="150">
        <v>491</v>
      </c>
      <c r="B497" s="166" t="s">
        <v>3879</v>
      </c>
      <c r="C497" s="166" t="s">
        <v>3880</v>
      </c>
      <c r="D497" s="157" t="s">
        <v>2533</v>
      </c>
      <c r="E497" s="158" t="s">
        <v>2564</v>
      </c>
      <c r="F497" s="189" t="s">
        <v>3881</v>
      </c>
      <c r="G497" s="156" t="s">
        <v>2919</v>
      </c>
      <c r="H497" s="157" t="str">
        <f>IF(G497="","",VLOOKUP(G497,'附表8-合同明细采集底稿'!B:I,2,0))</f>
        <v>1#19#20#-34#35#)室外</v>
      </c>
      <c r="I497" s="165" t="str">
        <f>IF(G497="","",VLOOKUP(G497,'附表8-合同明细采集底稿'!B:I,3,0))</f>
        <v>其他合同</v>
      </c>
      <c r="J497" s="187" t="s">
        <v>2920</v>
      </c>
      <c r="K497" s="157" t="s">
        <v>2355</v>
      </c>
      <c r="L497" s="166">
        <v>6500203130</v>
      </c>
      <c r="M497" s="555" t="s">
        <v>3882</v>
      </c>
      <c r="N497" s="167">
        <v>550458.72</v>
      </c>
      <c r="O497" s="167">
        <v>600000</v>
      </c>
      <c r="P497" s="167">
        <v>550458.72</v>
      </c>
      <c r="Q497" s="167"/>
      <c r="R497" s="167">
        <f t="shared" si="56"/>
        <v>550458.72</v>
      </c>
      <c r="S497" s="178">
        <f>IFERROR(VLOOKUP(G497,'附表8-合同明细采集底稿'!B:N,12,0),100%)</f>
        <v>1</v>
      </c>
      <c r="T497" s="167">
        <f t="shared" si="53"/>
        <v>550458.72</v>
      </c>
      <c r="U497" s="157" t="s">
        <v>2416</v>
      </c>
      <c r="V497" s="179" t="s">
        <v>374</v>
      </c>
      <c r="W497" s="182">
        <f>ROUND(T497*成本分摊比例!$G$13/(成本分摊比例!$G$13+成本分摊比例!$H$13+成本分摊比例!$I$13),2)</f>
        <v>297413.82</v>
      </c>
      <c r="X497" s="182">
        <f>ROUND(T497*成本分摊比例!$H$13/(成本分摊比例!$G$13+成本分摊比例!$H$13+成本分摊比例!$I$13),2)</f>
        <v>196777.18</v>
      </c>
      <c r="Y497" s="182">
        <f t="shared" ref="Y497:Y501" si="58">T497-W497-X497</f>
        <v>56267.72</v>
      </c>
      <c r="Z497" s="183" t="s">
        <v>2406</v>
      </c>
      <c r="AA497" s="157"/>
      <c r="AB497" s="184" t="s">
        <v>2319</v>
      </c>
      <c r="AC497" s="132">
        <f t="shared" si="52"/>
        <v>0</v>
      </c>
    </row>
    <row r="498" s="132" customFormat="1" ht="24" customHeight="1" spans="1:29">
      <c r="A498" s="150">
        <v>492</v>
      </c>
      <c r="B498" s="166" t="s">
        <v>3879</v>
      </c>
      <c r="C498" s="166" t="s">
        <v>3883</v>
      </c>
      <c r="D498" s="157" t="s">
        <v>2533</v>
      </c>
      <c r="E498" s="158" t="s">
        <v>2564</v>
      </c>
      <c r="F498" s="189" t="s">
        <v>3884</v>
      </c>
      <c r="G498" s="156" t="s">
        <v>2886</v>
      </c>
      <c r="H498" s="157" t="str">
        <f>IF(G498="","",VLOOKUP(G498,'附表8-合同明细采集底稿'!B:I,2,0))</f>
        <v>沁春锦苑1#35#楼大门外墙装修合同</v>
      </c>
      <c r="I498" s="165" t="str">
        <f>IF(G498="","",VLOOKUP(G498,'附表8-合同明细采集底稿'!B:I,3,0))</f>
        <v>建设工程合同</v>
      </c>
      <c r="J498" s="187" t="s">
        <v>151</v>
      </c>
      <c r="K498" s="157" t="s">
        <v>2355</v>
      </c>
      <c r="L498" s="166">
        <v>6500203130</v>
      </c>
      <c r="M498" s="555" t="s">
        <v>3885</v>
      </c>
      <c r="N498" s="167">
        <v>514678.9</v>
      </c>
      <c r="O498" s="167">
        <v>561000</v>
      </c>
      <c r="P498" s="167">
        <v>514678.9</v>
      </c>
      <c r="Q498" s="167">
        <v>-277735.458715596</v>
      </c>
      <c r="R498" s="167">
        <f t="shared" si="56"/>
        <v>236943.441284404</v>
      </c>
      <c r="S498" s="178">
        <f>IFERROR(VLOOKUP(G498,'附表8-合同明细采集底稿'!B:N,12,0),100%)</f>
        <v>1</v>
      </c>
      <c r="T498" s="167">
        <f t="shared" si="53"/>
        <v>236943.44</v>
      </c>
      <c r="U498" s="157" t="s">
        <v>2405</v>
      </c>
      <c r="V498" s="179" t="s">
        <v>374</v>
      </c>
      <c r="W498" s="181">
        <v>0</v>
      </c>
      <c r="X498" s="181">
        <v>0</v>
      </c>
      <c r="Y498" s="181">
        <v>236943.44</v>
      </c>
      <c r="Z498" s="183" t="s">
        <v>2406</v>
      </c>
      <c r="AA498" s="157"/>
      <c r="AB498" s="184" t="s">
        <v>2319</v>
      </c>
      <c r="AC498" s="132">
        <f t="shared" si="52"/>
        <v>0</v>
      </c>
    </row>
    <row r="499" s="132" customFormat="1" ht="24" customHeight="1" spans="1:29">
      <c r="A499" s="150">
        <v>493</v>
      </c>
      <c r="B499" s="166" t="s">
        <v>3886</v>
      </c>
      <c r="C499" s="166" t="s">
        <v>3739</v>
      </c>
      <c r="D499" s="157" t="s">
        <v>2339</v>
      </c>
      <c r="E499" s="158" t="s">
        <v>2351</v>
      </c>
      <c r="F499" s="189" t="s">
        <v>3887</v>
      </c>
      <c r="G499" s="156" t="s">
        <v>3888</v>
      </c>
      <c r="H499" s="157" t="str">
        <f>IF(G499="","",VLOOKUP(G499,'附表8-合同明细采集底稿'!B:I,2,0))</f>
        <v>35 号楼消防改造及装修设计项目</v>
      </c>
      <c r="I499" s="165" t="str">
        <f>IF(G499="","",VLOOKUP(G499,'附表8-合同明细采集底稿'!B:I,3,0))</f>
        <v>技术合同</v>
      </c>
      <c r="J499" s="154" t="s">
        <v>3889</v>
      </c>
      <c r="K499" s="157" t="s">
        <v>2355</v>
      </c>
      <c r="L499" s="166">
        <v>6500193160</v>
      </c>
      <c r="M499" s="555" t="s">
        <v>3890</v>
      </c>
      <c r="N499" s="167">
        <v>10396.04</v>
      </c>
      <c r="O499" s="167">
        <v>10500</v>
      </c>
      <c r="P499" s="167">
        <v>10396.04</v>
      </c>
      <c r="Q499" s="167">
        <v>-10396.04</v>
      </c>
      <c r="R499" s="167">
        <f t="shared" si="56"/>
        <v>0</v>
      </c>
      <c r="S499" s="178">
        <f>IFERROR(VLOOKUP(G499,'附表8-合同明细采集底稿'!B:N,12,0),100%)</f>
        <v>1</v>
      </c>
      <c r="T499" s="167">
        <f t="shared" si="53"/>
        <v>0</v>
      </c>
      <c r="U499" s="157" t="s">
        <v>2405</v>
      </c>
      <c r="V499" s="179" t="s">
        <v>374</v>
      </c>
      <c r="W499" s="181">
        <v>0</v>
      </c>
      <c r="X499" s="181">
        <v>0</v>
      </c>
      <c r="Y499" s="181"/>
      <c r="Z499" s="183" t="s">
        <v>2406</v>
      </c>
      <c r="AA499" s="157"/>
      <c r="AB499" s="184" t="s">
        <v>2319</v>
      </c>
      <c r="AC499" s="132">
        <f t="shared" si="52"/>
        <v>0</v>
      </c>
    </row>
    <row r="500" s="132" customFormat="1" ht="24" customHeight="1" spans="1:29">
      <c r="A500" s="150">
        <v>494</v>
      </c>
      <c r="B500" s="166" t="s">
        <v>3891</v>
      </c>
      <c r="C500" s="166" t="s">
        <v>2914</v>
      </c>
      <c r="D500" s="157" t="s">
        <v>2533</v>
      </c>
      <c r="E500" s="158" t="s">
        <v>2564</v>
      </c>
      <c r="F500" s="189" t="s">
        <v>3892</v>
      </c>
      <c r="G500" s="156" t="s">
        <v>2900</v>
      </c>
      <c r="H500" s="157" t="str">
        <f>IF(G500="","",VLOOKUP(G500,'附表8-合同明细采集底稿'!B:I,2,0))</f>
        <v>沁春锦苑25、26、28#施工协议</v>
      </c>
      <c r="I500" s="165" t="str">
        <f>IF(G500="","",VLOOKUP(G500,'附表8-合同明细采集底稿'!B:I,3,0))</f>
        <v>建设工程合同</v>
      </c>
      <c r="J500" s="187" t="s">
        <v>144</v>
      </c>
      <c r="K500" s="157" t="s">
        <v>2355</v>
      </c>
      <c r="L500" s="166">
        <v>6500203130</v>
      </c>
      <c r="M500" s="555" t="s">
        <v>3893</v>
      </c>
      <c r="N500" s="167">
        <v>373563.3</v>
      </c>
      <c r="O500" s="167">
        <v>407184</v>
      </c>
      <c r="P500" s="167">
        <v>373563.3</v>
      </c>
      <c r="Q500" s="167"/>
      <c r="R500" s="167">
        <f t="shared" si="56"/>
        <v>373563.3</v>
      </c>
      <c r="S500" s="178">
        <f>IFERROR(VLOOKUP(G500,'附表8-合同明细采集底稿'!B:N,12,0),100%)</f>
        <v>1</v>
      </c>
      <c r="T500" s="167">
        <f t="shared" si="53"/>
        <v>373563.3</v>
      </c>
      <c r="U500" s="157" t="s">
        <v>2416</v>
      </c>
      <c r="V500" s="179" t="s">
        <v>374</v>
      </c>
      <c r="W500" s="182">
        <f>ROUND(T500*成本分摊比例!$G$13/(成本分摊比例!$G$13+成本分摊比例!$H$13+成本分摊比例!$I$13),2)</f>
        <v>201836.91</v>
      </c>
      <c r="X500" s="182">
        <f>ROUND(T500*成本分摊比例!$H$13/(成本分摊比例!$G$13+成本分摊比例!$H$13+成本分摊比例!$I$13),2)</f>
        <v>133540.86</v>
      </c>
      <c r="Y500" s="182">
        <f t="shared" si="58"/>
        <v>38185.53</v>
      </c>
      <c r="Z500" s="183" t="s">
        <v>2406</v>
      </c>
      <c r="AA500" s="157"/>
      <c r="AB500" s="184" t="s">
        <v>2319</v>
      </c>
      <c r="AC500" s="132">
        <f t="shared" si="52"/>
        <v>0</v>
      </c>
    </row>
    <row r="501" s="132" customFormat="1" ht="24" customHeight="1" spans="1:29">
      <c r="A501" s="150">
        <v>495</v>
      </c>
      <c r="B501" s="166" t="s">
        <v>3894</v>
      </c>
      <c r="C501" s="166" t="s">
        <v>3861</v>
      </c>
      <c r="D501" s="157" t="s">
        <v>2346</v>
      </c>
      <c r="E501" s="158" t="s">
        <v>3509</v>
      </c>
      <c r="F501" s="189" t="s">
        <v>3895</v>
      </c>
      <c r="G501" s="156" t="s">
        <v>3896</v>
      </c>
      <c r="H501" s="157" t="str">
        <f>IF(G501="","",VLOOKUP(G501,'附表8-合同明细采集底稿'!B:I,2,0))</f>
        <v>25-30#天然气安装工程委托建设管理协议书</v>
      </c>
      <c r="I501" s="165" t="str">
        <f>IF(G501="","",VLOOKUP(G501,'附表8-合同明细采集底稿'!B:I,3,0))</f>
        <v>其他合同</v>
      </c>
      <c r="J501" s="169" t="s">
        <v>3512</v>
      </c>
      <c r="K501" s="157" t="s">
        <v>2355</v>
      </c>
      <c r="L501" s="166">
        <v>6500193130</v>
      </c>
      <c r="M501" s="555" t="s">
        <v>3897</v>
      </c>
      <c r="N501" s="167">
        <v>656111.3</v>
      </c>
      <c r="O501" s="167">
        <v>715161.32</v>
      </c>
      <c r="P501" s="167">
        <v>656111.3</v>
      </c>
      <c r="Q501" s="167"/>
      <c r="R501" s="167">
        <f t="shared" si="56"/>
        <v>656111.3</v>
      </c>
      <c r="S501" s="178">
        <f>IFERROR(VLOOKUP(G501,'附表8-合同明细采集底稿'!B:N,12,0),100%)</f>
        <v>1</v>
      </c>
      <c r="T501" s="167">
        <f t="shared" si="53"/>
        <v>656111.3</v>
      </c>
      <c r="U501" s="157" t="s">
        <v>2416</v>
      </c>
      <c r="V501" s="179" t="s">
        <v>374</v>
      </c>
      <c r="W501" s="182">
        <f>ROUND(T501*成本分摊比例!$G$13/(成本分摊比例!$G$13+成本分摊比例!$H$13+成本分摊比例!$I$13),2)</f>
        <v>354498.1</v>
      </c>
      <c r="X501" s="182">
        <f>ROUND(T501*成本分摊比例!$H$13/(成本分摊比例!$G$13+成本分摊比例!$H$13+成本分摊比例!$I$13),2)</f>
        <v>234545.71</v>
      </c>
      <c r="Y501" s="182">
        <f t="shared" si="58"/>
        <v>67067.4900000001</v>
      </c>
      <c r="Z501" s="183" t="s">
        <v>2406</v>
      </c>
      <c r="AA501" s="157"/>
      <c r="AB501" s="184" t="s">
        <v>2319</v>
      </c>
      <c r="AC501" s="132">
        <f t="shared" si="52"/>
        <v>0</v>
      </c>
    </row>
    <row r="502" s="132" customFormat="1" ht="24" customHeight="1" spans="1:29">
      <c r="A502" s="150">
        <v>496</v>
      </c>
      <c r="B502" s="166" t="s">
        <v>3894</v>
      </c>
      <c r="C502" s="166" t="s">
        <v>3861</v>
      </c>
      <c r="D502" s="157" t="s">
        <v>2346</v>
      </c>
      <c r="E502" s="158" t="s">
        <v>3509</v>
      </c>
      <c r="F502" s="189" t="s">
        <v>3895</v>
      </c>
      <c r="G502" s="156" t="s">
        <v>3898</v>
      </c>
      <c r="H502" s="157" t="str">
        <f>IF(G502="","",VLOOKUP(G502,'附表8-合同明细采集底稿'!B:I,2,0))</f>
        <v>32#-34#天然气安装工程委托建设管理协议书</v>
      </c>
      <c r="I502" s="165" t="str">
        <f>IF(G502="","",VLOOKUP(G502,'附表8-合同明细采集底稿'!B:I,3,0))</f>
        <v>其他合同</v>
      </c>
      <c r="J502" s="169" t="s">
        <v>3512</v>
      </c>
      <c r="K502" s="157" t="s">
        <v>2355</v>
      </c>
      <c r="L502" s="166">
        <v>6500193130</v>
      </c>
      <c r="M502" s="555" t="s">
        <v>3899</v>
      </c>
      <c r="N502" s="167">
        <v>213817.24</v>
      </c>
      <c r="O502" s="167">
        <v>233060.79</v>
      </c>
      <c r="P502" s="167">
        <v>213817.24</v>
      </c>
      <c r="Q502" s="167"/>
      <c r="R502" s="167">
        <f t="shared" si="56"/>
        <v>213817.24</v>
      </c>
      <c r="S502" s="178">
        <f>IFERROR(VLOOKUP(G502,'附表8-合同明细采集底稿'!B:N,12,0),100%)</f>
        <v>1</v>
      </c>
      <c r="T502" s="167">
        <f t="shared" si="53"/>
        <v>213817.24</v>
      </c>
      <c r="U502" s="157" t="s">
        <v>2405</v>
      </c>
      <c r="V502" s="179" t="s">
        <v>374</v>
      </c>
      <c r="W502" s="181">
        <v>0</v>
      </c>
      <c r="X502" s="181">
        <v>0</v>
      </c>
      <c r="Y502" s="181">
        <v>213817.24</v>
      </c>
      <c r="Z502" s="183" t="s">
        <v>2406</v>
      </c>
      <c r="AA502" s="157"/>
      <c r="AB502" s="184" t="s">
        <v>2319</v>
      </c>
      <c r="AC502" s="132">
        <f t="shared" si="52"/>
        <v>0</v>
      </c>
    </row>
    <row r="503" s="132" customFormat="1" ht="24" customHeight="1" spans="1:29">
      <c r="A503" s="150">
        <v>497</v>
      </c>
      <c r="B503" s="166" t="s">
        <v>3900</v>
      </c>
      <c r="C503" s="166" t="s">
        <v>3901</v>
      </c>
      <c r="D503" s="157" t="s">
        <v>2470</v>
      </c>
      <c r="E503" s="158" t="s">
        <v>3314</v>
      </c>
      <c r="F503" s="189" t="s">
        <v>3902</v>
      </c>
      <c r="G503" s="156"/>
      <c r="H503" s="157"/>
      <c r="I503" s="165"/>
      <c r="J503" s="187"/>
      <c r="K503" s="157" t="s">
        <v>2317</v>
      </c>
      <c r="L503" s="166"/>
      <c r="M503" s="166"/>
      <c r="N503" s="167">
        <v>19508.58</v>
      </c>
      <c r="O503" s="167">
        <v>19508.58</v>
      </c>
      <c r="P503" s="167">
        <v>19508.58</v>
      </c>
      <c r="Q503" s="167"/>
      <c r="R503" s="167">
        <f t="shared" si="56"/>
        <v>19508.58</v>
      </c>
      <c r="S503" s="202">
        <v>0.338555832480367</v>
      </c>
      <c r="T503" s="167">
        <f t="shared" si="53"/>
        <v>6604.74</v>
      </c>
      <c r="U503" s="157" t="s">
        <v>2344</v>
      </c>
      <c r="V503" s="179" t="s">
        <v>375</v>
      </c>
      <c r="W503" s="180">
        <f>IF('附表1-面积统计表'!$D$29=0,"",IF(AND(V503="共同成本费用",Z503="总建筑面积法"),ROUND(T503/'附表1-面积统计表'!$D$29*'附表1-面积统计表'!$D$5,2),IF(AND(V503="共同成本费用",Z503="可售建筑面积法"),ROUND(T503/'附表1-面积统计表'!$F$29*'附表1-面积统计表'!$F$5,2),"请手工填写")))</f>
        <v>3199.75</v>
      </c>
      <c r="X503" s="180">
        <f>IF(SUM('附表1-面积统计表'!$D$6)=0,"",SUM(T503)-SUM(W503)-SUM(Y503))</f>
        <v>2117.05</v>
      </c>
      <c r="Y503" s="180">
        <f>IF(SUM('附表1-面积统计表'!$D$6)=0,SUM(T503)-SUM(W503),IF('附表1-面积统计表'!$D$29=0,"",IF(AND(V503="共同成本费用",Z503="总建筑面积法"),ROUND(T503/'附表1-面积统计表'!$D$29*'附表1-面积统计表'!$D$7,2),IF(AND(V503="共同成本费用",Z503="可售建筑面积法"),ROUND(T503/'附表1-面积统计表'!$F$29*'附表1-面积统计表'!$F$7,2),"请手工填写"))))</f>
        <v>1287.94</v>
      </c>
      <c r="Z503" s="183" t="s">
        <v>351</v>
      </c>
      <c r="AA503" s="157"/>
      <c r="AB503" s="184" t="s">
        <v>2319</v>
      </c>
      <c r="AC503" s="132">
        <f t="shared" si="52"/>
        <v>0</v>
      </c>
    </row>
    <row r="504" s="132" customFormat="1" ht="24" customHeight="1" spans="1:29">
      <c r="A504" s="150">
        <v>498</v>
      </c>
      <c r="B504" s="166" t="s">
        <v>3903</v>
      </c>
      <c r="C504" s="166" t="s">
        <v>3086</v>
      </c>
      <c r="D504" s="157" t="s">
        <v>2346</v>
      </c>
      <c r="E504" s="158" t="s">
        <v>2453</v>
      </c>
      <c r="F504" s="189" t="s">
        <v>3904</v>
      </c>
      <c r="G504" s="156" t="s">
        <v>3246</v>
      </c>
      <c r="H504" s="157" t="str">
        <f>IF(G504="","",VLOOKUP(G504,'附表8-合同明细采集底稿'!B:I,2,0))</f>
        <v>沁春锦苑一期二批次景观绿化（25-30#）+提升附属合同</v>
      </c>
      <c r="I504" s="165" t="str">
        <f>IF(G504="","",VLOOKUP(G504,'附表8-合同明细采集底稿'!B:I,3,0))</f>
        <v>其他合同</v>
      </c>
      <c r="J504" s="169" t="s">
        <v>2498</v>
      </c>
      <c r="K504" s="157" t="s">
        <v>2355</v>
      </c>
      <c r="L504" s="191">
        <v>6500212130</v>
      </c>
      <c r="M504" s="166" t="s">
        <v>3905</v>
      </c>
      <c r="N504" s="167">
        <v>642201.84</v>
      </c>
      <c r="O504" s="167">
        <v>700000</v>
      </c>
      <c r="P504" s="167">
        <v>642201.84</v>
      </c>
      <c r="Q504" s="167"/>
      <c r="R504" s="167">
        <f t="shared" si="56"/>
        <v>642201.84</v>
      </c>
      <c r="S504" s="178">
        <f>IFERROR(VLOOKUP(G504,'附表8-合同明细采集底稿'!B:N,12,0),100%)</f>
        <v>1</v>
      </c>
      <c r="T504" s="167">
        <f t="shared" si="53"/>
        <v>642201.84</v>
      </c>
      <c r="U504" s="157" t="s">
        <v>2344</v>
      </c>
      <c r="V504" s="179" t="s">
        <v>375</v>
      </c>
      <c r="W504" s="180">
        <f>IF('附表1-面积统计表'!$D$29=0,"",IF(AND(V504="共同成本费用",Z504="总建筑面积法"),ROUND(T504/'附表1-面积统计表'!$D$29*'附表1-面积统计表'!$D$5,2),IF(AND(V504="共同成本费用",Z504="可售建筑面积法"),ROUND(T504/'附表1-面积统计表'!$F$29*'附表1-面积统计表'!$F$5,2),"请手工填写")))</f>
        <v>311123.08</v>
      </c>
      <c r="X504" s="180">
        <f>IF(SUM('附表1-面积统计表'!$D$6)=0,"",SUM(T504)-SUM(W504)-SUM(Y504))</f>
        <v>205847.59</v>
      </c>
      <c r="Y504" s="180">
        <f>IF(SUM('附表1-面积统计表'!$D$6)=0,SUM(T504)-SUM(W504),IF('附表1-面积统计表'!$D$29=0,"",IF(AND(V504="共同成本费用",Z504="总建筑面积法"),ROUND(T504/'附表1-面积统计表'!$D$29*'附表1-面积统计表'!$D$7,2),IF(AND(V504="共同成本费用",Z504="可售建筑面积法"),ROUND(T504/'附表1-面积统计表'!$F$29*'附表1-面积统计表'!$F$7,2),"请手工填写"))))</f>
        <v>125231.17</v>
      </c>
      <c r="Z504" s="183" t="s">
        <v>351</v>
      </c>
      <c r="AA504" s="157"/>
      <c r="AB504" s="184" t="s">
        <v>2319</v>
      </c>
      <c r="AC504" s="132">
        <f t="shared" si="52"/>
        <v>0</v>
      </c>
    </row>
    <row r="505" s="132" customFormat="1" ht="24" customHeight="1" spans="1:29">
      <c r="A505" s="150">
        <v>499</v>
      </c>
      <c r="B505" s="166" t="s">
        <v>3906</v>
      </c>
      <c r="C505" s="166" t="s">
        <v>2937</v>
      </c>
      <c r="D505" s="157" t="s">
        <v>2346</v>
      </c>
      <c r="E505" s="158" t="s">
        <v>2501</v>
      </c>
      <c r="F505" s="189" t="s">
        <v>3907</v>
      </c>
      <c r="G505" s="156" t="s">
        <v>3908</v>
      </c>
      <c r="H505" s="157" t="str">
        <f>IF(G505="","",VLOOKUP(G505,'附表8-合同明细采集底稿'!B:I,2,0))</f>
        <v>（石材）材料购销合同</v>
      </c>
      <c r="I505" s="165" t="str">
        <f>IF(G505="","",VLOOKUP(G505,'附表8-合同明细采集底稿'!B:I,3,0))</f>
        <v>其他合同</v>
      </c>
      <c r="J505" s="165" t="s">
        <v>3909</v>
      </c>
      <c r="K505" s="157" t="s">
        <v>2355</v>
      </c>
      <c r="L505" s="166" t="s">
        <v>2367</v>
      </c>
      <c r="M505" s="166" t="s">
        <v>3910</v>
      </c>
      <c r="N505" s="167">
        <v>339180.2</v>
      </c>
      <c r="O505" s="167">
        <v>342572</v>
      </c>
      <c r="P505" s="167">
        <v>339180.2</v>
      </c>
      <c r="Q505" s="167"/>
      <c r="R505" s="167">
        <f t="shared" si="56"/>
        <v>339180.2</v>
      </c>
      <c r="S505" s="178">
        <f>IFERROR(VLOOKUP(G505,'附表8-合同明细采集底稿'!B:N,12,0),100%)</f>
        <v>0.338555832480367</v>
      </c>
      <c r="T505" s="167">
        <f t="shared" si="53"/>
        <v>114831.43</v>
      </c>
      <c r="U505" s="157" t="s">
        <v>2318</v>
      </c>
      <c r="V505" s="179" t="s">
        <v>375</v>
      </c>
      <c r="W505" s="180">
        <f>IF('附表1-面积统计表'!$D$29=0,"",IF(AND(V505="共同成本费用",Z505="总建筑面积法"),ROUND(T505/'附表1-面积统计表'!$D$29*'附表1-面积统计表'!$D$5,2),IF(AND(V505="共同成本费用",Z505="可售建筑面积法"),ROUND(T505/'附表1-面积统计表'!$F$29*'附表1-面积统计表'!$F$5,2),"请手工填写")))</f>
        <v>55631.59</v>
      </c>
      <c r="X505" s="180">
        <f>IF(SUM('附表1-面积统计表'!$D$6)=0,"",SUM(T505)-SUM(W505)-SUM(Y505))</f>
        <v>36807.39</v>
      </c>
      <c r="Y505" s="180">
        <f>IF(SUM('附表1-面积统计表'!$D$6)=0,SUM(T505)-SUM(W505),IF('附表1-面积统计表'!$D$29=0,"",IF(AND(V505="共同成本费用",Z505="总建筑面积法"),ROUND(T505/'附表1-面积统计表'!$D$29*'附表1-面积统计表'!$D$7,2),IF(AND(V505="共同成本费用",Z505="可售建筑面积法"),ROUND(T505/'附表1-面积统计表'!$F$29*'附表1-面积统计表'!$F$7,2),"请手工填写"))))</f>
        <v>22392.45</v>
      </c>
      <c r="Z505" s="183" t="s">
        <v>351</v>
      </c>
      <c r="AA505" s="157"/>
      <c r="AB505" s="184" t="s">
        <v>2319</v>
      </c>
      <c r="AC505" s="132">
        <f t="shared" si="52"/>
        <v>0</v>
      </c>
    </row>
    <row r="506" s="132" customFormat="1" ht="24" customHeight="1" spans="1:29">
      <c r="A506" s="150">
        <v>500</v>
      </c>
      <c r="B506" s="166" t="s">
        <v>3906</v>
      </c>
      <c r="C506" s="166" t="s">
        <v>2937</v>
      </c>
      <c r="D506" s="157" t="s">
        <v>2346</v>
      </c>
      <c r="E506" s="158" t="s">
        <v>2501</v>
      </c>
      <c r="F506" s="189" t="s">
        <v>3907</v>
      </c>
      <c r="G506" s="156" t="s">
        <v>3908</v>
      </c>
      <c r="H506" s="157" t="str">
        <f>IF(G506="","",VLOOKUP(G506,'附表8-合同明细采集底稿'!B:I,2,0))</f>
        <v>（石材）材料购销合同</v>
      </c>
      <c r="I506" s="165" t="str">
        <f>IF(G506="","",VLOOKUP(G506,'附表8-合同明细采集底稿'!B:I,3,0))</f>
        <v>其他合同</v>
      </c>
      <c r="J506" s="165" t="s">
        <v>3909</v>
      </c>
      <c r="K506" s="157" t="s">
        <v>2355</v>
      </c>
      <c r="L506" s="166" t="s">
        <v>2367</v>
      </c>
      <c r="M506" s="166" t="s">
        <v>3910</v>
      </c>
      <c r="N506" s="167">
        <v>3451.48</v>
      </c>
      <c r="O506" s="167">
        <v>3486</v>
      </c>
      <c r="P506" s="167">
        <v>3451.48</v>
      </c>
      <c r="Q506" s="167">
        <v>172219.801980198</v>
      </c>
      <c r="R506" s="167">
        <f t="shared" si="56"/>
        <v>175671.281980198</v>
      </c>
      <c r="S506" s="178">
        <f>IFERROR(VLOOKUP(G506,'附表8-合同明细采集底稿'!B:N,12,0),100%)</f>
        <v>0.338555832480367</v>
      </c>
      <c r="T506" s="167">
        <f t="shared" si="53"/>
        <v>59474.54</v>
      </c>
      <c r="U506" s="157" t="s">
        <v>2318</v>
      </c>
      <c r="V506" s="179" t="s">
        <v>375</v>
      </c>
      <c r="W506" s="180">
        <f>IF('附表1-面积统计表'!$D$29=0,"",IF(AND(V506="共同成本费用",Z506="总建筑面积法"),ROUND(T506/'附表1-面积统计表'!$D$29*'附表1-面积统计表'!$D$5,2),IF(AND(V506="共同成本费用",Z506="可售建筑面积法"),ROUND(T506/'附表1-面积统计表'!$F$29*'附表1-面积统计表'!$F$5,2),"请手工填写")))</f>
        <v>28813.22</v>
      </c>
      <c r="X506" s="180">
        <f>IF(SUM('附表1-面积统计表'!$D$6)=0,"",SUM(T506)-SUM(W506)-SUM(Y506))</f>
        <v>19063.62</v>
      </c>
      <c r="Y506" s="180">
        <f>IF(SUM('附表1-面积统计表'!$D$6)=0,SUM(T506)-SUM(W506),IF('附表1-面积统计表'!$D$29=0,"",IF(AND(V506="共同成本费用",Z506="总建筑面积法"),ROUND(T506/'附表1-面积统计表'!$D$29*'附表1-面积统计表'!$D$7,2),IF(AND(V506="共同成本费用",Z506="可售建筑面积法"),ROUND(T506/'附表1-面积统计表'!$F$29*'附表1-面积统计表'!$F$7,2),"请手工填写"))))</f>
        <v>11597.7</v>
      </c>
      <c r="Z506" s="183" t="s">
        <v>351</v>
      </c>
      <c r="AA506" s="157"/>
      <c r="AB506" s="184" t="s">
        <v>2319</v>
      </c>
      <c r="AC506" s="132">
        <f t="shared" si="52"/>
        <v>0</v>
      </c>
    </row>
    <row r="507" s="132" customFormat="1" ht="24" customHeight="1" spans="1:29">
      <c r="A507" s="150">
        <v>501</v>
      </c>
      <c r="B507" s="166" t="s">
        <v>3911</v>
      </c>
      <c r="C507" s="166" t="s">
        <v>3912</v>
      </c>
      <c r="D507" s="157" t="s">
        <v>2533</v>
      </c>
      <c r="E507" s="158" t="s">
        <v>2564</v>
      </c>
      <c r="F507" s="189" t="s">
        <v>3913</v>
      </c>
      <c r="G507" s="156" t="s">
        <v>2595</v>
      </c>
      <c r="H507" s="157" t="str">
        <f>IF(G507="","",VLOOKUP(G507,'附表8-合同明细采集底稿'!B:I,2,0))</f>
        <v>19#23#承揽合同（铝合金窗）</v>
      </c>
      <c r="I507" s="165" t="str">
        <f>IF(G507="","",VLOOKUP(G507,'附表8-合同明细采集底稿'!B:I,3,0))</f>
        <v>买卖合同</v>
      </c>
      <c r="J507" s="154" t="s">
        <v>2596</v>
      </c>
      <c r="K507" s="157" t="s">
        <v>2355</v>
      </c>
      <c r="L507" s="191">
        <v>6500203130</v>
      </c>
      <c r="M507" s="166" t="s">
        <v>3914</v>
      </c>
      <c r="N507" s="167">
        <v>350005.31</v>
      </c>
      <c r="O507" s="167">
        <v>395506</v>
      </c>
      <c r="P507" s="167">
        <v>350005.31</v>
      </c>
      <c r="Q507" s="167"/>
      <c r="R507" s="167">
        <f t="shared" si="56"/>
        <v>350005.31</v>
      </c>
      <c r="S507" s="178">
        <f>IFERROR(VLOOKUP(G507,'附表8-合同明细采集底稿'!B:N,12,0),100%)</f>
        <v>1</v>
      </c>
      <c r="T507" s="167">
        <f t="shared" si="53"/>
        <v>350005.31</v>
      </c>
      <c r="U507" s="157" t="s">
        <v>2416</v>
      </c>
      <c r="V507" s="179" t="s">
        <v>374</v>
      </c>
      <c r="W507" s="182">
        <f>ROUND(T507*成本分摊比例!$G$13/(成本分摊比例!$G$13+成本分摊比例!$H$13+成本分摊比例!$I$13),2)</f>
        <v>189108.49</v>
      </c>
      <c r="X507" s="182">
        <f>ROUND(T507*成本分摊比例!$H$13/(成本分摊比例!$G$13+成本分摊比例!$H$13+成本分摊比例!$I$13),2)</f>
        <v>125119.39</v>
      </c>
      <c r="Y507" s="182">
        <f>T507-W507-X507</f>
        <v>35777.43</v>
      </c>
      <c r="Z507" s="183" t="s">
        <v>2406</v>
      </c>
      <c r="AA507" s="157"/>
      <c r="AB507" s="184" t="s">
        <v>2319</v>
      </c>
      <c r="AC507" s="132">
        <f t="shared" si="52"/>
        <v>0</v>
      </c>
    </row>
    <row r="508" s="132" customFormat="1" ht="24" customHeight="1" spans="1:29">
      <c r="A508" s="150">
        <v>502</v>
      </c>
      <c r="B508" s="166" t="s">
        <v>3915</v>
      </c>
      <c r="C508" s="166" t="s">
        <v>3916</v>
      </c>
      <c r="D508" s="157" t="s">
        <v>2346</v>
      </c>
      <c r="E508" s="158" t="s">
        <v>2347</v>
      </c>
      <c r="F508" s="189" t="s">
        <v>3917</v>
      </c>
      <c r="G508" s="156"/>
      <c r="H508" s="157" t="str">
        <f>IF(G508="","",VLOOKUP(G508,'附表8-合同明细采集底稿'!B:I,2,0))</f>
        <v/>
      </c>
      <c r="I508" s="165" t="str">
        <f>IF(G508="","",VLOOKUP(G508,'附表8-合同明细采集底稿'!B:I,3,0))</f>
        <v/>
      </c>
      <c r="J508" s="165"/>
      <c r="K508" s="157" t="s">
        <v>2317</v>
      </c>
      <c r="L508" s="166"/>
      <c r="M508" s="166"/>
      <c r="N508" s="167">
        <v>56315</v>
      </c>
      <c r="O508" s="167">
        <v>0</v>
      </c>
      <c r="P508" s="167">
        <v>56315</v>
      </c>
      <c r="Q508" s="167">
        <v>-56315</v>
      </c>
      <c r="R508" s="167">
        <f t="shared" si="56"/>
        <v>0</v>
      </c>
      <c r="S508" s="178">
        <v>1</v>
      </c>
      <c r="T508" s="167">
        <f t="shared" si="53"/>
        <v>0</v>
      </c>
      <c r="U508" s="157" t="s">
        <v>2641</v>
      </c>
      <c r="V508" s="179" t="s">
        <v>375</v>
      </c>
      <c r="W508" s="180">
        <f>IF('附表1-面积统计表'!$D$29=0,"",IF(AND(V508="共同成本费用",Z508="总建筑面积法"),ROUND(T508/'附表1-面积统计表'!$D$29*'附表1-面积统计表'!$D$5,2),IF(AND(V508="共同成本费用",Z508="可售建筑面积法"),ROUND(T508/'附表1-面积统计表'!$F$29*'附表1-面积统计表'!$F$5,2),"请手工填写")))</f>
        <v>0</v>
      </c>
      <c r="X508" s="180">
        <f>IF(SUM('附表1-面积统计表'!$D$6)=0,"",SUM(T508)-SUM(W508)-SUM(Y508))</f>
        <v>0</v>
      </c>
      <c r="Y508" s="180">
        <f>IF(SUM('附表1-面积统计表'!$D$6)=0,SUM(T508)-SUM(W508),IF('附表1-面积统计表'!$D$29=0,"",IF(AND(V508="共同成本费用",Z508="总建筑面积法"),ROUND(T508/'附表1-面积统计表'!$D$29*'附表1-面积统计表'!$D$7,2),IF(AND(V508="共同成本费用",Z508="可售建筑面积法"),ROUND(T508/'附表1-面积统计表'!$F$29*'附表1-面积统计表'!$F$7,2),"请手工填写"))))</f>
        <v>0</v>
      </c>
      <c r="Z508" s="183" t="s">
        <v>351</v>
      </c>
      <c r="AA508" s="157"/>
      <c r="AB508" s="184" t="s">
        <v>2319</v>
      </c>
      <c r="AC508" s="132">
        <f t="shared" si="52"/>
        <v>0</v>
      </c>
    </row>
    <row r="509" s="132" customFormat="1" ht="24" customHeight="1" spans="1:29">
      <c r="A509" s="150">
        <v>503</v>
      </c>
      <c r="B509" s="166" t="s">
        <v>3918</v>
      </c>
      <c r="C509" s="166" t="s">
        <v>3731</v>
      </c>
      <c r="D509" s="157" t="s">
        <v>2346</v>
      </c>
      <c r="E509" s="158" t="s">
        <v>2453</v>
      </c>
      <c r="F509" s="189" t="s">
        <v>3919</v>
      </c>
      <c r="G509" s="156" t="s">
        <v>2555</v>
      </c>
      <c r="H509" s="157" t="str">
        <f>IF(G509="","",VLOOKUP(G509,'附表8-合同明细采集底稿'!B:I,2,0))</f>
        <v>沁春锦苑小区景观廊架工程</v>
      </c>
      <c r="I509" s="165" t="str">
        <f>IF(G509="","",VLOOKUP(G509,'附表8-合同明细采集底稿'!B:I,3,0))</f>
        <v>其他合同</v>
      </c>
      <c r="J509" s="169" t="s">
        <v>2556</v>
      </c>
      <c r="K509" s="157" t="s">
        <v>2355</v>
      </c>
      <c r="L509" s="191">
        <v>6500203130</v>
      </c>
      <c r="M509" s="166" t="s">
        <v>3920</v>
      </c>
      <c r="N509" s="167">
        <v>176991.16</v>
      </c>
      <c r="O509" s="167">
        <v>200000</v>
      </c>
      <c r="P509" s="167">
        <v>176991.16</v>
      </c>
      <c r="Q509" s="167"/>
      <c r="R509" s="167">
        <f t="shared" si="56"/>
        <v>176991.16</v>
      </c>
      <c r="S509" s="178">
        <f>IFERROR(VLOOKUP(G509,'附表8-合同明细采集底稿'!B:N,12,0),100%)</f>
        <v>0.338555832480367</v>
      </c>
      <c r="T509" s="167">
        <f t="shared" si="53"/>
        <v>59921.39</v>
      </c>
      <c r="U509" s="157" t="s">
        <v>2318</v>
      </c>
      <c r="V509" s="179" t="s">
        <v>375</v>
      </c>
      <c r="W509" s="180">
        <f>IF('附表1-面积统计表'!$D$29=0,"",IF(AND(V509="共同成本费用",Z509="总建筑面积法"),ROUND(T509/'附表1-面积统计表'!$D$29*'附表1-面积统计表'!$D$5,2),IF(AND(V509="共同成本费用",Z509="可售建筑面积法"),ROUND(T509/'附表1-面积统计表'!$F$29*'附表1-面积统计表'!$F$5,2),"请手工填写")))</f>
        <v>29029.7</v>
      </c>
      <c r="X509" s="180">
        <f>IF(SUM('附表1-面积统计表'!$D$6)=0,"",SUM(T509)-SUM(W509)-SUM(Y509))</f>
        <v>19206.85</v>
      </c>
      <c r="Y509" s="180">
        <f>IF(SUM('附表1-面积统计表'!$D$6)=0,SUM(T509)-SUM(W509),IF('附表1-面积统计表'!$D$29=0,"",IF(AND(V509="共同成本费用",Z509="总建筑面积法"),ROUND(T509/'附表1-面积统计表'!$D$29*'附表1-面积统计表'!$D$7,2),IF(AND(V509="共同成本费用",Z509="可售建筑面积法"),ROUND(T509/'附表1-面积统计表'!$F$29*'附表1-面积统计表'!$F$7,2),"请手工填写"))))</f>
        <v>11684.84</v>
      </c>
      <c r="Z509" s="183" t="s">
        <v>351</v>
      </c>
      <c r="AA509" s="157"/>
      <c r="AB509" s="184" t="s">
        <v>2319</v>
      </c>
      <c r="AC509" s="132">
        <f t="shared" si="52"/>
        <v>0</v>
      </c>
    </row>
    <row r="510" s="132" customFormat="1" ht="24" customHeight="1" spans="1:29">
      <c r="A510" s="150">
        <v>504</v>
      </c>
      <c r="B510" s="166" t="s">
        <v>3918</v>
      </c>
      <c r="C510" s="166" t="s">
        <v>3921</v>
      </c>
      <c r="D510" s="157" t="s">
        <v>2533</v>
      </c>
      <c r="E510" s="158" t="s">
        <v>2564</v>
      </c>
      <c r="F510" s="189" t="s">
        <v>3922</v>
      </c>
      <c r="G510" s="156" t="s">
        <v>2958</v>
      </c>
      <c r="H510" s="157" t="str">
        <f>IF(G510="","",VLOOKUP(G510,'附表8-合同明细采集底稿'!B:I,2,0))</f>
        <v>25#26#27#34#断桥铝合金窗工程</v>
      </c>
      <c r="I510" s="165" t="str">
        <f>IF(G510="","",VLOOKUP(G510,'附表8-合同明细采集底稿'!B:I,3,0))</f>
        <v>买卖合同</v>
      </c>
      <c r="J510" s="154" t="s">
        <v>2596</v>
      </c>
      <c r="K510" s="157" t="s">
        <v>2355</v>
      </c>
      <c r="L510" s="191">
        <v>6500203130</v>
      </c>
      <c r="M510" s="166" t="s">
        <v>3923</v>
      </c>
      <c r="N510" s="167">
        <v>97742.89</v>
      </c>
      <c r="O510" s="167">
        <v>110449.47</v>
      </c>
      <c r="P510" s="167">
        <v>97742.89</v>
      </c>
      <c r="Q510" s="167"/>
      <c r="R510" s="167">
        <f t="shared" si="56"/>
        <v>97742.89</v>
      </c>
      <c r="S510" s="178">
        <f>IFERROR(VLOOKUP(G510,'附表8-合同明细采集底稿'!B:N,12,0),100%)</f>
        <v>1</v>
      </c>
      <c r="T510" s="167">
        <f t="shared" si="53"/>
        <v>97742.89</v>
      </c>
      <c r="U510" s="157" t="s">
        <v>2416</v>
      </c>
      <c r="V510" s="179" t="s">
        <v>374</v>
      </c>
      <c r="W510" s="182">
        <f>ROUND(T510*成本分摊比例!$G$13/(成本分摊比例!$G$13+成本分摊比例!$H$13+成本分摊比例!$I$13),2)</f>
        <v>52810.66</v>
      </c>
      <c r="X510" s="182">
        <f>ROUND(T510*成本分摊比例!$H$13/(成本分摊比例!$G$13+成本分摊比例!$H$13+成本分摊比例!$I$13),2)</f>
        <v>34940.99</v>
      </c>
      <c r="Y510" s="182">
        <f>T510-W510-X510</f>
        <v>9991.24</v>
      </c>
      <c r="Z510" s="183" t="s">
        <v>2406</v>
      </c>
      <c r="AA510" s="157"/>
      <c r="AB510" s="184" t="s">
        <v>2319</v>
      </c>
      <c r="AC510" s="132">
        <f t="shared" si="52"/>
        <v>0</v>
      </c>
    </row>
    <row r="511" s="132" customFormat="1" ht="24" customHeight="1" spans="1:29">
      <c r="A511" s="150">
        <v>505</v>
      </c>
      <c r="B511" s="166" t="s">
        <v>3918</v>
      </c>
      <c r="C511" s="166" t="s">
        <v>3921</v>
      </c>
      <c r="D511" s="157" t="s">
        <v>2533</v>
      </c>
      <c r="E511" s="158" t="s">
        <v>2564</v>
      </c>
      <c r="F511" s="189" t="s">
        <v>3922</v>
      </c>
      <c r="G511" s="156" t="s">
        <v>3924</v>
      </c>
      <c r="H511" s="157" t="str">
        <f>IF(G511="","",VLOOKUP(G511,'附表8-合同明细采集底稿'!B:I,2,0))</f>
        <v>25#26#27#34#断桥铝合金窗工程-34#楼</v>
      </c>
      <c r="I511" s="165" t="str">
        <f>IF(G511="","",VLOOKUP(G511,'附表8-合同明细采集底稿'!B:I,3,0))</f>
        <v>买卖合同</v>
      </c>
      <c r="J511" s="154" t="s">
        <v>2596</v>
      </c>
      <c r="K511" s="157" t="s">
        <v>2355</v>
      </c>
      <c r="L511" s="191">
        <v>6500203130</v>
      </c>
      <c r="M511" s="166" t="s">
        <v>3923</v>
      </c>
      <c r="N511" s="167">
        <v>170487.79</v>
      </c>
      <c r="O511" s="167">
        <v>192651.2</v>
      </c>
      <c r="P511" s="167">
        <v>170487.79</v>
      </c>
      <c r="Q511" s="167"/>
      <c r="R511" s="167">
        <f t="shared" si="56"/>
        <v>170487.79</v>
      </c>
      <c r="S511" s="178">
        <f>IFERROR(VLOOKUP(G511,'附表8-合同明细采集底稿'!B:N,12,0),100%)</f>
        <v>1</v>
      </c>
      <c r="T511" s="167">
        <f t="shared" si="53"/>
        <v>170487.79</v>
      </c>
      <c r="U511" s="157" t="s">
        <v>2405</v>
      </c>
      <c r="V511" s="179" t="s">
        <v>374</v>
      </c>
      <c r="W511" s="181">
        <v>0</v>
      </c>
      <c r="X511" s="181">
        <v>0</v>
      </c>
      <c r="Y511" s="181">
        <v>170487.79</v>
      </c>
      <c r="Z511" s="183" t="s">
        <v>2406</v>
      </c>
      <c r="AA511" s="157"/>
      <c r="AB511" s="184" t="s">
        <v>2319</v>
      </c>
      <c r="AC511" s="132">
        <f t="shared" si="52"/>
        <v>0</v>
      </c>
    </row>
    <row r="512" s="132" customFormat="1" ht="24" customHeight="1" spans="1:29">
      <c r="A512" s="150">
        <v>506</v>
      </c>
      <c r="B512" s="166" t="s">
        <v>3925</v>
      </c>
      <c r="C512" s="166" t="s">
        <v>3926</v>
      </c>
      <c r="D512" s="157" t="s">
        <v>2533</v>
      </c>
      <c r="E512" s="158" t="s">
        <v>2534</v>
      </c>
      <c r="F512" s="189" t="s">
        <v>3927</v>
      </c>
      <c r="G512" s="156"/>
      <c r="H512" s="157" t="str">
        <f>IF(G512="","",VLOOKUP(G512,'附表8-合同明细采集底稿'!B:I,2,0))</f>
        <v/>
      </c>
      <c r="I512" s="165" t="str">
        <f>IF(G512="","",VLOOKUP(G512,'附表8-合同明细采集底稿'!B:I,3,0))</f>
        <v/>
      </c>
      <c r="J512" s="154" t="s">
        <v>3928</v>
      </c>
      <c r="K512" s="157" t="s">
        <v>2335</v>
      </c>
      <c r="L512" s="168" t="s">
        <v>2336</v>
      </c>
      <c r="M512" s="166" t="s">
        <v>3929</v>
      </c>
      <c r="N512" s="167">
        <v>106000</v>
      </c>
      <c r="O512" s="167">
        <v>106000</v>
      </c>
      <c r="P512" s="167">
        <v>106000</v>
      </c>
      <c r="Q512" s="167">
        <v>-106000</v>
      </c>
      <c r="R512" s="167">
        <f t="shared" si="56"/>
        <v>0</v>
      </c>
      <c r="S512" s="178">
        <v>1</v>
      </c>
      <c r="T512" s="167">
        <f t="shared" si="53"/>
        <v>0</v>
      </c>
      <c r="U512" s="157" t="s">
        <v>2641</v>
      </c>
      <c r="V512" s="179" t="s">
        <v>375</v>
      </c>
      <c r="W512" s="180">
        <f>IF('附表1-面积统计表'!$D$29=0,"",IF(AND(V512="共同成本费用",Z512="总建筑面积法"),ROUND(T512/'附表1-面积统计表'!$D$29*'附表1-面积统计表'!$D$5,2),IF(AND(V512="共同成本费用",Z512="可售建筑面积法"),ROUND(T512/'附表1-面积统计表'!$F$29*'附表1-面积统计表'!$F$5,2),"请手工填写")))</f>
        <v>0</v>
      </c>
      <c r="X512" s="180">
        <f>IF(SUM('附表1-面积统计表'!$D$6)=0,"",SUM(T512)-SUM(W512)-SUM(Y512))</f>
        <v>0</v>
      </c>
      <c r="Y512" s="180">
        <f>IF(SUM('附表1-面积统计表'!$D$6)=0,SUM(T512)-SUM(W512),IF('附表1-面积统计表'!$D$29=0,"",IF(AND(V512="共同成本费用",Z512="总建筑面积法"),ROUND(T512/'附表1-面积统计表'!$D$29*'附表1-面积统计表'!$D$7,2),IF(AND(V512="共同成本费用",Z512="可售建筑面积法"),ROUND(T512/'附表1-面积统计表'!$F$29*'附表1-面积统计表'!$F$7,2),"请手工填写"))))</f>
        <v>0</v>
      </c>
      <c r="Z512" s="183" t="s">
        <v>351</v>
      </c>
      <c r="AA512" s="157"/>
      <c r="AB512" s="184" t="s">
        <v>2319</v>
      </c>
      <c r="AC512" s="132">
        <f t="shared" si="52"/>
        <v>0</v>
      </c>
    </row>
    <row r="513" s="132" customFormat="1" ht="24" customHeight="1" spans="1:29">
      <c r="A513" s="150">
        <v>507</v>
      </c>
      <c r="B513" s="166" t="s">
        <v>3925</v>
      </c>
      <c r="C513" s="166" t="s">
        <v>3930</v>
      </c>
      <c r="D513" s="157" t="s">
        <v>2331</v>
      </c>
      <c r="E513" s="158" t="s">
        <v>3095</v>
      </c>
      <c r="F513" s="189" t="s">
        <v>3931</v>
      </c>
      <c r="G513" s="156" t="s">
        <v>3932</v>
      </c>
      <c r="H513" s="157" t="str">
        <f>IF(G513="","",VLOOKUP(G513,'附表8-合同明细采集底稿'!B:I,2,0))</f>
        <v>沁春锦苑35#楼东侧停车棚安装合同</v>
      </c>
      <c r="I513" s="165" t="str">
        <f>IF(G513="","",VLOOKUP(G513,'附表8-合同明细采集底稿'!B:I,3,0))</f>
        <v>其他合同</v>
      </c>
      <c r="J513" s="187" t="s">
        <v>2556</v>
      </c>
      <c r="K513" s="157" t="s">
        <v>2355</v>
      </c>
      <c r="L513" s="166">
        <v>6500203130</v>
      </c>
      <c r="M513" s="166" t="s">
        <v>3933</v>
      </c>
      <c r="N513" s="167">
        <v>26902.65</v>
      </c>
      <c r="O513" s="167">
        <v>30400</v>
      </c>
      <c r="P513" s="167">
        <v>26902.65</v>
      </c>
      <c r="Q513" s="167"/>
      <c r="R513" s="167">
        <f t="shared" si="56"/>
        <v>26902.65</v>
      </c>
      <c r="S513" s="178">
        <f>IFERROR(VLOOKUP(G513,'附表8-合同明细采集底稿'!B:N,12,0),100%)</f>
        <v>0.338555832480367</v>
      </c>
      <c r="T513" s="167">
        <f t="shared" si="53"/>
        <v>9108.05</v>
      </c>
      <c r="U513" s="157" t="s">
        <v>3629</v>
      </c>
      <c r="V513" s="179" t="s">
        <v>375</v>
      </c>
      <c r="W513" s="180">
        <f>IF('附表1-面积统计表'!$D$29=0,"",IF(AND(V513="共同成本费用",Z513="总建筑面积法"),ROUND(T513/'附表1-面积统计表'!$D$29*'附表1-面积统计表'!$D$5,2),IF(AND(V513="共同成本费用",Z513="可售建筑面积法"),ROUND(T513/'附表1-面积统计表'!$F$29*'附表1-面积统计表'!$F$5,2),"请手工填写")))</f>
        <v>4412.51</v>
      </c>
      <c r="X513" s="180">
        <f>IF(SUM('附表1-面积统计表'!$D$6)=0,"",SUM(T513)-SUM(W513)-SUM(Y513))</f>
        <v>2919.44</v>
      </c>
      <c r="Y513" s="180">
        <f>IF(SUM('附表1-面积统计表'!$D$6)=0,SUM(T513)-SUM(W513),IF('附表1-面积统计表'!$D$29=0,"",IF(AND(V513="共同成本费用",Z513="总建筑面积法"),ROUND(T513/'附表1-面积统计表'!$D$29*'附表1-面积统计表'!$D$7,2),IF(AND(V513="共同成本费用",Z513="可售建筑面积法"),ROUND(T513/'附表1-面积统计表'!$F$29*'附表1-面积统计表'!$F$7,2),"请手工填写"))))</f>
        <v>1776.1</v>
      </c>
      <c r="Z513" s="183" t="s">
        <v>351</v>
      </c>
      <c r="AA513" s="157"/>
      <c r="AB513" s="184" t="s">
        <v>2319</v>
      </c>
      <c r="AC513" s="132">
        <f t="shared" si="52"/>
        <v>0</v>
      </c>
    </row>
    <row r="514" s="132" customFormat="1" ht="24" customHeight="1" spans="1:29">
      <c r="A514" s="150">
        <v>508</v>
      </c>
      <c r="B514" s="166" t="s">
        <v>3934</v>
      </c>
      <c r="C514" s="166" t="s">
        <v>3667</v>
      </c>
      <c r="D514" s="157" t="s">
        <v>2470</v>
      </c>
      <c r="E514" s="158" t="s">
        <v>3314</v>
      </c>
      <c r="F514" s="189" t="s">
        <v>3935</v>
      </c>
      <c r="G514" s="156"/>
      <c r="H514" s="157"/>
      <c r="I514" s="165"/>
      <c r="J514" s="154"/>
      <c r="K514" s="157" t="s">
        <v>2317</v>
      </c>
      <c r="L514" s="166"/>
      <c r="M514" s="166"/>
      <c r="N514" s="167">
        <v>21505.14</v>
      </c>
      <c r="O514" s="167">
        <v>0</v>
      </c>
      <c r="P514" s="167">
        <v>21505.14</v>
      </c>
      <c r="Q514" s="167"/>
      <c r="R514" s="167">
        <f t="shared" si="56"/>
        <v>21505.14</v>
      </c>
      <c r="S514" s="202">
        <v>0.338555832480367</v>
      </c>
      <c r="T514" s="167">
        <f t="shared" si="53"/>
        <v>7280.69</v>
      </c>
      <c r="U514" s="157" t="s">
        <v>2344</v>
      </c>
      <c r="V514" s="179" t="s">
        <v>375</v>
      </c>
      <c r="W514" s="180">
        <f>IF('附表1-面积统计表'!$D$29=0,"",IF(AND(V514="共同成本费用",Z514="总建筑面积法"),ROUND(T514/'附表1-面积统计表'!$D$29*'附表1-面积统计表'!$D$5,2),IF(AND(V514="共同成本费用",Z514="可售建筑面积法"),ROUND(T514/'附表1-面积统计表'!$F$29*'附表1-面积统计表'!$F$5,2),"请手工填写")))</f>
        <v>3527.23</v>
      </c>
      <c r="X514" s="180">
        <f>IF(SUM('附表1-面积统计表'!$D$6)=0,"",SUM(T514)-SUM(W514)-SUM(Y514))</f>
        <v>2333.7</v>
      </c>
      <c r="Y514" s="180">
        <f>IF(SUM('附表1-面积统计表'!$D$6)=0,SUM(T514)-SUM(W514),IF('附表1-面积统计表'!$D$29=0,"",IF(AND(V514="共同成本费用",Z514="总建筑面积法"),ROUND(T514/'附表1-面积统计表'!$D$29*'附表1-面积统计表'!$D$7,2),IF(AND(V514="共同成本费用",Z514="可售建筑面积法"),ROUND(T514/'附表1-面积统计表'!$F$29*'附表1-面积统计表'!$F$7,2),"请手工填写"))))</f>
        <v>1419.76</v>
      </c>
      <c r="Z514" s="183" t="s">
        <v>351</v>
      </c>
      <c r="AA514" s="157"/>
      <c r="AB514" s="184" t="s">
        <v>2319</v>
      </c>
      <c r="AC514" s="132">
        <f t="shared" si="52"/>
        <v>0</v>
      </c>
    </row>
    <row r="515" s="132" customFormat="1" ht="24" customHeight="1" spans="1:29">
      <c r="A515" s="150">
        <v>509</v>
      </c>
      <c r="B515" s="166" t="s">
        <v>3936</v>
      </c>
      <c r="C515" s="166" t="s">
        <v>2982</v>
      </c>
      <c r="D515" s="157" t="s">
        <v>2533</v>
      </c>
      <c r="E515" s="158" t="s">
        <v>2564</v>
      </c>
      <c r="F515" s="189" t="s">
        <v>3937</v>
      </c>
      <c r="G515" s="156" t="s">
        <v>2900</v>
      </c>
      <c r="H515" s="157" t="str">
        <f>IF(G515="","",VLOOKUP(G515,'附表8-合同明细采集底稿'!B:I,2,0))</f>
        <v>沁春锦苑25、26、28#施工协议</v>
      </c>
      <c r="I515" s="165" t="str">
        <f>IF(G515="","",VLOOKUP(G515,'附表8-合同明细采集底稿'!B:I,3,0))</f>
        <v>建设工程合同</v>
      </c>
      <c r="J515" s="154" t="s">
        <v>144</v>
      </c>
      <c r="K515" s="157" t="s">
        <v>2355</v>
      </c>
      <c r="L515" s="166">
        <v>6500203130</v>
      </c>
      <c r="M515" s="166" t="s">
        <v>3938</v>
      </c>
      <c r="N515" s="167">
        <v>365894.5</v>
      </c>
      <c r="O515" s="167">
        <v>398825</v>
      </c>
      <c r="P515" s="167">
        <v>365894.5</v>
      </c>
      <c r="Q515" s="167"/>
      <c r="R515" s="167">
        <f t="shared" si="56"/>
        <v>365894.5</v>
      </c>
      <c r="S515" s="178">
        <f>IFERROR(VLOOKUP(G515,'附表8-合同明细采集底稿'!B:N,12,0),100%)</f>
        <v>1</v>
      </c>
      <c r="T515" s="167">
        <f t="shared" si="53"/>
        <v>365894.5</v>
      </c>
      <c r="U515" s="157" t="s">
        <v>2416</v>
      </c>
      <c r="V515" s="179" t="s">
        <v>374</v>
      </c>
      <c r="W515" s="182">
        <f>ROUND(T515*成本分摊比例!$G$13/(成本分摊比例!$G$13+成本分摊比例!$H$13+成本分摊比例!$I$13),2)</f>
        <v>197693.45</v>
      </c>
      <c r="X515" s="182">
        <f>ROUND(T515*成本分摊比例!$H$13/(成本分摊比例!$G$13+成本分摊比例!$H$13+成本分摊比例!$I$13),2)</f>
        <v>130799.43</v>
      </c>
      <c r="Y515" s="182">
        <f t="shared" ref="Y515:Y520" si="59">T515-W515-X515</f>
        <v>37401.62</v>
      </c>
      <c r="Z515" s="183" t="s">
        <v>2406</v>
      </c>
      <c r="AA515" s="157"/>
      <c r="AB515" s="184" t="s">
        <v>2319</v>
      </c>
      <c r="AC515" s="132">
        <f t="shared" si="52"/>
        <v>0</v>
      </c>
    </row>
    <row r="516" s="132" customFormat="1" ht="24" customHeight="1" spans="1:29">
      <c r="A516" s="150">
        <v>510</v>
      </c>
      <c r="B516" s="166" t="s">
        <v>231</v>
      </c>
      <c r="C516" s="166" t="s">
        <v>3117</v>
      </c>
      <c r="D516" s="157" t="s">
        <v>2533</v>
      </c>
      <c r="E516" s="158" t="s">
        <v>2534</v>
      </c>
      <c r="F516" s="189" t="s">
        <v>3939</v>
      </c>
      <c r="G516" s="156"/>
      <c r="H516" s="157" t="str">
        <f>IF(G516="","",VLOOKUP(G516,'附表8-合同明细采集底稿'!B:I,2,0))</f>
        <v/>
      </c>
      <c r="I516" s="165" t="str">
        <f>IF(G516="","",VLOOKUP(G516,'附表8-合同明细采集底稿'!B:I,3,0))</f>
        <v/>
      </c>
      <c r="J516" s="154" t="s">
        <v>3940</v>
      </c>
      <c r="K516" s="157" t="s">
        <v>2335</v>
      </c>
      <c r="L516" s="168" t="s">
        <v>2336</v>
      </c>
      <c r="M516" s="166" t="s">
        <v>3941</v>
      </c>
      <c r="N516" s="167">
        <v>415700</v>
      </c>
      <c r="O516" s="167">
        <v>415700</v>
      </c>
      <c r="P516" s="167">
        <v>415700</v>
      </c>
      <c r="Q516" s="167">
        <v>-415700</v>
      </c>
      <c r="R516" s="167">
        <f t="shared" si="56"/>
        <v>0</v>
      </c>
      <c r="S516" s="178">
        <v>0</v>
      </c>
      <c r="T516" s="167">
        <f t="shared" si="53"/>
        <v>0</v>
      </c>
      <c r="U516" s="157" t="s">
        <v>3077</v>
      </c>
      <c r="V516" s="179" t="s">
        <v>375</v>
      </c>
      <c r="W516" s="180">
        <f>IF('附表1-面积统计表'!$D$29=0,"",IF(AND(V516="共同成本费用",Z516="总建筑面积法"),ROUND(T516/'附表1-面积统计表'!$D$29*'附表1-面积统计表'!$D$5,2),IF(AND(V516="共同成本费用",Z516="可售建筑面积法"),ROUND(T516/'附表1-面积统计表'!$F$29*'附表1-面积统计表'!$F$5,2),"请手工填写")))</f>
        <v>0</v>
      </c>
      <c r="X516" s="180">
        <f>IF(SUM('附表1-面积统计表'!$D$6)=0,"",SUM(T516)-SUM(W516)-SUM(Y516))</f>
        <v>0</v>
      </c>
      <c r="Y516" s="180">
        <f>IF(SUM('附表1-面积统计表'!$D$6)=0,SUM(T516)-SUM(W516),IF('附表1-面积统计表'!$D$29=0,"",IF(AND(V516="共同成本费用",Z516="总建筑面积法"),ROUND(T516/'附表1-面积统计表'!$D$29*'附表1-面积统计表'!$D$7,2),IF(AND(V516="共同成本费用",Z516="可售建筑面积法"),ROUND(T516/'附表1-面积统计表'!$F$29*'附表1-面积统计表'!$F$7,2),"请手工填写"))))</f>
        <v>0</v>
      </c>
      <c r="Z516" s="183" t="s">
        <v>351</v>
      </c>
      <c r="AA516" s="157"/>
      <c r="AB516" s="184" t="s">
        <v>2319</v>
      </c>
      <c r="AC516" s="132">
        <f t="shared" si="52"/>
        <v>0</v>
      </c>
    </row>
    <row r="517" s="132" customFormat="1" ht="24" customHeight="1" spans="1:29">
      <c r="A517" s="150">
        <v>511</v>
      </c>
      <c r="B517" s="166" t="s">
        <v>3942</v>
      </c>
      <c r="C517" s="166" t="s">
        <v>3051</v>
      </c>
      <c r="D517" s="157" t="s">
        <v>2533</v>
      </c>
      <c r="E517" s="158" t="s">
        <v>2564</v>
      </c>
      <c r="F517" s="189" t="s">
        <v>3943</v>
      </c>
      <c r="G517" s="156" t="s">
        <v>3944</v>
      </c>
      <c r="H517" s="157" t="str">
        <f>IF(G517="","",VLOOKUP(G517,'附表8-合同明细采集底稿'!B:I,2,0))</f>
        <v>1#、25-30#、32-35#</v>
      </c>
      <c r="I517" s="165" t="str">
        <f>IF(G517="","",VLOOKUP(G517,'附表8-合同明细采集底稿'!B:I,3,0))</f>
        <v>其他合同</v>
      </c>
      <c r="J517" s="154" t="s">
        <v>3945</v>
      </c>
      <c r="K517" s="157" t="s">
        <v>2355</v>
      </c>
      <c r="L517" s="166">
        <v>6500193130</v>
      </c>
      <c r="M517" s="166" t="s">
        <v>3946</v>
      </c>
      <c r="N517" s="167">
        <v>38480.23</v>
      </c>
      <c r="O517" s="167">
        <v>38865.03</v>
      </c>
      <c r="P517" s="167">
        <v>38480.23</v>
      </c>
      <c r="Q517" s="167"/>
      <c r="R517" s="167">
        <f t="shared" si="56"/>
        <v>38480.23</v>
      </c>
      <c r="S517" s="178">
        <f>IFERROR(VLOOKUP(G517,'附表8-合同明细采集底稿'!B:N,12,0),100%)</f>
        <v>1</v>
      </c>
      <c r="T517" s="167">
        <f t="shared" si="53"/>
        <v>38480.23</v>
      </c>
      <c r="U517" s="157" t="s">
        <v>2344</v>
      </c>
      <c r="V517" s="179" t="s">
        <v>375</v>
      </c>
      <c r="W517" s="180">
        <f>IF('附表1-面积统计表'!$D$29=0,"",IF(AND(V517="共同成本费用",Z517="总建筑面积法"),ROUND(T517/'附表1-面积统计表'!$D$29*'附表1-面积统计表'!$D$5,2),IF(AND(V517="共同成本费用",Z517="可售建筑面积法"),ROUND(T517/'附表1-面积统计表'!$F$29*'附表1-面积统计表'!$F$5,2),"请手工填写")))</f>
        <v>18642.25</v>
      </c>
      <c r="X517" s="180">
        <f>IF(SUM('附表1-面积统计表'!$D$6)=0,"",SUM(T517)-SUM(W517)-SUM(Y517))</f>
        <v>12334.23</v>
      </c>
      <c r="Y517" s="180">
        <f>IF(SUM('附表1-面积统计表'!$D$6)=0,SUM(T517)-SUM(W517),IF('附表1-面积统计表'!$D$29=0,"",IF(AND(V517="共同成本费用",Z517="总建筑面积法"),ROUND(T517/'附表1-面积统计表'!$D$29*'附表1-面积统计表'!$D$7,2),IF(AND(V517="共同成本费用",Z517="可售建筑面积法"),ROUND(T517/'附表1-面积统计表'!$F$29*'附表1-面积统计表'!$F$7,2),"请手工填写"))))</f>
        <v>7503.75</v>
      </c>
      <c r="Z517" s="183" t="s">
        <v>351</v>
      </c>
      <c r="AA517" s="157"/>
      <c r="AB517" s="184" t="s">
        <v>2319</v>
      </c>
      <c r="AC517" s="132">
        <f t="shared" si="52"/>
        <v>0</v>
      </c>
    </row>
    <row r="518" s="132" customFormat="1" ht="24" customHeight="1" spans="1:29">
      <c r="A518" s="150">
        <v>512</v>
      </c>
      <c r="B518" s="166" t="s">
        <v>3947</v>
      </c>
      <c r="C518" s="166" t="s">
        <v>3508</v>
      </c>
      <c r="D518" s="157" t="s">
        <v>2533</v>
      </c>
      <c r="E518" s="158" t="s">
        <v>2564</v>
      </c>
      <c r="F518" s="189" t="s">
        <v>3948</v>
      </c>
      <c r="G518" s="156" t="s">
        <v>2900</v>
      </c>
      <c r="H518" s="157" t="str">
        <f>IF(G518="","",VLOOKUP(G518,'附表8-合同明细采集底稿'!B:I,2,0))</f>
        <v>沁春锦苑25、26、28#施工协议</v>
      </c>
      <c r="I518" s="165" t="str">
        <f>IF(G518="","",VLOOKUP(G518,'附表8-合同明细采集底稿'!B:I,3,0))</f>
        <v>建设工程合同</v>
      </c>
      <c r="J518" s="154" t="s">
        <v>144</v>
      </c>
      <c r="K518" s="157" t="s">
        <v>2355</v>
      </c>
      <c r="L518" s="166">
        <v>6500203130</v>
      </c>
      <c r="M518" s="166" t="s">
        <v>3949</v>
      </c>
      <c r="N518" s="167">
        <v>674450.46</v>
      </c>
      <c r="O518" s="167">
        <v>735151</v>
      </c>
      <c r="P518" s="167">
        <v>674450.46</v>
      </c>
      <c r="Q518" s="167"/>
      <c r="R518" s="167">
        <f t="shared" si="56"/>
        <v>674450.46</v>
      </c>
      <c r="S518" s="178">
        <f>IFERROR(VLOOKUP(G518,'附表8-合同明细采集底稿'!B:N,12,0),100%)</f>
        <v>1</v>
      </c>
      <c r="T518" s="167">
        <f t="shared" si="53"/>
        <v>674450.46</v>
      </c>
      <c r="U518" s="157" t="s">
        <v>2416</v>
      </c>
      <c r="V518" s="179" t="s">
        <v>374</v>
      </c>
      <c r="W518" s="182">
        <f>ROUND(T518*成本分摊比例!$G$13/(成本分摊比例!$G$13+成本分摊比例!$H$13+成本分摊比例!$I$13),2)</f>
        <v>364406.78</v>
      </c>
      <c r="X518" s="182">
        <f>ROUND(T518*成本分摊比例!$H$13/(成本分摊比例!$G$13+成本分摊比例!$H$13+成本分摊比例!$I$13),2)</f>
        <v>241101.56</v>
      </c>
      <c r="Y518" s="182">
        <f t="shared" si="59"/>
        <v>68942.1199999999</v>
      </c>
      <c r="Z518" s="183" t="s">
        <v>2406</v>
      </c>
      <c r="AA518" s="157"/>
      <c r="AB518" s="184" t="s">
        <v>2319</v>
      </c>
      <c r="AC518" s="132">
        <f t="shared" si="52"/>
        <v>0</v>
      </c>
    </row>
    <row r="519" s="132" customFormat="1" ht="24" customHeight="1" spans="1:29">
      <c r="A519" s="150">
        <v>513</v>
      </c>
      <c r="B519" s="166" t="s">
        <v>3947</v>
      </c>
      <c r="C519" s="166" t="s">
        <v>3950</v>
      </c>
      <c r="D519" s="157" t="s">
        <v>2533</v>
      </c>
      <c r="E519" s="158" t="s">
        <v>2564</v>
      </c>
      <c r="F519" s="189" t="s">
        <v>3951</v>
      </c>
      <c r="G519" s="156" t="s">
        <v>2900</v>
      </c>
      <c r="H519" s="157" t="str">
        <f>IF(G519="","",VLOOKUP(G519,'附表8-合同明细采集底稿'!B:I,2,0))</f>
        <v>沁春锦苑25、26、28#施工协议</v>
      </c>
      <c r="I519" s="165" t="str">
        <f>IF(G519="","",VLOOKUP(G519,'附表8-合同明细采集底稿'!B:I,3,0))</f>
        <v>建设工程合同</v>
      </c>
      <c r="J519" s="154" t="s">
        <v>144</v>
      </c>
      <c r="K519" s="157" t="s">
        <v>2355</v>
      </c>
      <c r="L519" s="191">
        <v>6500203130</v>
      </c>
      <c r="M519" s="166" t="s">
        <v>3952</v>
      </c>
      <c r="N519" s="167">
        <v>1785494.49</v>
      </c>
      <c r="O519" s="167">
        <v>1946189</v>
      </c>
      <c r="P519" s="167">
        <v>1785494.49</v>
      </c>
      <c r="Q519" s="167"/>
      <c r="R519" s="167">
        <f t="shared" si="56"/>
        <v>1785494.49</v>
      </c>
      <c r="S519" s="178">
        <f>IFERROR(VLOOKUP(G519,'附表8-合同明细采集底稿'!B:N,12,0),100%)</f>
        <v>1</v>
      </c>
      <c r="T519" s="167">
        <f t="shared" si="53"/>
        <v>1785494.49</v>
      </c>
      <c r="U519" s="157" t="s">
        <v>2416</v>
      </c>
      <c r="V519" s="179" t="s">
        <v>374</v>
      </c>
      <c r="W519" s="182">
        <f>ROUND(T519*成本分摊比例!$G$13/(成本分摊比例!$G$13+成本分摊比例!$H$13+成本分摊比例!$I$13),2)</f>
        <v>964705.84</v>
      </c>
      <c r="X519" s="182">
        <f>ROUND(T519*成本分摊比例!$H$13/(成本分摊比例!$G$13+成本分摊比例!$H$13+成本分摊比例!$I$13),2)</f>
        <v>638275.96</v>
      </c>
      <c r="Y519" s="182">
        <f t="shared" si="59"/>
        <v>182512.69</v>
      </c>
      <c r="Z519" s="183" t="s">
        <v>2406</v>
      </c>
      <c r="AA519" s="157"/>
      <c r="AB519" s="184" t="s">
        <v>2319</v>
      </c>
      <c r="AC519" s="132">
        <f t="shared" si="52"/>
        <v>0</v>
      </c>
    </row>
    <row r="520" s="132" customFormat="1" ht="24" customHeight="1" spans="1:29">
      <c r="A520" s="150">
        <v>514</v>
      </c>
      <c r="B520" s="166" t="s">
        <v>3947</v>
      </c>
      <c r="C520" s="166" t="s">
        <v>2933</v>
      </c>
      <c r="D520" s="157" t="s">
        <v>2533</v>
      </c>
      <c r="E520" s="158" t="s">
        <v>2564</v>
      </c>
      <c r="F520" s="189" t="s">
        <v>3953</v>
      </c>
      <c r="G520" s="156" t="s">
        <v>2900</v>
      </c>
      <c r="H520" s="157" t="str">
        <f>IF(G520="","",VLOOKUP(G520,'附表8-合同明细采集底稿'!B:I,2,0))</f>
        <v>沁春锦苑25、26、28#施工协议</v>
      </c>
      <c r="I520" s="165" t="str">
        <f>IF(G520="","",VLOOKUP(G520,'附表8-合同明细采集底稿'!B:I,3,0))</f>
        <v>建设工程合同</v>
      </c>
      <c r="J520" s="154" t="s">
        <v>144</v>
      </c>
      <c r="K520" s="157" t="s">
        <v>2355</v>
      </c>
      <c r="L520" s="166">
        <v>6500203130</v>
      </c>
      <c r="M520" s="166" t="s">
        <v>3954</v>
      </c>
      <c r="N520" s="167">
        <v>461423.12</v>
      </c>
      <c r="O520" s="167">
        <v>502951.2</v>
      </c>
      <c r="P520" s="167">
        <v>461423.12</v>
      </c>
      <c r="Q520" s="167"/>
      <c r="R520" s="167">
        <f t="shared" si="56"/>
        <v>461423.12</v>
      </c>
      <c r="S520" s="178">
        <f>IFERROR(VLOOKUP(G520,'附表8-合同明细采集底稿'!B:N,12,0),100%)</f>
        <v>1</v>
      </c>
      <c r="T520" s="167">
        <f t="shared" si="53"/>
        <v>461423.12</v>
      </c>
      <c r="U520" s="157" t="s">
        <v>2416</v>
      </c>
      <c r="V520" s="179" t="s">
        <v>374</v>
      </c>
      <c r="W520" s="182">
        <f>ROUND(T520*成本分摊比例!$G$13/(成本分摊比例!$G$13+成本分摊比例!$H$13+成本分摊比例!$I$13),2)</f>
        <v>249307.73</v>
      </c>
      <c r="X520" s="182">
        <f>ROUND(T520*成本分摊比例!$H$13/(成本分摊比例!$G$13+成本分摊比例!$H$13+成本分摊比例!$I$13),2)</f>
        <v>164948.86</v>
      </c>
      <c r="Y520" s="182">
        <f t="shared" si="59"/>
        <v>47166.53</v>
      </c>
      <c r="Z520" s="183" t="s">
        <v>2406</v>
      </c>
      <c r="AA520" s="157"/>
      <c r="AB520" s="184" t="s">
        <v>2319</v>
      </c>
      <c r="AC520" s="132">
        <f t="shared" ref="AC520:AC583" si="60">T520-W520-X520-Y520</f>
        <v>0</v>
      </c>
    </row>
    <row r="521" s="132" customFormat="1" ht="24" customHeight="1" spans="1:29">
      <c r="A521" s="150">
        <v>515</v>
      </c>
      <c r="B521" s="166" t="s">
        <v>3947</v>
      </c>
      <c r="C521" s="166" t="s">
        <v>3323</v>
      </c>
      <c r="D521" s="157" t="s">
        <v>2533</v>
      </c>
      <c r="E521" s="158" t="s">
        <v>2534</v>
      </c>
      <c r="F521" s="189" t="s">
        <v>3955</v>
      </c>
      <c r="G521" s="156"/>
      <c r="H521" s="157" t="str">
        <f>IF(G521="","",VLOOKUP(G521,'附表8-合同明细采集底稿'!B:I,2,0))</f>
        <v/>
      </c>
      <c r="I521" s="165" t="str">
        <f>IF(G521="","",VLOOKUP(G521,'附表8-合同明细采集底稿'!B:I,3,0))</f>
        <v/>
      </c>
      <c r="J521" s="154" t="s">
        <v>3956</v>
      </c>
      <c r="K521" s="157" t="s">
        <v>2355</v>
      </c>
      <c r="L521" s="166">
        <v>5100212130</v>
      </c>
      <c r="M521" s="166" t="s">
        <v>3957</v>
      </c>
      <c r="N521" s="167">
        <v>49557.52</v>
      </c>
      <c r="O521" s="167">
        <v>6442.48</v>
      </c>
      <c r="P521" s="167">
        <v>49557.52</v>
      </c>
      <c r="Q521" s="167">
        <v>-49557.52</v>
      </c>
      <c r="R521" s="167">
        <f t="shared" si="56"/>
        <v>0</v>
      </c>
      <c r="S521" s="178">
        <v>1</v>
      </c>
      <c r="T521" s="167">
        <f t="shared" ref="T521:T577" si="61">ROUND(SUM(R521)*SUM(S521),2)</f>
        <v>0</v>
      </c>
      <c r="U521" s="157" t="s">
        <v>2641</v>
      </c>
      <c r="V521" s="179" t="s">
        <v>375</v>
      </c>
      <c r="W521" s="180">
        <f>IF('附表1-面积统计表'!$D$29=0,"",IF(AND(V521="共同成本费用",Z521="总建筑面积法"),ROUND(T521/'附表1-面积统计表'!$D$29*'附表1-面积统计表'!$D$5,2),IF(AND(V521="共同成本费用",Z521="可售建筑面积法"),ROUND(T521/'附表1-面积统计表'!$F$29*'附表1-面积统计表'!$F$5,2),"请手工填写")))</f>
        <v>0</v>
      </c>
      <c r="X521" s="180">
        <f>IF(SUM('附表1-面积统计表'!$D$6)=0,"",SUM(T521)-SUM(W521)-SUM(Y521))</f>
        <v>0</v>
      </c>
      <c r="Y521" s="180">
        <f>IF(SUM('附表1-面积统计表'!$D$6)=0,SUM(T521)-SUM(W521),IF('附表1-面积统计表'!$D$29=0,"",IF(AND(V521="共同成本费用",Z521="总建筑面积法"),ROUND(T521/'附表1-面积统计表'!$D$29*'附表1-面积统计表'!$D$7,2),IF(AND(V521="共同成本费用",Z521="可售建筑面积法"),ROUND(T521/'附表1-面积统计表'!$F$29*'附表1-面积统计表'!$F$7,2),"请手工填写"))))</f>
        <v>0</v>
      </c>
      <c r="Z521" s="183" t="s">
        <v>351</v>
      </c>
      <c r="AA521" s="157"/>
      <c r="AB521" s="184" t="s">
        <v>2319</v>
      </c>
      <c r="AC521" s="132">
        <f t="shared" si="60"/>
        <v>0</v>
      </c>
    </row>
    <row r="522" s="132" customFormat="1" ht="24" customHeight="1" spans="1:29">
      <c r="A522" s="150">
        <v>516</v>
      </c>
      <c r="B522" s="166" t="s">
        <v>3958</v>
      </c>
      <c r="C522" s="166" t="s">
        <v>3959</v>
      </c>
      <c r="D522" s="157" t="s">
        <v>2339</v>
      </c>
      <c r="E522" s="158" t="s">
        <v>2370</v>
      </c>
      <c r="F522" s="189" t="s">
        <v>3960</v>
      </c>
      <c r="G522" s="156" t="s">
        <v>3961</v>
      </c>
      <c r="H522" s="157" t="str">
        <f>IF(G522="","",VLOOKUP(G522,'附表8-合同明细采集底稿'!B:I,2,0))</f>
        <v>35#楼竣工测</v>
      </c>
      <c r="I522" s="165" t="str">
        <f>IF(G522="","",VLOOKUP(G522,'附表8-合同明细采集底稿'!B:I,3,0))</f>
        <v>技术合同</v>
      </c>
      <c r="J522" s="154" t="s">
        <v>3764</v>
      </c>
      <c r="K522" s="157" t="s">
        <v>2355</v>
      </c>
      <c r="L522" s="166">
        <v>6500203130</v>
      </c>
      <c r="M522" s="166" t="s">
        <v>3962</v>
      </c>
      <c r="N522" s="167">
        <v>5781.8</v>
      </c>
      <c r="O522" s="167">
        <v>6128.71</v>
      </c>
      <c r="P522" s="167">
        <v>5781.8</v>
      </c>
      <c r="Q522" s="167"/>
      <c r="R522" s="167">
        <f t="shared" si="56"/>
        <v>5781.8</v>
      </c>
      <c r="S522" s="178">
        <f>IFERROR(VLOOKUP(G522,'附表8-合同明细采集底稿'!B:N,12,0),100%)</f>
        <v>1</v>
      </c>
      <c r="T522" s="167">
        <f t="shared" si="61"/>
        <v>5781.8</v>
      </c>
      <c r="U522" s="157" t="s">
        <v>2405</v>
      </c>
      <c r="V522" s="179" t="s">
        <v>374</v>
      </c>
      <c r="W522" s="181">
        <v>0</v>
      </c>
      <c r="X522" s="181">
        <v>0</v>
      </c>
      <c r="Y522" s="181">
        <v>5781.8</v>
      </c>
      <c r="Z522" s="183" t="s">
        <v>2406</v>
      </c>
      <c r="AA522" s="157"/>
      <c r="AB522" s="184" t="s">
        <v>2319</v>
      </c>
      <c r="AC522" s="132">
        <f t="shared" si="60"/>
        <v>0</v>
      </c>
    </row>
    <row r="523" s="132" customFormat="1" ht="24" customHeight="1" spans="1:29">
      <c r="A523" s="150">
        <v>517</v>
      </c>
      <c r="B523" s="166" t="s">
        <v>3958</v>
      </c>
      <c r="C523" s="166" t="s">
        <v>3959</v>
      </c>
      <c r="D523" s="157" t="s">
        <v>2339</v>
      </c>
      <c r="E523" s="158" t="s">
        <v>2370</v>
      </c>
      <c r="F523" s="189" t="s">
        <v>3960</v>
      </c>
      <c r="G523" s="156" t="s">
        <v>3963</v>
      </c>
      <c r="H523" s="157" t="str">
        <f>IF(G523="","",VLOOKUP(G523,'附表8-合同明细采集底稿'!B:I,2,0))</f>
        <v>32-34#楼竣工测</v>
      </c>
      <c r="I523" s="165" t="str">
        <f>IF(G523="","",VLOOKUP(G523,'附表8-合同明细采集底稿'!B:I,3,0))</f>
        <v>技术合同</v>
      </c>
      <c r="J523" s="154" t="s">
        <v>3764</v>
      </c>
      <c r="K523" s="157" t="s">
        <v>2355</v>
      </c>
      <c r="L523" s="166">
        <v>6500203130</v>
      </c>
      <c r="M523" s="166" t="s">
        <v>3962</v>
      </c>
      <c r="N523" s="167">
        <v>12648.87</v>
      </c>
      <c r="O523" s="167">
        <v>13407.8</v>
      </c>
      <c r="P523" s="167">
        <v>12648.87</v>
      </c>
      <c r="Q523" s="167"/>
      <c r="R523" s="167">
        <f t="shared" si="56"/>
        <v>12648.87</v>
      </c>
      <c r="S523" s="178">
        <f>IFERROR(VLOOKUP(G523,'附表8-合同明细采集底稿'!B:N,12,0),100%)</f>
        <v>1</v>
      </c>
      <c r="T523" s="167">
        <f t="shared" si="61"/>
        <v>12648.87</v>
      </c>
      <c r="U523" s="157" t="s">
        <v>2405</v>
      </c>
      <c r="V523" s="179" t="s">
        <v>374</v>
      </c>
      <c r="W523" s="181">
        <v>0</v>
      </c>
      <c r="X523" s="181">
        <v>0</v>
      </c>
      <c r="Y523" s="181">
        <v>12648.87</v>
      </c>
      <c r="Z523" s="183" t="s">
        <v>2406</v>
      </c>
      <c r="AA523" s="157"/>
      <c r="AB523" s="184" t="s">
        <v>2319</v>
      </c>
      <c r="AC523" s="132">
        <f t="shared" si="60"/>
        <v>0</v>
      </c>
    </row>
    <row r="524" s="132" customFormat="1" ht="24" customHeight="1" spans="1:29">
      <c r="A524" s="150">
        <v>518</v>
      </c>
      <c r="B524" s="166" t="s">
        <v>3958</v>
      </c>
      <c r="C524" s="166" t="s">
        <v>3959</v>
      </c>
      <c r="D524" s="157" t="s">
        <v>2339</v>
      </c>
      <c r="E524" s="158" t="s">
        <v>2370</v>
      </c>
      <c r="F524" s="189" t="s">
        <v>3960</v>
      </c>
      <c r="G524" s="156" t="s">
        <v>3964</v>
      </c>
      <c r="H524" s="157" t="str">
        <f>IF(G524="","",VLOOKUP(G524,'附表8-合同明细采集底稿'!B:I,2,0))</f>
        <v>2#3#36#楼竣工测</v>
      </c>
      <c r="I524" s="165" t="str">
        <f>IF(G524="","",VLOOKUP(G524,'附表8-合同明细采集底稿'!B:I,3,0))</f>
        <v>技术合同</v>
      </c>
      <c r="J524" s="154" t="s">
        <v>3764</v>
      </c>
      <c r="K524" s="157" t="s">
        <v>2355</v>
      </c>
      <c r="L524" s="166">
        <v>6500203130</v>
      </c>
      <c r="M524" s="166" t="s">
        <v>3962</v>
      </c>
      <c r="N524" s="167">
        <v>17379.72</v>
      </c>
      <c r="O524" s="167">
        <v>18422.5</v>
      </c>
      <c r="P524" s="167">
        <v>17379.72</v>
      </c>
      <c r="Q524" s="167">
        <v>-17379.72</v>
      </c>
      <c r="R524" s="167">
        <f t="shared" si="56"/>
        <v>0</v>
      </c>
      <c r="S524" s="178">
        <f>IFERROR(VLOOKUP(G524,'附表8-合同明细采集底稿'!B:N,12,0),100%)</f>
        <v>1</v>
      </c>
      <c r="T524" s="167">
        <f t="shared" si="61"/>
        <v>0</v>
      </c>
      <c r="U524" s="157" t="s">
        <v>3680</v>
      </c>
      <c r="V524" s="179" t="s">
        <v>374</v>
      </c>
      <c r="W524" s="181">
        <v>0</v>
      </c>
      <c r="X524" s="181">
        <v>0</v>
      </c>
      <c r="Y524" s="181">
        <v>0</v>
      </c>
      <c r="Z524" s="183" t="s">
        <v>2406</v>
      </c>
      <c r="AA524" s="157"/>
      <c r="AB524" s="184" t="s">
        <v>2319</v>
      </c>
      <c r="AC524" s="132">
        <f t="shared" si="60"/>
        <v>0</v>
      </c>
    </row>
    <row r="525" s="132" customFormat="1" ht="24" customHeight="1" spans="1:29">
      <c r="A525" s="150">
        <v>519</v>
      </c>
      <c r="B525" s="166" t="s">
        <v>3965</v>
      </c>
      <c r="C525" s="166" t="s">
        <v>2973</v>
      </c>
      <c r="D525" s="157" t="s">
        <v>2533</v>
      </c>
      <c r="E525" s="158" t="s">
        <v>2534</v>
      </c>
      <c r="F525" s="189" t="s">
        <v>3966</v>
      </c>
      <c r="G525" s="156"/>
      <c r="H525" s="157" t="str">
        <f>IF(G525="","",VLOOKUP(G525,'附表8-合同明细采集底稿'!B:I,2,0))</f>
        <v/>
      </c>
      <c r="I525" s="165" t="str">
        <f>IF(G525="","",VLOOKUP(G525,'附表8-合同明细采集底稿'!B:I,3,0))</f>
        <v/>
      </c>
      <c r="J525" s="154" t="s">
        <v>3967</v>
      </c>
      <c r="K525" s="157" t="s">
        <v>2335</v>
      </c>
      <c r="L525" s="168" t="s">
        <v>2336</v>
      </c>
      <c r="M525" s="166" t="s">
        <v>3968</v>
      </c>
      <c r="N525" s="167">
        <v>12000</v>
      </c>
      <c r="O525" s="167">
        <v>12000</v>
      </c>
      <c r="P525" s="167">
        <v>12000</v>
      </c>
      <c r="Q525" s="167">
        <v>-12000</v>
      </c>
      <c r="R525" s="167">
        <f t="shared" si="56"/>
        <v>0</v>
      </c>
      <c r="S525" s="178">
        <v>1</v>
      </c>
      <c r="T525" s="167">
        <f t="shared" si="61"/>
        <v>0</v>
      </c>
      <c r="U525" s="157" t="s">
        <v>2405</v>
      </c>
      <c r="V525" s="179" t="s">
        <v>374</v>
      </c>
      <c r="W525" s="181">
        <v>0</v>
      </c>
      <c r="X525" s="181">
        <v>0</v>
      </c>
      <c r="Y525" s="181">
        <v>0</v>
      </c>
      <c r="Z525" s="183" t="s">
        <v>2406</v>
      </c>
      <c r="AA525" s="157"/>
      <c r="AB525" s="184" t="s">
        <v>2319</v>
      </c>
      <c r="AC525" s="132">
        <f t="shared" si="60"/>
        <v>0</v>
      </c>
    </row>
    <row r="526" s="132" customFormat="1" ht="24" customHeight="1" spans="1:29">
      <c r="A526" s="150">
        <v>520</v>
      </c>
      <c r="B526" s="166" t="s">
        <v>3969</v>
      </c>
      <c r="C526" s="166" t="s">
        <v>3970</v>
      </c>
      <c r="D526" s="157" t="s">
        <v>2346</v>
      </c>
      <c r="E526" s="158" t="s">
        <v>2453</v>
      </c>
      <c r="F526" s="189" t="s">
        <v>3971</v>
      </c>
      <c r="G526" s="156" t="s">
        <v>2645</v>
      </c>
      <c r="H526" s="157" t="str">
        <f>IF(G526="","",VLOOKUP(G526,'附表8-合同明细采集底稿'!B:I,2,0))</f>
        <v>专业建设工程设计合同</v>
      </c>
      <c r="I526" s="165" t="str">
        <f>IF(G526="","",VLOOKUP(G526,'附表8-合同明细采集底稿'!B:I,3,0))</f>
        <v>技术合同</v>
      </c>
      <c r="J526" s="165" t="s">
        <v>2498</v>
      </c>
      <c r="K526" s="157" t="s">
        <v>2355</v>
      </c>
      <c r="L526" s="166">
        <v>6500203130</v>
      </c>
      <c r="M526" s="166" t="s">
        <v>3972</v>
      </c>
      <c r="N526" s="167">
        <v>94339.62</v>
      </c>
      <c r="O526" s="167">
        <v>100000</v>
      </c>
      <c r="P526" s="167">
        <v>94339.62</v>
      </c>
      <c r="Q526" s="167"/>
      <c r="R526" s="167">
        <f t="shared" si="56"/>
        <v>94339.62</v>
      </c>
      <c r="S526" s="178">
        <f>IFERROR(VLOOKUP(G526,'附表8-合同明细采集底稿'!B:N,12,0),100%)</f>
        <v>0.338555832480367</v>
      </c>
      <c r="T526" s="167">
        <f t="shared" si="61"/>
        <v>31939.23</v>
      </c>
      <c r="U526" s="157" t="s">
        <v>2318</v>
      </c>
      <c r="V526" s="179" t="s">
        <v>375</v>
      </c>
      <c r="W526" s="180">
        <f>IF('附表1-面积统计表'!$D$29=0,"",IF(AND(V526="共同成本费用",Z526="总建筑面积法"),ROUND(T526/'附表1-面积统计表'!$D$29*'附表1-面积统计表'!$D$5,2),IF(AND(V526="共同成本费用",Z526="可售建筑面积法"),ROUND(T526/'附表1-面积统计表'!$F$29*'附表1-面积统计表'!$F$5,2),"请手工填写")))</f>
        <v>15473.38</v>
      </c>
      <c r="X526" s="180">
        <f>IF(SUM('附表1-面积统计表'!$D$6)=0,"",SUM(T526)-SUM(W526)-SUM(Y526))</f>
        <v>10237.61</v>
      </c>
      <c r="Y526" s="180">
        <f>IF(SUM('附表1-面积统计表'!$D$6)=0,SUM(T526)-SUM(W526),IF('附表1-面积统计表'!$D$29=0,"",IF(AND(V526="共同成本费用",Z526="总建筑面积法"),ROUND(T526/'附表1-面积统计表'!$D$29*'附表1-面积统计表'!$D$7,2),IF(AND(V526="共同成本费用",Z526="可售建筑面积法"),ROUND(T526/'附表1-面积统计表'!$F$29*'附表1-面积统计表'!$F$7,2),"请手工填写"))))</f>
        <v>6228.24</v>
      </c>
      <c r="Z526" s="183" t="s">
        <v>351</v>
      </c>
      <c r="AA526" s="157"/>
      <c r="AB526" s="184" t="s">
        <v>2319</v>
      </c>
      <c r="AC526" s="132">
        <f t="shared" si="60"/>
        <v>0</v>
      </c>
    </row>
    <row r="527" s="132" customFormat="1" ht="24" customHeight="1" spans="1:29">
      <c r="A527" s="150">
        <v>521</v>
      </c>
      <c r="B527" s="166" t="s">
        <v>3973</v>
      </c>
      <c r="C527" s="166" t="s">
        <v>3334</v>
      </c>
      <c r="D527" s="157" t="s">
        <v>2339</v>
      </c>
      <c r="E527" s="158" t="s">
        <v>2370</v>
      </c>
      <c r="F527" s="189" t="s">
        <v>3974</v>
      </c>
      <c r="G527" s="156"/>
      <c r="H527" s="157" t="str">
        <f>IF(G527="","",VLOOKUP(G527,'附表8-合同明细采集底稿'!B:I,2,0))</f>
        <v/>
      </c>
      <c r="I527" s="165" t="str">
        <f>IF(G527="","",VLOOKUP(G527,'附表8-合同明细采集底稿'!B:I,3,0))</f>
        <v/>
      </c>
      <c r="J527" s="154" t="s">
        <v>3780</v>
      </c>
      <c r="K527" s="157" t="s">
        <v>2355</v>
      </c>
      <c r="L527" s="166">
        <v>6500203130</v>
      </c>
      <c r="M527" s="166" t="s">
        <v>3975</v>
      </c>
      <c r="N527" s="167">
        <v>382.35</v>
      </c>
      <c r="O527" s="167">
        <v>405.29</v>
      </c>
      <c r="P527" s="167">
        <v>382.35</v>
      </c>
      <c r="Q527" s="167"/>
      <c r="R527" s="167">
        <f t="shared" si="56"/>
        <v>382.35</v>
      </c>
      <c r="S527" s="178">
        <v>1</v>
      </c>
      <c r="T527" s="167">
        <f t="shared" si="61"/>
        <v>382.35</v>
      </c>
      <c r="U527" s="157" t="s">
        <v>2405</v>
      </c>
      <c r="V527" s="179" t="s">
        <v>374</v>
      </c>
      <c r="W527" s="181">
        <v>0</v>
      </c>
      <c r="X527" s="181">
        <v>0</v>
      </c>
      <c r="Y527" s="181">
        <v>382.35</v>
      </c>
      <c r="Z527" s="183" t="s">
        <v>2406</v>
      </c>
      <c r="AA527" s="157"/>
      <c r="AB527" s="184" t="s">
        <v>2319</v>
      </c>
      <c r="AC527" s="132">
        <f t="shared" si="60"/>
        <v>0</v>
      </c>
    </row>
    <row r="528" s="132" customFormat="1" ht="24" customHeight="1" spans="1:29">
      <c r="A528" s="150">
        <v>522</v>
      </c>
      <c r="B528" s="166" t="s">
        <v>3976</v>
      </c>
      <c r="C528" s="166" t="s">
        <v>3921</v>
      </c>
      <c r="D528" s="157" t="s">
        <v>2533</v>
      </c>
      <c r="E528" s="158" t="s">
        <v>2564</v>
      </c>
      <c r="F528" s="189" t="s">
        <v>3977</v>
      </c>
      <c r="G528" s="156" t="s">
        <v>2900</v>
      </c>
      <c r="H528" s="157" t="str">
        <f>IF(G528="","",VLOOKUP(G528,'附表8-合同明细采集底稿'!B:I,2,0))</f>
        <v>沁春锦苑25、26、28#施工协议</v>
      </c>
      <c r="I528" s="165" t="str">
        <f>IF(G528="","",VLOOKUP(G528,'附表8-合同明细采集底稿'!B:I,3,0))</f>
        <v>建设工程合同</v>
      </c>
      <c r="J528" s="187" t="s">
        <v>144</v>
      </c>
      <c r="K528" s="157" t="s">
        <v>2355</v>
      </c>
      <c r="L528" s="166">
        <v>6500203130</v>
      </c>
      <c r="M528" s="555" t="s">
        <v>3978</v>
      </c>
      <c r="N528" s="167">
        <v>899350.46</v>
      </c>
      <c r="O528" s="167">
        <v>980292</v>
      </c>
      <c r="P528" s="167">
        <v>899350.46</v>
      </c>
      <c r="Q528" s="167"/>
      <c r="R528" s="167">
        <f t="shared" si="56"/>
        <v>899350.46</v>
      </c>
      <c r="S528" s="178">
        <f>IFERROR(VLOOKUP(G528,'附表8-合同明细采集底稿'!B:N,12,0),100%)</f>
        <v>1</v>
      </c>
      <c r="T528" s="167">
        <f t="shared" si="61"/>
        <v>899350.46</v>
      </c>
      <c r="U528" s="157" t="s">
        <v>2416</v>
      </c>
      <c r="V528" s="179" t="s">
        <v>374</v>
      </c>
      <c r="W528" s="182">
        <f>ROUND(T528*成本分摊比例!$G$13/(成本分摊比例!$G$13+成本分摊比例!$H$13+成本分摊比例!$I$13),2)</f>
        <v>485920.65</v>
      </c>
      <c r="X528" s="182">
        <f>ROUND(T528*成本分摊比例!$H$13/(成本分摊比例!$G$13+成本分摊比例!$H$13+成本分摊比例!$I$13),2)</f>
        <v>321498.49</v>
      </c>
      <c r="Y528" s="182">
        <f>T528-W528-X528</f>
        <v>91931.3199999999</v>
      </c>
      <c r="Z528" s="183" t="s">
        <v>2406</v>
      </c>
      <c r="AA528" s="157"/>
      <c r="AB528" s="184" t="s">
        <v>2319</v>
      </c>
      <c r="AC528" s="132">
        <f t="shared" si="60"/>
        <v>0</v>
      </c>
    </row>
    <row r="529" s="132" customFormat="1" ht="24" customHeight="1" spans="1:29">
      <c r="A529" s="150">
        <v>523</v>
      </c>
      <c r="B529" s="166" t="s">
        <v>3979</v>
      </c>
      <c r="C529" s="166" t="s">
        <v>3926</v>
      </c>
      <c r="D529" s="157" t="s">
        <v>2533</v>
      </c>
      <c r="E529" s="158" t="s">
        <v>2564</v>
      </c>
      <c r="F529" s="189" t="s">
        <v>3980</v>
      </c>
      <c r="G529" s="156"/>
      <c r="H529" s="157" t="str">
        <f>IF(G529="","",VLOOKUP(G529,'附表8-合同明细采集底稿'!B:I,2,0))</f>
        <v/>
      </c>
      <c r="I529" s="165" t="str">
        <f>IF(G529="","",VLOOKUP(G529,'附表8-合同明细采集底稿'!B:I,3,0))</f>
        <v/>
      </c>
      <c r="J529" s="154" t="s">
        <v>3981</v>
      </c>
      <c r="K529" s="157" t="s">
        <v>2355</v>
      </c>
      <c r="L529" s="166">
        <v>6500163160</v>
      </c>
      <c r="M529" s="166" t="s">
        <v>3982</v>
      </c>
      <c r="N529" s="167">
        <v>30061.39</v>
      </c>
      <c r="O529" s="167">
        <v>30362</v>
      </c>
      <c r="P529" s="167">
        <v>30061.39</v>
      </c>
      <c r="Q529" s="167"/>
      <c r="R529" s="167">
        <f t="shared" si="56"/>
        <v>30061.39</v>
      </c>
      <c r="S529" s="178">
        <v>1</v>
      </c>
      <c r="T529" s="167">
        <f t="shared" si="61"/>
        <v>30061.39</v>
      </c>
      <c r="U529" s="157" t="s">
        <v>2344</v>
      </c>
      <c r="V529" s="179" t="s">
        <v>375</v>
      </c>
      <c r="W529" s="180">
        <f>IF('附表1-面积统计表'!$D$29=0,"",IF(AND(V529="共同成本费用",Z529="总建筑面积法"),ROUND(T529/'附表1-面积统计表'!$D$29*'附表1-面积统计表'!$D$5,2),IF(AND(V529="共同成本费用",Z529="可售建筑面积法"),ROUND(T529/'附表1-面积统计表'!$F$29*'附表1-面积统计表'!$F$5,2),"请手工填写")))</f>
        <v>14563.63</v>
      </c>
      <c r="X529" s="180">
        <f>IF(SUM('附表1-面积统计表'!$D$6)=0,"",SUM(T529)-SUM(W529)-SUM(Y529))</f>
        <v>9635.7</v>
      </c>
      <c r="Y529" s="180">
        <f>IF(SUM('附表1-面积统计表'!$D$6)=0,SUM(T529)-SUM(W529),IF('附表1-面积统计表'!$D$29=0,"",IF(AND(V529="共同成本费用",Z529="总建筑面积法"),ROUND(T529/'附表1-面积统计表'!$D$29*'附表1-面积统计表'!$D$7,2),IF(AND(V529="共同成本费用",Z529="可售建筑面积法"),ROUND(T529/'附表1-面积统计表'!$F$29*'附表1-面积统计表'!$F$7,2),"请手工填写"))))</f>
        <v>5862.06</v>
      </c>
      <c r="Z529" s="183" t="s">
        <v>351</v>
      </c>
      <c r="AA529" s="157"/>
      <c r="AB529" s="184" t="s">
        <v>2319</v>
      </c>
      <c r="AC529" s="132">
        <f t="shared" si="60"/>
        <v>0</v>
      </c>
    </row>
    <row r="530" s="132" customFormat="1" ht="24" customHeight="1" spans="1:29">
      <c r="A530" s="150">
        <v>524</v>
      </c>
      <c r="B530" s="166" t="s">
        <v>3983</v>
      </c>
      <c r="C530" s="166" t="s">
        <v>3608</v>
      </c>
      <c r="D530" s="157" t="s">
        <v>2533</v>
      </c>
      <c r="E530" s="158" t="s">
        <v>2690</v>
      </c>
      <c r="F530" s="189" t="s">
        <v>3984</v>
      </c>
      <c r="G530" s="156" t="s">
        <v>3009</v>
      </c>
      <c r="H530" s="157" t="str">
        <f>IF(G530="","",VLOOKUP(G530,'附表8-合同明细采集底稿'!B:I,2,0))</f>
        <v>25#-30#电梯销售安装合同</v>
      </c>
      <c r="I530" s="165" t="str">
        <f>IF(G530="","",VLOOKUP(G530,'附表8-合同明细采集底稿'!B:I,3,0))</f>
        <v>买卖合同</v>
      </c>
      <c r="J530" s="154" t="s">
        <v>2999</v>
      </c>
      <c r="K530" s="157" t="s">
        <v>2355</v>
      </c>
      <c r="L530" s="166">
        <v>6500203130</v>
      </c>
      <c r="M530" s="166" t="s">
        <v>3985</v>
      </c>
      <c r="N530" s="167">
        <v>536146.58</v>
      </c>
      <c r="O530" s="167">
        <v>571700</v>
      </c>
      <c r="P530" s="167">
        <v>536146.58</v>
      </c>
      <c r="Q530" s="167"/>
      <c r="R530" s="167">
        <f t="shared" si="56"/>
        <v>536146.58</v>
      </c>
      <c r="S530" s="178">
        <f>IFERROR(VLOOKUP(G530,'附表8-合同明细采集底稿'!B:N,12,0),100%)</f>
        <v>1</v>
      </c>
      <c r="T530" s="167">
        <f t="shared" si="61"/>
        <v>536146.58</v>
      </c>
      <c r="U530" s="157" t="s">
        <v>2416</v>
      </c>
      <c r="V530" s="179" t="s">
        <v>374</v>
      </c>
      <c r="W530" s="182">
        <f>ROUND(T530*成本分摊比例!$G$13/(成本分摊比例!$G$13+成本分摊比例!$H$13+成本分摊比例!$I$13),2)</f>
        <v>289680.95</v>
      </c>
      <c r="X530" s="182">
        <f>ROUND(T530*成本分摊比例!$H$13/(成本分摊比例!$G$13+成本分摊比例!$H$13+成本分摊比例!$I$13),2)</f>
        <v>191660.89</v>
      </c>
      <c r="Y530" s="182">
        <f>T530-W530-X530</f>
        <v>54804.7399999999</v>
      </c>
      <c r="Z530" s="183" t="s">
        <v>2406</v>
      </c>
      <c r="AA530" s="157"/>
      <c r="AB530" s="184" t="s">
        <v>2319</v>
      </c>
      <c r="AC530" s="132">
        <f t="shared" si="60"/>
        <v>0</v>
      </c>
    </row>
    <row r="531" s="132" customFormat="1" ht="24" customHeight="1" spans="1:29">
      <c r="A531" s="150">
        <v>525</v>
      </c>
      <c r="B531" s="166" t="s">
        <v>3983</v>
      </c>
      <c r="C531" s="166" t="s">
        <v>3200</v>
      </c>
      <c r="D531" s="157" t="s">
        <v>2470</v>
      </c>
      <c r="E531" s="158" t="s">
        <v>3314</v>
      </c>
      <c r="F531" s="189" t="s">
        <v>3470</v>
      </c>
      <c r="G531" s="156"/>
      <c r="H531" s="157"/>
      <c r="I531" s="165"/>
      <c r="J531" s="154"/>
      <c r="K531" s="157" t="s">
        <v>2317</v>
      </c>
      <c r="L531" s="166"/>
      <c r="M531" s="166"/>
      <c r="N531" s="167">
        <v>18112.47</v>
      </c>
      <c r="O531" s="167">
        <v>0</v>
      </c>
      <c r="P531" s="167">
        <v>18112.47</v>
      </c>
      <c r="Q531" s="167"/>
      <c r="R531" s="167">
        <f t="shared" si="56"/>
        <v>18112.47</v>
      </c>
      <c r="S531" s="202">
        <v>0.338555832480367</v>
      </c>
      <c r="T531" s="167">
        <f t="shared" si="61"/>
        <v>6132.08</v>
      </c>
      <c r="U531" s="157" t="s">
        <v>2344</v>
      </c>
      <c r="V531" s="179" t="s">
        <v>375</v>
      </c>
      <c r="W531" s="180">
        <f>IF('附表1-面积统计表'!$D$29=0,"",IF(AND(V531="共同成本费用",Z531="总建筑面积法"),ROUND(T531/'附表1-面积统计表'!$D$29*'附表1-面积统计表'!$D$5,2),IF(AND(V531="共同成本费用",Z531="可售建筑面积法"),ROUND(T531/'附表1-面积统计表'!$F$29*'附表1-面积统计表'!$F$5,2),"请手工填写")))</f>
        <v>2970.77</v>
      </c>
      <c r="X531" s="180">
        <f>IF(SUM('附表1-面积统计表'!$D$6)=0,"",SUM(T531)-SUM(W531)-SUM(Y531))</f>
        <v>1965.54</v>
      </c>
      <c r="Y531" s="180">
        <f>IF(SUM('附表1-面积统计表'!$D$6)=0,SUM(T531)-SUM(W531),IF('附表1-面积统计表'!$D$29=0,"",IF(AND(V531="共同成本费用",Z531="总建筑面积法"),ROUND(T531/'附表1-面积统计表'!$D$29*'附表1-面积统计表'!$D$7,2),IF(AND(V531="共同成本费用",Z531="可售建筑面积法"),ROUND(T531/'附表1-面积统计表'!$F$29*'附表1-面积统计表'!$F$7,2),"请手工填写"))))</f>
        <v>1195.77</v>
      </c>
      <c r="Z531" s="183" t="s">
        <v>351</v>
      </c>
      <c r="AA531" s="157"/>
      <c r="AB531" s="184" t="s">
        <v>2319</v>
      </c>
      <c r="AC531" s="132">
        <f t="shared" si="60"/>
        <v>0</v>
      </c>
    </row>
    <row r="532" s="132" customFormat="1" ht="24" customHeight="1" spans="1:29">
      <c r="A532" s="150">
        <v>526</v>
      </c>
      <c r="B532" s="166" t="s">
        <v>3983</v>
      </c>
      <c r="C532" s="166" t="s">
        <v>3986</v>
      </c>
      <c r="D532" s="157" t="s">
        <v>2533</v>
      </c>
      <c r="E532" s="158" t="s">
        <v>2564</v>
      </c>
      <c r="F532" s="189" t="s">
        <v>3987</v>
      </c>
      <c r="G532" s="156" t="s">
        <v>2900</v>
      </c>
      <c r="H532" s="157" t="str">
        <f>IF(G532="","",VLOOKUP(G532,'附表8-合同明细采集底稿'!B:I,2,0))</f>
        <v>沁春锦苑25、26、28#施工协议</v>
      </c>
      <c r="I532" s="165" t="str">
        <f>IF(G532="","",VLOOKUP(G532,'附表8-合同明细采集底稿'!B:I,3,0))</f>
        <v>建设工程合同</v>
      </c>
      <c r="J532" s="154" t="s">
        <v>144</v>
      </c>
      <c r="K532" s="157" t="s">
        <v>2355</v>
      </c>
      <c r="L532" s="166">
        <v>6500203130</v>
      </c>
      <c r="M532" s="166" t="s">
        <v>3988</v>
      </c>
      <c r="N532" s="167">
        <v>733944.95</v>
      </c>
      <c r="O532" s="167">
        <v>800000</v>
      </c>
      <c r="P532" s="167">
        <v>733944.95</v>
      </c>
      <c r="Q532" s="167"/>
      <c r="R532" s="167">
        <f t="shared" si="56"/>
        <v>733944.95</v>
      </c>
      <c r="S532" s="178">
        <f>IFERROR(VLOOKUP(G532,'附表8-合同明细采集底稿'!B:N,12,0),100%)</f>
        <v>1</v>
      </c>
      <c r="T532" s="167">
        <f t="shared" si="61"/>
        <v>733944.95</v>
      </c>
      <c r="U532" s="157" t="s">
        <v>2405</v>
      </c>
      <c r="V532" s="179" t="s">
        <v>374</v>
      </c>
      <c r="W532" s="182">
        <v>0</v>
      </c>
      <c r="X532" s="182">
        <v>0</v>
      </c>
      <c r="Y532" s="182">
        <v>733944.95</v>
      </c>
      <c r="Z532" s="183" t="s">
        <v>2406</v>
      </c>
      <c r="AA532" s="157"/>
      <c r="AB532" s="184" t="s">
        <v>2319</v>
      </c>
      <c r="AC532" s="132">
        <f t="shared" si="60"/>
        <v>0</v>
      </c>
    </row>
    <row r="533" s="132" customFormat="1" ht="24" customHeight="1" spans="1:29">
      <c r="A533" s="150">
        <v>527</v>
      </c>
      <c r="B533" s="166" t="s">
        <v>3989</v>
      </c>
      <c r="C533" s="166" t="s">
        <v>3990</v>
      </c>
      <c r="D533" s="157" t="s">
        <v>2346</v>
      </c>
      <c r="E533" s="158" t="s">
        <v>2656</v>
      </c>
      <c r="F533" s="189" t="s">
        <v>3991</v>
      </c>
      <c r="G533" s="156"/>
      <c r="H533" s="157" t="str">
        <f>IF(G533="","",VLOOKUP(G533,'附表8-合同明细采集底稿'!B:I,2,0))</f>
        <v/>
      </c>
      <c r="I533" s="165" t="str">
        <f>IF(G533="","",VLOOKUP(G533,'附表8-合同明细采集底稿'!B:I,3,0))</f>
        <v/>
      </c>
      <c r="J533" s="165" t="s">
        <v>3992</v>
      </c>
      <c r="K533" s="157" t="s">
        <v>2355</v>
      </c>
      <c r="L533" s="166">
        <v>3200212130</v>
      </c>
      <c r="M533" s="166" t="s">
        <v>3993</v>
      </c>
      <c r="N533" s="167">
        <v>53097.35</v>
      </c>
      <c r="O533" s="167">
        <v>60000</v>
      </c>
      <c r="P533" s="167">
        <v>53097.35</v>
      </c>
      <c r="Q533" s="167"/>
      <c r="R533" s="167">
        <f t="shared" si="56"/>
        <v>53097.35</v>
      </c>
      <c r="S533" s="178">
        <v>1</v>
      </c>
      <c r="T533" s="167">
        <f t="shared" si="61"/>
        <v>53097.35</v>
      </c>
      <c r="U533" s="157" t="s">
        <v>2344</v>
      </c>
      <c r="V533" s="179" t="s">
        <v>375</v>
      </c>
      <c r="W533" s="180">
        <f>IF('附表1-面积统计表'!$D$29=0,"",IF(AND(V533="共同成本费用",Z533="总建筑面积法"),ROUND(T533/'附表1-面积统计表'!$D$29*'附表1-面积统计表'!$D$5,2),IF(AND(V533="共同成本费用",Z533="可售建筑面积法"),ROUND(T533/'附表1-面积统计表'!$F$29*'附表1-面积统计表'!$F$5,2),"请手工填写")))</f>
        <v>25723.71</v>
      </c>
      <c r="X533" s="180">
        <f>IF(SUM('附表1-面积统计表'!$D$6)=0,"",SUM(T533)-SUM(W533)-SUM(Y533))</f>
        <v>17019.51</v>
      </c>
      <c r="Y533" s="180">
        <f>IF(SUM('附表1-面积统计表'!$D$6)=0,SUM(T533)-SUM(W533),IF('附表1-面积统计表'!$D$29=0,"",IF(AND(V533="共同成本费用",Z533="总建筑面积法"),ROUND(T533/'附表1-面积统计表'!$D$29*'附表1-面积统计表'!$D$7,2),IF(AND(V533="共同成本费用",Z533="可售建筑面积法"),ROUND(T533/'附表1-面积统计表'!$F$29*'附表1-面积统计表'!$F$7,2),"请手工填写"))))</f>
        <v>10354.13</v>
      </c>
      <c r="Z533" s="183" t="s">
        <v>351</v>
      </c>
      <c r="AA533" s="157"/>
      <c r="AB533" s="184" t="s">
        <v>2319</v>
      </c>
      <c r="AC533" s="132">
        <f t="shared" si="60"/>
        <v>0</v>
      </c>
    </row>
    <row r="534" s="132" customFormat="1" ht="24" customHeight="1" spans="1:29">
      <c r="A534" s="150">
        <v>528</v>
      </c>
      <c r="B534" s="209" t="s">
        <v>3989</v>
      </c>
      <c r="C534" s="166" t="s">
        <v>2982</v>
      </c>
      <c r="D534" s="157" t="s">
        <v>2331</v>
      </c>
      <c r="E534" s="158" t="s">
        <v>3994</v>
      </c>
      <c r="F534" s="189" t="s">
        <v>3995</v>
      </c>
      <c r="G534" s="156" t="s">
        <v>3996</v>
      </c>
      <c r="H534" s="157" t="str">
        <f>IF(G534="","",VLOOKUP(G534,'附表8-合同明细采集底稿'!B:I,2,0))</f>
        <v>电缆采购合同-公共社区、幼儿园</v>
      </c>
      <c r="I534" s="165" t="str">
        <f>IF(G534="","",VLOOKUP(G534,'附表8-合同明细采集底稿'!B:I,3,0))</f>
        <v>其他合同</v>
      </c>
      <c r="J534" s="169" t="s">
        <v>2963</v>
      </c>
      <c r="K534" s="157" t="s">
        <v>2355</v>
      </c>
      <c r="L534" s="166" t="s">
        <v>3997</v>
      </c>
      <c r="M534" s="166" t="s">
        <v>3998</v>
      </c>
      <c r="N534" s="167">
        <v>34434.51</v>
      </c>
      <c r="O534" s="167">
        <v>38911</v>
      </c>
      <c r="P534" s="167">
        <v>34434.51</v>
      </c>
      <c r="Q534" s="167"/>
      <c r="R534" s="167">
        <f t="shared" si="56"/>
        <v>34434.51</v>
      </c>
      <c r="S534" s="178">
        <f>IFERROR(VLOOKUP(G534,'附表8-合同明细采集底稿'!B:N,12,0),100%)</f>
        <v>0.338555832480367</v>
      </c>
      <c r="T534" s="167">
        <f t="shared" si="61"/>
        <v>11658</v>
      </c>
      <c r="U534" s="157" t="s">
        <v>3999</v>
      </c>
      <c r="V534" s="179" t="s">
        <v>375</v>
      </c>
      <c r="W534" s="180">
        <f>IF('附表1-面积统计表'!$D$29=0,"",IF(AND(V534="共同成本费用",Z534="总建筑面积法"),ROUND(T534/'附表1-面积统计表'!$D$29*'附表1-面积统计表'!$D$5,2),IF(AND(V534="共同成本费用",Z534="可售建筑面积法"),ROUND(T534/'附表1-面积统计表'!$F$29*'附表1-面积统计表'!$F$5,2),"请手工填写")))</f>
        <v>5647.87</v>
      </c>
      <c r="X534" s="180">
        <f>IF(SUM('附表1-面积统计表'!$D$6)=0,"",SUM(T534)-SUM(W534)-SUM(Y534))</f>
        <v>3736.79</v>
      </c>
      <c r="Y534" s="180">
        <f>IF(SUM('附表1-面积统计表'!$D$6)=0,SUM(T534)-SUM(W534),IF('附表1-面积统计表'!$D$29=0,"",IF(AND(V534="共同成本费用",Z534="总建筑面积法"),ROUND(T534/'附表1-面积统计表'!$D$29*'附表1-面积统计表'!$D$7,2),IF(AND(V534="共同成本费用",Z534="可售建筑面积法"),ROUND(T534/'附表1-面积统计表'!$F$29*'附表1-面积统计表'!$F$7,2),"请手工填写"))))</f>
        <v>2273.34</v>
      </c>
      <c r="Z534" s="183" t="s">
        <v>351</v>
      </c>
      <c r="AA534" s="157"/>
      <c r="AB534" s="184" t="s">
        <v>2319</v>
      </c>
      <c r="AC534" s="132">
        <f t="shared" si="60"/>
        <v>0</v>
      </c>
    </row>
    <row r="535" s="132" customFormat="1" ht="24" customHeight="1" spans="1:29">
      <c r="A535" s="150">
        <v>529</v>
      </c>
      <c r="B535" s="166" t="s">
        <v>4000</v>
      </c>
      <c r="C535" s="166" t="s">
        <v>4001</v>
      </c>
      <c r="D535" s="157" t="s">
        <v>2470</v>
      </c>
      <c r="E535" s="158" t="s">
        <v>2471</v>
      </c>
      <c r="F535" s="189" t="s">
        <v>4002</v>
      </c>
      <c r="G535" s="156" t="s">
        <v>3004</v>
      </c>
      <c r="H535" s="157" t="str">
        <f>IF(G535="","",VLOOKUP(G535,'附表8-合同明细采集底稿'!B:I,2,0))</f>
        <v>建设工程监理合同</v>
      </c>
      <c r="I535" s="165" t="str">
        <f>IF(G535="","",VLOOKUP(G535,'附表8-合同明细采集底稿'!B:I,3,0))</f>
        <v>技术合同</v>
      </c>
      <c r="J535" s="154" t="s">
        <v>3696</v>
      </c>
      <c r="K535" s="157" t="s">
        <v>2355</v>
      </c>
      <c r="L535" s="166">
        <v>6500201160</v>
      </c>
      <c r="M535" s="166" t="s">
        <v>4003</v>
      </c>
      <c r="N535" s="167">
        <v>12853.62</v>
      </c>
      <c r="O535" s="167">
        <v>14138.98</v>
      </c>
      <c r="P535" s="167">
        <v>12853.62</v>
      </c>
      <c r="Q535" s="167"/>
      <c r="R535" s="167">
        <f t="shared" si="56"/>
        <v>12853.62</v>
      </c>
      <c r="S535" s="178">
        <f>IFERROR(VLOOKUP(G535,'附表8-合同明细采集底稿'!B:N,12,0),100%)</f>
        <v>1</v>
      </c>
      <c r="T535" s="167">
        <f t="shared" si="61"/>
        <v>12853.62</v>
      </c>
      <c r="U535" s="157" t="s">
        <v>2344</v>
      </c>
      <c r="V535" s="179" t="s">
        <v>375</v>
      </c>
      <c r="W535" s="180">
        <f>IF('附表1-面积统计表'!$D$29=0,"",IF(AND(V535="共同成本费用",Z535="总建筑面积法"),ROUND(T535/'附表1-面积统计表'!$D$29*'附表1-面积统计表'!$D$5,2),IF(AND(V535="共同成本费用",Z535="可售建筑面积法"),ROUND(T535/'附表1-面积统计表'!$F$29*'附表1-面积统计表'!$F$5,2),"请手工填写")))</f>
        <v>6227.1</v>
      </c>
      <c r="X535" s="180">
        <f>IF(SUM('附表1-面积统计表'!$D$6)=0,"",SUM(T535)-SUM(W535)-SUM(Y535))</f>
        <v>4120.03</v>
      </c>
      <c r="Y535" s="180">
        <f>IF(SUM('附表1-面积统计表'!$D$6)=0,SUM(T535)-SUM(W535),IF('附表1-面积统计表'!$D$29=0,"",IF(AND(V535="共同成本费用",Z535="总建筑面积法"),ROUND(T535/'附表1-面积统计表'!$D$29*'附表1-面积统计表'!$D$7,2),IF(AND(V535="共同成本费用",Z535="可售建筑面积法"),ROUND(T535/'附表1-面积统计表'!$F$29*'附表1-面积统计表'!$F$7,2),"请手工填写"))))</f>
        <v>2506.49</v>
      </c>
      <c r="Z535" s="183" t="s">
        <v>351</v>
      </c>
      <c r="AA535" s="157"/>
      <c r="AB535" s="184" t="s">
        <v>2319</v>
      </c>
      <c r="AC535" s="132">
        <f t="shared" si="60"/>
        <v>0</v>
      </c>
    </row>
    <row r="536" s="132" customFormat="1" ht="24" customHeight="1" spans="1:29">
      <c r="A536" s="150">
        <v>530</v>
      </c>
      <c r="B536" s="166" t="s">
        <v>4004</v>
      </c>
      <c r="C536" s="166" t="s">
        <v>3399</v>
      </c>
      <c r="D536" s="157" t="s">
        <v>2346</v>
      </c>
      <c r="E536" s="158" t="s">
        <v>2656</v>
      </c>
      <c r="F536" s="189" t="s">
        <v>4005</v>
      </c>
      <c r="G536" s="156"/>
      <c r="H536" s="157" t="str">
        <f>IF(G536="","",VLOOKUP(G536,'附表8-合同明细采集底稿'!B:I,2,0))</f>
        <v/>
      </c>
      <c r="I536" s="165" t="str">
        <f>IF(G536="","",VLOOKUP(G536,'附表8-合同明细采集底稿'!B:I,3,0))</f>
        <v/>
      </c>
      <c r="J536" s="165" t="s">
        <v>4006</v>
      </c>
      <c r="K536" s="157" t="s">
        <v>2335</v>
      </c>
      <c r="L536" s="168" t="s">
        <v>2336</v>
      </c>
      <c r="M536" s="166" t="s">
        <v>4007</v>
      </c>
      <c r="N536" s="167">
        <v>35524.75</v>
      </c>
      <c r="O536" s="167">
        <v>35880</v>
      </c>
      <c r="P536" s="167">
        <v>35880</v>
      </c>
      <c r="Q536" s="167"/>
      <c r="R536" s="167">
        <f t="shared" si="56"/>
        <v>35880</v>
      </c>
      <c r="S536" s="178">
        <v>1</v>
      </c>
      <c r="T536" s="167">
        <f t="shared" si="61"/>
        <v>35880</v>
      </c>
      <c r="U536" s="157" t="s">
        <v>2344</v>
      </c>
      <c r="V536" s="179" t="s">
        <v>375</v>
      </c>
      <c r="W536" s="180">
        <f>IF('附表1-面积统计表'!$D$29=0,"",IF(AND(V536="共同成本费用",Z536="总建筑面积法"),ROUND(T536/'附表1-面积统计表'!$D$29*'附表1-面积统计表'!$D$5,2),IF(AND(V536="共同成本费用",Z536="可售建筑面积法"),ROUND(T536/'附表1-面积统计表'!$F$29*'附表1-面积统计表'!$F$5,2),"请手工填写")))</f>
        <v>17382.54</v>
      </c>
      <c r="X536" s="180">
        <f>IF(SUM('附表1-面积统计表'!$D$6)=0,"",SUM(T536)-SUM(W536)-SUM(Y536))</f>
        <v>11500.76</v>
      </c>
      <c r="Y536" s="180">
        <f>IF(SUM('附表1-面积统计表'!$D$6)=0,SUM(T536)-SUM(W536),IF('附表1-面积统计表'!$D$29=0,"",IF(AND(V536="共同成本费用",Z536="总建筑面积法"),ROUND(T536/'附表1-面积统计表'!$D$29*'附表1-面积统计表'!$D$7,2),IF(AND(V536="共同成本费用",Z536="可售建筑面积法"),ROUND(T536/'附表1-面积统计表'!$F$29*'附表1-面积统计表'!$F$7,2),"请手工填写"))))</f>
        <v>6996.7</v>
      </c>
      <c r="Z536" s="183" t="s">
        <v>351</v>
      </c>
      <c r="AA536" s="157"/>
      <c r="AB536" s="184" t="s">
        <v>2319</v>
      </c>
      <c r="AC536" s="132">
        <f t="shared" si="60"/>
        <v>0</v>
      </c>
    </row>
    <row r="537" s="132" customFormat="1" ht="24" customHeight="1" spans="1:29">
      <c r="A537" s="150">
        <v>531</v>
      </c>
      <c r="B537" s="166" t="s">
        <v>4008</v>
      </c>
      <c r="C537" s="166" t="s">
        <v>3194</v>
      </c>
      <c r="D537" s="157" t="s">
        <v>2346</v>
      </c>
      <c r="E537" s="158" t="s">
        <v>3509</v>
      </c>
      <c r="F537" s="189" t="s">
        <v>4009</v>
      </c>
      <c r="G537" s="156" t="s">
        <v>3511</v>
      </c>
      <c r="H537" s="157" t="str">
        <f>IF(G537="","",VLOOKUP(G537,'附表8-合同明细采集底稿'!B:I,2,0))</f>
        <v>19#-24#35#天然气安装工程委托建设管理协议书</v>
      </c>
      <c r="I537" s="165" t="str">
        <f>IF(G537="","",VLOOKUP(G537,'附表8-合同明细采集底稿'!B:I,3,0))</f>
        <v>其他合同</v>
      </c>
      <c r="J537" s="165" t="s">
        <v>3512</v>
      </c>
      <c r="K537" s="157" t="s">
        <v>2355</v>
      </c>
      <c r="L537" s="166">
        <v>6500203130</v>
      </c>
      <c r="M537" s="166" t="s">
        <v>4010</v>
      </c>
      <c r="N537" s="167">
        <v>228347.04</v>
      </c>
      <c r="O537" s="167">
        <v>248898.27</v>
      </c>
      <c r="P537" s="167">
        <v>228347.04</v>
      </c>
      <c r="Q537" s="167"/>
      <c r="R537" s="167">
        <f t="shared" si="56"/>
        <v>228347.04</v>
      </c>
      <c r="S537" s="178">
        <f>IFERROR(VLOOKUP(G537,'附表8-合同明细采集底稿'!B:N,12,0),100%)</f>
        <v>1</v>
      </c>
      <c r="T537" s="167">
        <f t="shared" si="61"/>
        <v>228347.04</v>
      </c>
      <c r="U537" s="157" t="s">
        <v>2416</v>
      </c>
      <c r="V537" s="179" t="s">
        <v>374</v>
      </c>
      <c r="W537" s="182">
        <f>ROUND(T537*成本分摊比例!$G$13/(成本分摊比例!$G$13+成本分摊比例!$H$13+成本分摊比例!$I$13),2)</f>
        <v>123376.31</v>
      </c>
      <c r="X537" s="182">
        <f>ROUND(T537*成本分摊比例!$H$13/(成本分摊比例!$G$13+成本分摊比例!$H$13+成本分摊比例!$I$13),2)</f>
        <v>81629.17</v>
      </c>
      <c r="Y537" s="182">
        <f>T537-W537-X537</f>
        <v>23341.56</v>
      </c>
      <c r="Z537" s="183" t="s">
        <v>2406</v>
      </c>
      <c r="AA537" s="157"/>
      <c r="AB537" s="184" t="s">
        <v>2319</v>
      </c>
      <c r="AC537" s="132">
        <f t="shared" si="60"/>
        <v>0</v>
      </c>
    </row>
    <row r="538" s="132" customFormat="1" ht="24" customHeight="1" spans="1:29">
      <c r="A538" s="150">
        <v>532</v>
      </c>
      <c r="B538" s="166" t="s">
        <v>4008</v>
      </c>
      <c r="C538" s="166" t="s">
        <v>3194</v>
      </c>
      <c r="D538" s="157" t="s">
        <v>2346</v>
      </c>
      <c r="E538" s="158" t="s">
        <v>3509</v>
      </c>
      <c r="F538" s="189" t="s">
        <v>4009</v>
      </c>
      <c r="G538" s="156"/>
      <c r="H538" s="157" t="str">
        <f>IF(G538="","",VLOOKUP(G538,'附表8-合同明细采集底稿'!B:I,2,0))</f>
        <v/>
      </c>
      <c r="I538" s="165" t="str">
        <f>IF(G538="","",VLOOKUP(G538,'附表8-合同明细采集底稿'!B:I,3,0))</f>
        <v/>
      </c>
      <c r="J538" s="165" t="s">
        <v>3512</v>
      </c>
      <c r="K538" s="157" t="s">
        <v>2355</v>
      </c>
      <c r="L538" s="166">
        <v>6500203130</v>
      </c>
      <c r="M538" s="166" t="s">
        <v>4011</v>
      </c>
      <c r="N538" s="167">
        <v>26794.07</v>
      </c>
      <c r="O538" s="167">
        <v>29205.54</v>
      </c>
      <c r="P538" s="167">
        <v>26794.07</v>
      </c>
      <c r="Q538" s="167">
        <v>-26794.07</v>
      </c>
      <c r="R538" s="167">
        <f t="shared" ref="R538:R601" si="62">P538+Q538</f>
        <v>0</v>
      </c>
      <c r="S538" s="178">
        <f>IFERROR(VLOOKUP(G538,'附表8-合同明细采集底稿'!B:N,12,0),100%)</f>
        <v>1</v>
      </c>
      <c r="T538" s="167">
        <f t="shared" si="61"/>
        <v>0</v>
      </c>
      <c r="U538" s="157" t="s">
        <v>3680</v>
      </c>
      <c r="V538" s="179" t="s">
        <v>374</v>
      </c>
      <c r="W538" s="181">
        <v>0</v>
      </c>
      <c r="X538" s="181">
        <v>0</v>
      </c>
      <c r="Y538" s="181">
        <v>0</v>
      </c>
      <c r="Z538" s="183" t="s">
        <v>2406</v>
      </c>
      <c r="AA538" s="157"/>
      <c r="AB538" s="184" t="s">
        <v>2319</v>
      </c>
      <c r="AC538" s="132">
        <f t="shared" si="60"/>
        <v>0</v>
      </c>
    </row>
    <row r="539" s="132" customFormat="1" ht="24" customHeight="1" spans="1:29">
      <c r="A539" s="150">
        <v>533</v>
      </c>
      <c r="B539" s="209" t="s">
        <v>4008</v>
      </c>
      <c r="C539" s="166" t="s">
        <v>3194</v>
      </c>
      <c r="D539" s="157" t="s">
        <v>2331</v>
      </c>
      <c r="E539" s="158" t="s">
        <v>3544</v>
      </c>
      <c r="F539" s="189" t="s">
        <v>4009</v>
      </c>
      <c r="G539" s="156" t="s">
        <v>4012</v>
      </c>
      <c r="H539" s="157" t="str">
        <f>IF(G539="","",VLOOKUP(G539,'附表8-合同明细采集底稿'!B:I,2,0))</f>
        <v>31#36#楼天然气安装工程</v>
      </c>
      <c r="I539" s="165" t="str">
        <f>IF(G539="","",VLOOKUP(G539,'附表8-合同明细采集底稿'!B:I,3,0))</f>
        <v>建设工程合同</v>
      </c>
      <c r="J539" s="154" t="s">
        <v>3512</v>
      </c>
      <c r="K539" s="157" t="s">
        <v>2355</v>
      </c>
      <c r="L539" s="166">
        <v>6500203130</v>
      </c>
      <c r="M539" s="166" t="s">
        <v>4011</v>
      </c>
      <c r="N539" s="167">
        <v>58966.86</v>
      </c>
      <c r="O539" s="167">
        <v>64273.88</v>
      </c>
      <c r="P539" s="167">
        <v>58966.86</v>
      </c>
      <c r="Q539" s="167"/>
      <c r="R539" s="167">
        <f t="shared" si="62"/>
        <v>58966.86</v>
      </c>
      <c r="S539" s="178">
        <f>IFERROR(VLOOKUP(G539,'附表8-合同明细采集底稿'!B:N,12,0),100%)</f>
        <v>0.338555832480367</v>
      </c>
      <c r="T539" s="167">
        <f t="shared" si="61"/>
        <v>19963.57</v>
      </c>
      <c r="U539" s="157" t="s">
        <v>3678</v>
      </c>
      <c r="V539" s="179" t="s">
        <v>375</v>
      </c>
      <c r="W539" s="180">
        <f>IF('附表1-面积统计表'!$D$29=0,"",IF(AND(V539="共同成本费用",Z539="总建筑面积法"),ROUND(T539/'附表1-面积统计表'!$D$29*'附表1-面积统计表'!$D$5,2),IF(AND(V539="共同成本费用",Z539="可售建筑面积法"),ROUND(T539/'附表1-面积统计表'!$F$29*'附表1-面积统计表'!$F$5,2),"请手工填写")))</f>
        <v>9671.61</v>
      </c>
      <c r="X539" s="180">
        <f>IF(SUM('附表1-面积统计表'!$D$6)=0,"",SUM(T539)-SUM(W539)-SUM(Y539))</f>
        <v>6399.01</v>
      </c>
      <c r="Y539" s="180">
        <f>IF(SUM('附表1-面积统计表'!$D$6)=0,SUM(T539)-SUM(W539),IF('附表1-面积统计表'!$D$29=0,"",IF(AND(V539="共同成本费用",Z539="总建筑面积法"),ROUND(T539/'附表1-面积统计表'!$D$29*'附表1-面积统计表'!$D$7,2),IF(AND(V539="共同成本费用",Z539="可售建筑面积法"),ROUND(T539/'附表1-面积统计表'!$F$29*'附表1-面积统计表'!$F$7,2),"请手工填写"))))</f>
        <v>3892.95</v>
      </c>
      <c r="Z539" s="183" t="s">
        <v>351</v>
      </c>
      <c r="AA539" s="157"/>
      <c r="AB539" s="184" t="s">
        <v>2319</v>
      </c>
      <c r="AC539" s="132">
        <f t="shared" si="60"/>
        <v>0</v>
      </c>
    </row>
    <row r="540" s="132" customFormat="1" ht="24" customHeight="1" spans="1:29">
      <c r="A540" s="150">
        <v>534</v>
      </c>
      <c r="B540" s="166" t="s">
        <v>4013</v>
      </c>
      <c r="C540" s="166" t="s">
        <v>4014</v>
      </c>
      <c r="D540" s="157" t="s">
        <v>2339</v>
      </c>
      <c r="E540" s="158" t="s">
        <v>2363</v>
      </c>
      <c r="F540" s="189" t="s">
        <v>4015</v>
      </c>
      <c r="G540" s="156" t="s">
        <v>3546</v>
      </c>
      <c r="H540" s="157" t="str">
        <f>IF(G540="","",VLOOKUP(G540,'附表8-合同明细采集底稿'!B:I,2,0))</f>
        <v>沁园春锦BIM咨询服务协议</v>
      </c>
      <c r="I540" s="165" t="str">
        <f>IF(G540="","",VLOOKUP(G540,'附表8-合同明细采集底稿'!B:I,3,0))</f>
        <v>技术合同</v>
      </c>
      <c r="J540" s="154" t="s">
        <v>3547</v>
      </c>
      <c r="K540" s="157" t="s">
        <v>2355</v>
      </c>
      <c r="L540" s="166" t="s">
        <v>4016</v>
      </c>
      <c r="M540" s="166" t="s">
        <v>4017</v>
      </c>
      <c r="N540" s="167">
        <v>20792.08</v>
      </c>
      <c r="O540" s="167">
        <v>21000</v>
      </c>
      <c r="P540" s="167">
        <v>20792.08</v>
      </c>
      <c r="Q540" s="167"/>
      <c r="R540" s="167">
        <f t="shared" si="62"/>
        <v>20792.08</v>
      </c>
      <c r="S540" s="178">
        <f>IFERROR(VLOOKUP(G540,'附表8-合同明细采集底稿'!B:N,12,0),100%)</f>
        <v>0.338555832480367</v>
      </c>
      <c r="T540" s="167">
        <f t="shared" si="61"/>
        <v>7039.28</v>
      </c>
      <c r="U540" s="157" t="s">
        <v>2318</v>
      </c>
      <c r="V540" s="179" t="s">
        <v>375</v>
      </c>
      <c r="W540" s="180">
        <f>IF('附表1-面积统计表'!$D$29=0,"",IF(AND(V540="共同成本费用",Z540="总建筑面积法"),ROUND(T540/'附表1-面积统计表'!$D$29*'附表1-面积统计表'!$D$5,2),IF(AND(V540="共同成本费用",Z540="可售建筑面积法"),ROUND(T540/'附表1-面积统计表'!$F$29*'附表1-面积统计表'!$F$5,2),"请手工填写")))</f>
        <v>3410.27</v>
      </c>
      <c r="X540" s="180">
        <f>IF(SUM('附表1-面积统计表'!$D$6)=0,"",SUM(T540)-SUM(W540)-SUM(Y540))</f>
        <v>2256.33</v>
      </c>
      <c r="Y540" s="180">
        <f>IF(SUM('附表1-面积统计表'!$D$6)=0,SUM(T540)-SUM(W540),IF('附表1-面积统计表'!$D$29=0,"",IF(AND(V540="共同成本费用",Z540="总建筑面积法"),ROUND(T540/'附表1-面积统计表'!$D$29*'附表1-面积统计表'!$D$7,2),IF(AND(V540="共同成本费用",Z540="可售建筑面积法"),ROUND(T540/'附表1-面积统计表'!$F$29*'附表1-面积统计表'!$F$7,2),"请手工填写"))))</f>
        <v>1372.68</v>
      </c>
      <c r="Z540" s="183" t="s">
        <v>351</v>
      </c>
      <c r="AA540" s="157"/>
      <c r="AB540" s="184" t="s">
        <v>2319</v>
      </c>
      <c r="AC540" s="132">
        <f t="shared" si="60"/>
        <v>0</v>
      </c>
    </row>
    <row r="541" s="132" customFormat="1" ht="24" customHeight="1" spans="1:29">
      <c r="A541" s="150">
        <v>535</v>
      </c>
      <c r="B541" s="166" t="s">
        <v>4018</v>
      </c>
      <c r="C541" s="166" t="s">
        <v>4019</v>
      </c>
      <c r="D541" s="157" t="s">
        <v>2346</v>
      </c>
      <c r="E541" s="158" t="s">
        <v>2501</v>
      </c>
      <c r="F541" s="189" t="s">
        <v>4020</v>
      </c>
      <c r="G541" s="156"/>
      <c r="H541" s="157" t="str">
        <f>IF(G541="","",VLOOKUP(G541,'附表8-合同明细采集底稿'!B:I,2,0))</f>
        <v/>
      </c>
      <c r="I541" s="165" t="str">
        <f>IF(G541="","",VLOOKUP(G541,'附表8-合同明细采集底稿'!B:I,3,0))</f>
        <v/>
      </c>
      <c r="J541" s="165" t="s">
        <v>4021</v>
      </c>
      <c r="K541" s="157" t="s">
        <v>2335</v>
      </c>
      <c r="L541" s="168" t="s">
        <v>2336</v>
      </c>
      <c r="M541" s="166" t="s">
        <v>4022</v>
      </c>
      <c r="N541" s="167">
        <v>29900</v>
      </c>
      <c r="O541" s="167">
        <v>29900</v>
      </c>
      <c r="P541" s="167">
        <v>29900</v>
      </c>
      <c r="Q541" s="167"/>
      <c r="R541" s="167">
        <f t="shared" si="62"/>
        <v>29900</v>
      </c>
      <c r="S541" s="178">
        <v>1</v>
      </c>
      <c r="T541" s="167">
        <f t="shared" si="61"/>
        <v>29900</v>
      </c>
      <c r="U541" s="157" t="s">
        <v>2344</v>
      </c>
      <c r="V541" s="179" t="s">
        <v>375</v>
      </c>
      <c r="W541" s="180">
        <f>IF('附表1-面积统计表'!$D$29=0,"",IF(AND(V541="共同成本费用",Z541="总建筑面积法"),ROUND(T541/'附表1-面积统计表'!$D$29*'附表1-面积统计表'!$D$5,2),IF(AND(V541="共同成本费用",Z541="可售建筑面积法"),ROUND(T541/'附表1-面积统计表'!$F$29*'附表1-面积统计表'!$F$5,2),"请手工填写")))</f>
        <v>14485.45</v>
      </c>
      <c r="X541" s="180">
        <f>IF(SUM('附表1-面积统计表'!$D$6)=0,"",SUM(T541)-SUM(W541)-SUM(Y541))</f>
        <v>9583.97</v>
      </c>
      <c r="Y541" s="180">
        <f>IF(SUM('附表1-面积统计表'!$D$6)=0,SUM(T541)-SUM(W541),IF('附表1-面积统计表'!$D$29=0,"",IF(AND(V541="共同成本费用",Z541="总建筑面积法"),ROUND(T541/'附表1-面积统计表'!$D$29*'附表1-面积统计表'!$D$7,2),IF(AND(V541="共同成本费用",Z541="可售建筑面积法"),ROUND(T541/'附表1-面积统计表'!$F$29*'附表1-面积统计表'!$F$7,2),"请手工填写"))))</f>
        <v>5830.58</v>
      </c>
      <c r="Z541" s="183" t="s">
        <v>351</v>
      </c>
      <c r="AA541" s="157"/>
      <c r="AB541" s="184" t="s">
        <v>2319</v>
      </c>
      <c r="AC541" s="132">
        <f t="shared" si="60"/>
        <v>0</v>
      </c>
    </row>
    <row r="542" s="132" customFormat="1" ht="24" customHeight="1" spans="1:29">
      <c r="A542" s="150">
        <v>536</v>
      </c>
      <c r="B542" s="166" t="s">
        <v>4023</v>
      </c>
      <c r="C542" s="166" t="s">
        <v>4024</v>
      </c>
      <c r="D542" s="157" t="s">
        <v>2470</v>
      </c>
      <c r="E542" s="158" t="s">
        <v>2471</v>
      </c>
      <c r="F542" s="189" t="s">
        <v>4025</v>
      </c>
      <c r="G542" s="156" t="s">
        <v>4026</v>
      </c>
      <c r="H542" s="157" t="str">
        <f>IF(G542="","",VLOOKUP(G542,'附表8-合同明细采集底稿'!B:I,2,0))</f>
        <v>沁春锦苑施工围挡安装</v>
      </c>
      <c r="I542" s="165" t="str">
        <f>IF(G542="","",VLOOKUP(G542,'附表8-合同明细采集底稿'!B:I,3,0))</f>
        <v>建设工程合同</v>
      </c>
      <c r="J542" s="154" t="s">
        <v>3129</v>
      </c>
      <c r="K542" s="157" t="s">
        <v>2355</v>
      </c>
      <c r="L542" s="166">
        <v>6500201160</v>
      </c>
      <c r="M542" s="166" t="s">
        <v>4027</v>
      </c>
      <c r="N542" s="167">
        <v>23762.38</v>
      </c>
      <c r="O542" s="167">
        <v>237.62</v>
      </c>
      <c r="P542" s="167">
        <v>23762.38</v>
      </c>
      <c r="Q542" s="167">
        <v>-23762.38</v>
      </c>
      <c r="R542" s="167">
        <f t="shared" si="62"/>
        <v>0</v>
      </c>
      <c r="S542" s="178">
        <f>IFERROR(VLOOKUP(G542,'附表8-合同明细采集底稿'!B:N,12,0),100%)</f>
        <v>1</v>
      </c>
      <c r="T542" s="167">
        <f t="shared" si="61"/>
        <v>0</v>
      </c>
      <c r="U542" s="157" t="s">
        <v>4028</v>
      </c>
      <c r="V542" s="179" t="s">
        <v>375</v>
      </c>
      <c r="W542" s="180">
        <f>IF('附表1-面积统计表'!$D$29=0,"",IF(AND(V542="共同成本费用",Z542="总建筑面积法"),ROUND(T542/'附表1-面积统计表'!$D$29*'附表1-面积统计表'!$D$5,2),IF(AND(V542="共同成本费用",Z542="可售建筑面积法"),ROUND(T542/'附表1-面积统计表'!$F$29*'附表1-面积统计表'!$F$5,2),"请手工填写")))</f>
        <v>0</v>
      </c>
      <c r="X542" s="180">
        <f>IF(SUM('附表1-面积统计表'!$D$6)=0,"",SUM(T542)-SUM(W542)-SUM(Y542))</f>
        <v>0</v>
      </c>
      <c r="Y542" s="180">
        <f>IF(SUM('附表1-面积统计表'!$D$6)=0,SUM(T542)-SUM(W542),IF('附表1-面积统计表'!$D$29=0,"",IF(AND(V542="共同成本费用",Z542="总建筑面积法"),ROUND(T542/'附表1-面积统计表'!$D$29*'附表1-面积统计表'!$D$7,2),IF(AND(V542="共同成本费用",Z542="可售建筑面积法"),ROUND(T542/'附表1-面积统计表'!$F$29*'附表1-面积统计表'!$F$7,2),"请手工填写"))))</f>
        <v>0</v>
      </c>
      <c r="Z542" s="183" t="s">
        <v>351</v>
      </c>
      <c r="AA542" s="157"/>
      <c r="AB542" s="184" t="s">
        <v>2319</v>
      </c>
      <c r="AC542" s="132">
        <f t="shared" si="60"/>
        <v>0</v>
      </c>
    </row>
    <row r="543" s="132" customFormat="1" ht="24" customHeight="1" spans="1:29">
      <c r="A543" s="150">
        <v>537</v>
      </c>
      <c r="B543" s="166" t="s">
        <v>4029</v>
      </c>
      <c r="C543" s="166" t="s">
        <v>4030</v>
      </c>
      <c r="D543" s="157" t="s">
        <v>2533</v>
      </c>
      <c r="E543" s="158" t="s">
        <v>2564</v>
      </c>
      <c r="F543" s="189" t="s">
        <v>4031</v>
      </c>
      <c r="G543" s="156" t="s">
        <v>2919</v>
      </c>
      <c r="H543" s="157" t="str">
        <f>IF(G543="","",VLOOKUP(G543,'附表8-合同明细采集底稿'!B:I,2,0))</f>
        <v>1#19#20#-34#35#)室外</v>
      </c>
      <c r="I543" s="165" t="str">
        <f>IF(G543="","",VLOOKUP(G543,'附表8-合同明细采集底稿'!B:I,3,0))</f>
        <v>其他合同</v>
      </c>
      <c r="J543" s="154" t="s">
        <v>2920</v>
      </c>
      <c r="K543" s="157" t="s">
        <v>2355</v>
      </c>
      <c r="L543" s="166">
        <v>6500203130</v>
      </c>
      <c r="M543" s="166" t="s">
        <v>4032</v>
      </c>
      <c r="N543" s="167">
        <v>119266.06</v>
      </c>
      <c r="O543" s="167">
        <v>130000</v>
      </c>
      <c r="P543" s="167">
        <v>119266.06</v>
      </c>
      <c r="Q543" s="167"/>
      <c r="R543" s="167">
        <f t="shared" si="62"/>
        <v>119266.06</v>
      </c>
      <c r="S543" s="178">
        <f>IFERROR(VLOOKUP(G543,'附表8-合同明细采集底稿'!B:N,12,0),100%)</f>
        <v>1</v>
      </c>
      <c r="T543" s="167">
        <f t="shared" si="61"/>
        <v>119266.06</v>
      </c>
      <c r="U543" s="157" t="s">
        <v>2416</v>
      </c>
      <c r="V543" s="179" t="s">
        <v>374</v>
      </c>
      <c r="W543" s="182">
        <f>ROUND(T543*成本分摊比例!$G$13/(成本分摊比例!$G$13+成本分摊比例!$H$13+成本分摊比例!$I$13),2)</f>
        <v>64439.66</v>
      </c>
      <c r="X543" s="182">
        <f>ROUND(T543*成本分摊比例!$H$13/(成本分摊比例!$G$13+成本分摊比例!$H$13+成本分摊比例!$I$13),2)</f>
        <v>42635.06</v>
      </c>
      <c r="Y543" s="182">
        <f t="shared" ref="Y543:Y548" si="63">T543-W543-X543</f>
        <v>12191.34</v>
      </c>
      <c r="Z543" s="183" t="s">
        <v>2406</v>
      </c>
      <c r="AA543" s="157"/>
      <c r="AB543" s="184" t="s">
        <v>2319</v>
      </c>
      <c r="AC543" s="132">
        <f t="shared" si="60"/>
        <v>0</v>
      </c>
    </row>
    <row r="544" s="132" customFormat="1" ht="24" customHeight="1" spans="1:29">
      <c r="A544" s="150">
        <v>538</v>
      </c>
      <c r="B544" s="166" t="s">
        <v>4029</v>
      </c>
      <c r="C544" s="166" t="s">
        <v>3870</v>
      </c>
      <c r="D544" s="157" t="s">
        <v>2470</v>
      </c>
      <c r="E544" s="158" t="s">
        <v>2471</v>
      </c>
      <c r="F544" s="189" t="s">
        <v>4033</v>
      </c>
      <c r="G544" s="156"/>
      <c r="H544" s="157" t="str">
        <f>IF(G544="","",VLOOKUP(G544,'附表8-合同明细采集底稿'!B:I,2,0))</f>
        <v/>
      </c>
      <c r="I544" s="165" t="str">
        <f>IF(G544="","",VLOOKUP(G544,'附表8-合同明细采集底稿'!B:I,3,0))</f>
        <v/>
      </c>
      <c r="J544" s="154" t="s">
        <v>4034</v>
      </c>
      <c r="K544" s="157" t="s">
        <v>2355</v>
      </c>
      <c r="L544" s="166">
        <v>6500203130</v>
      </c>
      <c r="M544" s="166" t="s">
        <v>4035</v>
      </c>
      <c r="N544" s="167">
        <v>24335.97</v>
      </c>
      <c r="O544" s="167">
        <v>25796.13</v>
      </c>
      <c r="P544" s="167">
        <v>24335.97</v>
      </c>
      <c r="Q544" s="167">
        <v>-24335.97</v>
      </c>
      <c r="R544" s="167">
        <f t="shared" si="62"/>
        <v>0</v>
      </c>
      <c r="S544" s="178">
        <v>1</v>
      </c>
      <c r="T544" s="167">
        <f t="shared" si="61"/>
        <v>0</v>
      </c>
      <c r="U544" s="157" t="s">
        <v>2344</v>
      </c>
      <c r="V544" s="179" t="s">
        <v>375</v>
      </c>
      <c r="W544" s="180">
        <f>IF('附表1-面积统计表'!$D$29=0,"",IF(AND(V544="共同成本费用",Z544="总建筑面积法"),ROUND(T544/'附表1-面积统计表'!$D$29*'附表1-面积统计表'!$D$5,2),IF(AND(V544="共同成本费用",Z544="可售建筑面积法"),ROUND(T544/'附表1-面积统计表'!$F$29*'附表1-面积统计表'!$F$5,2),"请手工填写")))</f>
        <v>0</v>
      </c>
      <c r="X544" s="180">
        <f>IF(SUM('附表1-面积统计表'!$D$6)=0,"",SUM(T544)-SUM(W544)-SUM(Y544))</f>
        <v>0</v>
      </c>
      <c r="Y544" s="180">
        <f>IF(SUM('附表1-面积统计表'!$D$6)=0,SUM(T544)-SUM(W544),IF('附表1-面积统计表'!$D$29=0,"",IF(AND(V544="共同成本费用",Z544="总建筑面积法"),ROUND(T544/'附表1-面积统计表'!$D$29*'附表1-面积统计表'!$D$7,2),IF(AND(V544="共同成本费用",Z544="可售建筑面积法"),ROUND(T544/'附表1-面积统计表'!$F$29*'附表1-面积统计表'!$F$7,2),"请手工填写"))))</f>
        <v>0</v>
      </c>
      <c r="Z544" s="183" t="s">
        <v>351</v>
      </c>
      <c r="AA544" s="157"/>
      <c r="AB544" s="184" t="s">
        <v>2319</v>
      </c>
      <c r="AC544" s="132">
        <f t="shared" si="60"/>
        <v>0</v>
      </c>
    </row>
    <row r="545" s="132" customFormat="1" ht="24" customHeight="1" spans="1:29">
      <c r="A545" s="150">
        <v>539</v>
      </c>
      <c r="B545" s="166" t="s">
        <v>4029</v>
      </c>
      <c r="C545" s="166" t="s">
        <v>3337</v>
      </c>
      <c r="D545" s="157" t="s">
        <v>2470</v>
      </c>
      <c r="E545" s="158" t="s">
        <v>3314</v>
      </c>
      <c r="F545" s="189" t="s">
        <v>4036</v>
      </c>
      <c r="G545" s="156"/>
      <c r="H545" s="157"/>
      <c r="I545" s="165"/>
      <c r="J545" s="154"/>
      <c r="K545" s="157" t="s">
        <v>2317</v>
      </c>
      <c r="L545" s="166"/>
      <c r="M545" s="166"/>
      <c r="N545" s="167">
        <v>19150.78</v>
      </c>
      <c r="O545" s="167">
        <v>0</v>
      </c>
      <c r="P545" s="167">
        <v>19150.78</v>
      </c>
      <c r="Q545" s="167"/>
      <c r="R545" s="167">
        <f t="shared" si="62"/>
        <v>19150.78</v>
      </c>
      <c r="S545" s="202">
        <v>0.338555832480367</v>
      </c>
      <c r="T545" s="167">
        <f t="shared" si="61"/>
        <v>6483.61</v>
      </c>
      <c r="U545" s="157" t="s">
        <v>2344</v>
      </c>
      <c r="V545" s="179" t="s">
        <v>375</v>
      </c>
      <c r="W545" s="180">
        <f>IF('附表1-面积统计表'!$D$29=0,"",IF(AND(V545="共同成本费用",Z545="总建筑面积法"),ROUND(T545/'附表1-面积统计表'!$D$29*'附表1-面积统计表'!$D$5,2),IF(AND(V545="共同成本费用",Z545="可售建筑面积法"),ROUND(T545/'附表1-面积统计表'!$F$29*'附表1-面积统计表'!$F$5,2),"请手工填写")))</f>
        <v>3141.07</v>
      </c>
      <c r="X545" s="180">
        <f>IF(SUM('附表1-面积统计表'!$D$6)=0,"",SUM(T545)-SUM(W545)-SUM(Y545))</f>
        <v>2078.22</v>
      </c>
      <c r="Y545" s="180">
        <f>IF(SUM('附表1-面积统计表'!$D$6)=0,SUM(T545)-SUM(W545),IF('附表1-面积统计表'!$D$29=0,"",IF(AND(V545="共同成本费用",Z545="总建筑面积法"),ROUND(T545/'附表1-面积统计表'!$D$29*'附表1-面积统计表'!$D$7,2),IF(AND(V545="共同成本费用",Z545="可售建筑面积法"),ROUND(T545/'附表1-面积统计表'!$F$29*'附表1-面积统计表'!$F$7,2),"请手工填写"))))</f>
        <v>1264.32</v>
      </c>
      <c r="Z545" s="183" t="s">
        <v>351</v>
      </c>
      <c r="AA545" s="157"/>
      <c r="AB545" s="184" t="s">
        <v>2319</v>
      </c>
      <c r="AC545" s="132">
        <f t="shared" si="60"/>
        <v>0</v>
      </c>
    </row>
    <row r="546" s="132" customFormat="1" ht="24" customHeight="1" spans="1:29">
      <c r="A546" s="150">
        <v>540</v>
      </c>
      <c r="B546" s="166" t="s">
        <v>4037</v>
      </c>
      <c r="C546" s="166" t="s">
        <v>3662</v>
      </c>
      <c r="D546" s="157" t="s">
        <v>2533</v>
      </c>
      <c r="E546" s="158" t="s">
        <v>2564</v>
      </c>
      <c r="F546" s="189" t="s">
        <v>4038</v>
      </c>
      <c r="G546" s="156" t="s">
        <v>3153</v>
      </c>
      <c r="H546" s="157" t="str">
        <f>IF(G546="","",VLOOKUP(G546,'附表8-合同明细采集底稿'!B:I,2,0))</f>
        <v>安装服务</v>
      </c>
      <c r="I546" s="165" t="str">
        <f>IF(G546="","",VLOOKUP(G546,'附表8-合同明细采集底稿'!B:I,3,0))</f>
        <v>其他合同</v>
      </c>
      <c r="J546" s="154" t="s">
        <v>3154</v>
      </c>
      <c r="K546" s="157" t="s">
        <v>2335</v>
      </c>
      <c r="L546" s="168" t="s">
        <v>2336</v>
      </c>
      <c r="M546" s="166" t="s">
        <v>4039</v>
      </c>
      <c r="N546" s="167">
        <v>395000</v>
      </c>
      <c r="O546" s="167">
        <v>395000</v>
      </c>
      <c r="P546" s="167">
        <v>395000</v>
      </c>
      <c r="Q546" s="167"/>
      <c r="R546" s="167">
        <f t="shared" si="62"/>
        <v>395000</v>
      </c>
      <c r="S546" s="178">
        <f>IFERROR(VLOOKUP(G546,'附表8-合同明细采集底稿'!B:N,12,0),100%)</f>
        <v>1</v>
      </c>
      <c r="T546" s="167">
        <f t="shared" si="61"/>
        <v>395000</v>
      </c>
      <c r="U546" s="157" t="s">
        <v>2344</v>
      </c>
      <c r="V546" s="179" t="s">
        <v>375</v>
      </c>
      <c r="W546" s="180">
        <f>IF('附表1-面积统计表'!$D$29=0,"",IF(AND(V546="共同成本费用",Z546="总建筑面积法"),ROUND(T546/'附表1-面积统计表'!$D$29*'附表1-面积统计表'!$D$5,2),IF(AND(V546="共同成本费用",Z546="可售建筑面积法"),ROUND(T546/'附表1-面积统计表'!$F$29*'附表1-面积统计表'!$F$5,2),"请手工填写")))</f>
        <v>191362.91</v>
      </c>
      <c r="X546" s="180">
        <f>IF(SUM('附表1-面积统计表'!$D$6)=0,"",SUM(T546)-SUM(W546)-SUM(Y546))</f>
        <v>126610.98</v>
      </c>
      <c r="Y546" s="180">
        <f>IF(SUM('附表1-面积统计表'!$D$6)=0,SUM(T546)-SUM(W546),IF('附表1-面积统计表'!$D$29=0,"",IF(AND(V546="共同成本费用",Z546="总建筑面积法"),ROUND(T546/'附表1-面积统计表'!$D$29*'附表1-面积统计表'!$D$7,2),IF(AND(V546="共同成本费用",Z546="可售建筑面积法"),ROUND(T546/'附表1-面积统计表'!$F$29*'附表1-面积统计表'!$F$7,2),"请手工填写"))))</f>
        <v>77026.11</v>
      </c>
      <c r="Z546" s="183" t="s">
        <v>351</v>
      </c>
      <c r="AA546" s="157"/>
      <c r="AB546" s="184" t="s">
        <v>2319</v>
      </c>
      <c r="AC546" s="132">
        <f t="shared" si="60"/>
        <v>0</v>
      </c>
    </row>
    <row r="547" s="132" customFormat="1" ht="24" customHeight="1" spans="1:29">
      <c r="A547" s="150">
        <v>541</v>
      </c>
      <c r="B547" s="166" t="s">
        <v>4040</v>
      </c>
      <c r="C547" s="166" t="s">
        <v>3468</v>
      </c>
      <c r="D547" s="157" t="s">
        <v>2533</v>
      </c>
      <c r="E547" s="158" t="s">
        <v>2564</v>
      </c>
      <c r="F547" s="189" t="s">
        <v>4041</v>
      </c>
      <c r="G547" s="156" t="s">
        <v>2900</v>
      </c>
      <c r="H547" s="157" t="str">
        <f>IF(G547="","",VLOOKUP(G547,'附表8-合同明细采集底稿'!B:I,2,0))</f>
        <v>沁春锦苑25、26、28#施工协议</v>
      </c>
      <c r="I547" s="165" t="str">
        <f>IF(G547="","",VLOOKUP(G547,'附表8-合同明细采集底稿'!B:I,3,0))</f>
        <v>建设工程合同</v>
      </c>
      <c r="J547" s="154" t="s">
        <v>144</v>
      </c>
      <c r="K547" s="157" t="s">
        <v>2355</v>
      </c>
      <c r="L547" s="166">
        <v>6500203130</v>
      </c>
      <c r="M547" s="166" t="s">
        <v>4042</v>
      </c>
      <c r="N547" s="167">
        <v>386131.19</v>
      </c>
      <c r="O547" s="167">
        <v>420883</v>
      </c>
      <c r="P547" s="167">
        <v>386131.19</v>
      </c>
      <c r="Q547" s="167"/>
      <c r="R547" s="167">
        <f t="shared" si="62"/>
        <v>386131.19</v>
      </c>
      <c r="S547" s="178">
        <f>IFERROR(VLOOKUP(G547,'附表8-合同明细采集底稿'!B:N,12,0),100%)</f>
        <v>1</v>
      </c>
      <c r="T547" s="167">
        <f t="shared" si="61"/>
        <v>386131.19</v>
      </c>
      <c r="U547" s="157" t="s">
        <v>2416</v>
      </c>
      <c r="V547" s="179" t="s">
        <v>374</v>
      </c>
      <c r="W547" s="182">
        <f>ROUND(T547*成本分摊比例!$G$13/(成本分摊比例!$G$13+成本分摊比例!$H$13+成本分摊比例!$I$13),2)</f>
        <v>208627.37</v>
      </c>
      <c r="X547" s="182">
        <f>ROUND(T547*成本分摊比例!$H$13/(成本分摊比例!$G$13+成本分摊比例!$H$13+成本分摊比例!$I$13),2)</f>
        <v>138033.61</v>
      </c>
      <c r="Y547" s="182">
        <f t="shared" si="63"/>
        <v>39470.21</v>
      </c>
      <c r="Z547" s="183" t="s">
        <v>2406</v>
      </c>
      <c r="AA547" s="157"/>
      <c r="AB547" s="184" t="s">
        <v>2319</v>
      </c>
      <c r="AC547" s="132">
        <f t="shared" si="60"/>
        <v>0</v>
      </c>
    </row>
    <row r="548" s="132" customFormat="1" ht="24" customHeight="1" spans="1:29">
      <c r="A548" s="150">
        <v>542</v>
      </c>
      <c r="B548" s="166" t="s">
        <v>4040</v>
      </c>
      <c r="C548" s="166" t="s">
        <v>3556</v>
      </c>
      <c r="D548" s="157" t="s">
        <v>2533</v>
      </c>
      <c r="E548" s="158" t="s">
        <v>2690</v>
      </c>
      <c r="F548" s="189" t="s">
        <v>4043</v>
      </c>
      <c r="G548" s="156" t="s">
        <v>4044</v>
      </c>
      <c r="H548" s="157" t="str">
        <f>IF(G548="","",VLOOKUP(G548,'附表8-合同明细采集底稿'!B:I,2,0))</f>
        <v>沁春锦苑25-30#楼门斗装修补充工程施工合同</v>
      </c>
      <c r="I548" s="165" t="str">
        <f>IF(G548="","",VLOOKUP(G548,'附表8-合同明细采集底稿'!B:I,3,0))</f>
        <v>建设工程合同</v>
      </c>
      <c r="J548" s="154" t="s">
        <v>4045</v>
      </c>
      <c r="K548" s="157" t="s">
        <v>2355</v>
      </c>
      <c r="L548" s="166">
        <v>6500201160</v>
      </c>
      <c r="M548" s="166" t="s">
        <v>4046</v>
      </c>
      <c r="N548" s="167">
        <v>60396.04</v>
      </c>
      <c r="O548" s="167">
        <v>61000</v>
      </c>
      <c r="P548" s="167">
        <v>60396.04</v>
      </c>
      <c r="Q548" s="167">
        <v>-3019.8</v>
      </c>
      <c r="R548" s="167">
        <f t="shared" si="62"/>
        <v>57376.24</v>
      </c>
      <c r="S548" s="178">
        <f>IFERROR(VLOOKUP(G548,'附表8-合同明细采集底稿'!B:N,12,0),100%)</f>
        <v>1</v>
      </c>
      <c r="T548" s="167">
        <f t="shared" si="61"/>
        <v>57376.24</v>
      </c>
      <c r="U548" s="157" t="s">
        <v>2416</v>
      </c>
      <c r="V548" s="179" t="s">
        <v>374</v>
      </c>
      <c r="W548" s="182">
        <f>ROUND(T548*成本分摊比例!$G$13/(成本分摊比例!$G$13+成本分摊比例!$H$13+成本分摊比例!$I$13),2)</f>
        <v>31000.48</v>
      </c>
      <c r="X548" s="182">
        <f>ROUND(T548*成本分摊比例!$H$13/(成本分摊比例!$G$13+成本分摊比例!$H$13+成本分摊比例!$I$13),2)</f>
        <v>20510.77</v>
      </c>
      <c r="Y548" s="182">
        <f t="shared" si="63"/>
        <v>5864.99</v>
      </c>
      <c r="Z548" s="183" t="s">
        <v>2406</v>
      </c>
      <c r="AA548" s="157"/>
      <c r="AB548" s="184" t="s">
        <v>2319</v>
      </c>
      <c r="AC548" s="132">
        <f t="shared" si="60"/>
        <v>0</v>
      </c>
    </row>
    <row r="549" s="132" customFormat="1" ht="24" customHeight="1" spans="1:29">
      <c r="A549" s="150">
        <v>543</v>
      </c>
      <c r="B549" s="209" t="s">
        <v>4047</v>
      </c>
      <c r="C549" s="166" t="s">
        <v>3481</v>
      </c>
      <c r="D549" s="157" t="s">
        <v>2331</v>
      </c>
      <c r="E549" s="158" t="s">
        <v>3994</v>
      </c>
      <c r="F549" s="189" t="s">
        <v>4048</v>
      </c>
      <c r="G549" s="156" t="s">
        <v>3996</v>
      </c>
      <c r="H549" s="157" t="str">
        <f>IF(G549="","",VLOOKUP(G549,'附表8-合同明细采集底稿'!B:I,2,0))</f>
        <v>电缆采购合同-公共社区、幼儿园</v>
      </c>
      <c r="I549" s="165" t="str">
        <f>IF(G549="","",VLOOKUP(G549,'附表8-合同明细采集底稿'!B:I,3,0))</f>
        <v>其他合同</v>
      </c>
      <c r="J549" s="210" t="s">
        <v>2963</v>
      </c>
      <c r="K549" s="157" t="s">
        <v>2355</v>
      </c>
      <c r="L549" s="166" t="s">
        <v>3997</v>
      </c>
      <c r="M549" s="166" t="s">
        <v>4049</v>
      </c>
      <c r="N549" s="167">
        <v>101615.05</v>
      </c>
      <c r="O549" s="167">
        <v>114825.01</v>
      </c>
      <c r="P549" s="167">
        <v>101615.05</v>
      </c>
      <c r="Q549" s="167"/>
      <c r="R549" s="167">
        <f t="shared" si="62"/>
        <v>101615.05</v>
      </c>
      <c r="S549" s="178">
        <f>IFERROR(VLOOKUP(G549,'附表8-合同明细采集底稿'!B:N,12,0),100%)</f>
        <v>0.338555832480367</v>
      </c>
      <c r="T549" s="167">
        <f t="shared" si="61"/>
        <v>34402.37</v>
      </c>
      <c r="U549" s="157" t="s">
        <v>3999</v>
      </c>
      <c r="V549" s="179" t="s">
        <v>375</v>
      </c>
      <c r="W549" s="180">
        <f>IF('附表1-面积统计表'!$D$29=0,"",IF(AND(V549="共同成本费用",Z549="总建筑面积法"),ROUND(T549/'附表1-面积统计表'!$D$29*'附表1-面积统计表'!$D$5,2),IF(AND(V549="共同成本费用",Z549="可售建筑面积法"),ROUND(T549/'附表1-面积统计表'!$F$29*'附表1-面积统计表'!$F$5,2),"请手工填写")))</f>
        <v>16666.68</v>
      </c>
      <c r="X549" s="180">
        <f>IF(SUM('附表1-面积统计表'!$D$6)=0,"",SUM(T549)-SUM(W549)-SUM(Y549))</f>
        <v>11027.13</v>
      </c>
      <c r="Y549" s="180">
        <f>IF(SUM('附表1-面积统计表'!$D$6)=0,SUM(T549)-SUM(W549),IF('附表1-面积统计表'!$D$29=0,"",IF(AND(V549="共同成本费用",Z549="总建筑面积法"),ROUND(T549/'附表1-面积统计表'!$D$29*'附表1-面积统计表'!$D$7,2),IF(AND(V549="共同成本费用",Z549="可售建筑面积法"),ROUND(T549/'附表1-面积统计表'!$F$29*'附表1-面积统计表'!$F$7,2),"请手工填写"))))</f>
        <v>6708.56</v>
      </c>
      <c r="Z549" s="183" t="s">
        <v>351</v>
      </c>
      <c r="AA549" s="157"/>
      <c r="AB549" s="184" t="s">
        <v>2319</v>
      </c>
      <c r="AC549" s="132">
        <f t="shared" si="60"/>
        <v>0</v>
      </c>
    </row>
    <row r="550" s="132" customFormat="1" ht="24" customHeight="1" spans="1:29">
      <c r="A550" s="150">
        <v>544</v>
      </c>
      <c r="B550" s="209" t="s">
        <v>4050</v>
      </c>
      <c r="C550" s="166" t="s">
        <v>4051</v>
      </c>
      <c r="D550" s="157" t="s">
        <v>2331</v>
      </c>
      <c r="E550" s="158" t="s">
        <v>3544</v>
      </c>
      <c r="F550" s="189" t="s">
        <v>4052</v>
      </c>
      <c r="G550" s="156" t="s">
        <v>4053</v>
      </c>
      <c r="H550" s="157" t="str">
        <f>IF(G550="","",VLOOKUP(G550,'附表8-合同明细采集底稿'!B:I,2,0))</f>
        <v>4-11、16、17#楼31#楼景观绿化（幼儿园）</v>
      </c>
      <c r="I550" s="165" t="str">
        <f>IF(G550="","",VLOOKUP(G550,'附表8-合同明细采集底稿'!B:I,3,0))</f>
        <v>其他合同</v>
      </c>
      <c r="J550" s="187" t="s">
        <v>151</v>
      </c>
      <c r="K550" s="157" t="s">
        <v>2355</v>
      </c>
      <c r="L550" s="166">
        <v>6500203130</v>
      </c>
      <c r="M550" s="166" t="s">
        <v>4054</v>
      </c>
      <c r="N550" s="167">
        <v>91743.12</v>
      </c>
      <c r="O550" s="167">
        <v>100000</v>
      </c>
      <c r="P550" s="167">
        <v>91743.12</v>
      </c>
      <c r="Q550" s="167"/>
      <c r="R550" s="167">
        <f t="shared" si="62"/>
        <v>91743.12</v>
      </c>
      <c r="S550" s="178">
        <f>IFERROR(VLOOKUP(G550,'附表8-合同明细采集底稿'!B:N,12,0),100%)</f>
        <v>0.338555832480367</v>
      </c>
      <c r="T550" s="167">
        <f t="shared" si="61"/>
        <v>31060.17</v>
      </c>
      <c r="U550" s="157" t="s">
        <v>3678</v>
      </c>
      <c r="V550" s="179" t="s">
        <v>375</v>
      </c>
      <c r="W550" s="180">
        <f>IF('附表1-面积统计表'!$D$29=0,"",IF(AND(V550="共同成本费用",Z550="总建筑面积法"),ROUND(T550/'附表1-面积统计表'!$D$29*'附表1-面积统计表'!$D$5,2),IF(AND(V550="共同成本费用",Z550="可售建筑面积法"),ROUND(T550/'附表1-面积统计表'!$F$29*'附表1-面积统计表'!$F$5,2),"请手工填写")))</f>
        <v>15047.51</v>
      </c>
      <c r="X550" s="180">
        <f>IF(SUM('附表1-面积统计表'!$D$6)=0,"",SUM(T550)-SUM(W550)-SUM(Y550))</f>
        <v>9955.84</v>
      </c>
      <c r="Y550" s="180">
        <f>IF(SUM('附表1-面积统计表'!$D$6)=0,SUM(T550)-SUM(W550),IF('附表1-面积统计表'!$D$29=0,"",IF(AND(V550="共同成本费用",Z550="总建筑面积法"),ROUND(T550/'附表1-面积统计表'!$D$29*'附表1-面积统计表'!$D$7,2),IF(AND(V550="共同成本费用",Z550="可售建筑面积法"),ROUND(T550/'附表1-面积统计表'!$F$29*'附表1-面积统计表'!$F$7,2),"请手工填写"))))</f>
        <v>6056.82</v>
      </c>
      <c r="Z550" s="183" t="s">
        <v>351</v>
      </c>
      <c r="AA550" s="157"/>
      <c r="AB550" s="184" t="s">
        <v>2319</v>
      </c>
      <c r="AC550" s="132">
        <f t="shared" si="60"/>
        <v>0</v>
      </c>
    </row>
    <row r="551" s="132" customFormat="1" ht="24" customHeight="1" spans="1:29">
      <c r="A551" s="150">
        <v>545</v>
      </c>
      <c r="B551" s="209" t="s">
        <v>4055</v>
      </c>
      <c r="C551" s="166" t="s">
        <v>3715</v>
      </c>
      <c r="D551" s="157" t="s">
        <v>2533</v>
      </c>
      <c r="E551" s="158" t="s">
        <v>3234</v>
      </c>
      <c r="F551" s="189" t="s">
        <v>4056</v>
      </c>
      <c r="G551" s="156" t="s">
        <v>3202</v>
      </c>
      <c r="H551" s="157" t="str">
        <f>IF(G551="","",VLOOKUP(G551,'附表8-合同明细采集底稿'!B:I,2,0))</f>
        <v>沁春锦苑一期地下室钢质门（19-24#）</v>
      </c>
      <c r="I551" s="165" t="str">
        <f>IF(G551="","",VLOOKUP(G551,'附表8-合同明细采集底稿'!B:I,3,0))</f>
        <v>买卖合同</v>
      </c>
      <c r="J551" s="154" t="s">
        <v>3018</v>
      </c>
      <c r="K551" s="157" t="s">
        <v>2355</v>
      </c>
      <c r="L551" s="166">
        <v>6500213130</v>
      </c>
      <c r="M551" s="166" t="s">
        <v>4057</v>
      </c>
      <c r="N551" s="167">
        <v>2315.04</v>
      </c>
      <c r="O551" s="167">
        <v>2616</v>
      </c>
      <c r="P551" s="167">
        <v>2315.04</v>
      </c>
      <c r="Q551" s="167"/>
      <c r="R551" s="167">
        <f t="shared" si="62"/>
        <v>2315.04</v>
      </c>
      <c r="S551" s="178">
        <f>IFERROR(VLOOKUP(G551,'附表8-合同明细采集底稿'!B:N,12,0),100%)</f>
        <v>1</v>
      </c>
      <c r="T551" s="167">
        <f t="shared" si="61"/>
        <v>2315.04</v>
      </c>
      <c r="U551" s="157" t="s">
        <v>2416</v>
      </c>
      <c r="V551" s="179" t="s">
        <v>374</v>
      </c>
      <c r="W551" s="182">
        <f>ROUND(T551*成本分摊比例!$G$13/(成本分摊比例!$G$13+成本分摊比例!$H$13+成本分摊比例!$I$13),2)</f>
        <v>1250.82</v>
      </c>
      <c r="X551" s="182">
        <f>ROUND(T551*成本分摊比例!$H$13/(成本分摊比例!$G$13+成本分摊比例!$H$13+成本分摊比例!$I$13),2)</f>
        <v>827.58</v>
      </c>
      <c r="Y551" s="182">
        <f t="shared" ref="Y551:Y553" si="64">T551-W551-X551</f>
        <v>236.64</v>
      </c>
      <c r="Z551" s="183" t="s">
        <v>2406</v>
      </c>
      <c r="AA551" s="157"/>
      <c r="AB551" s="184" t="s">
        <v>2319</v>
      </c>
      <c r="AC551" s="132">
        <f t="shared" si="60"/>
        <v>0</v>
      </c>
    </row>
    <row r="552" s="132" customFormat="1" ht="24" customHeight="1" spans="1:29">
      <c r="A552" s="150">
        <v>546</v>
      </c>
      <c r="B552" s="166" t="s">
        <v>4055</v>
      </c>
      <c r="C552" s="166" t="s">
        <v>4058</v>
      </c>
      <c r="D552" s="157" t="s">
        <v>2533</v>
      </c>
      <c r="E552" s="158" t="s">
        <v>2564</v>
      </c>
      <c r="F552" s="189" t="s">
        <v>4059</v>
      </c>
      <c r="G552" s="156" t="s">
        <v>3017</v>
      </c>
      <c r="H552" s="157" t="str">
        <f>IF(G552="","",VLOOKUP(G552,'附表8-合同明细采集底稿'!B:I,2,0))</f>
        <v>沁春锦苑25#-30#号楼防火防盗门</v>
      </c>
      <c r="I552" s="165" t="str">
        <f>IF(G552="","",VLOOKUP(G552,'附表8-合同明细采集底稿'!B:I,3,0))</f>
        <v>买卖合同</v>
      </c>
      <c r="J552" s="154" t="s">
        <v>3018</v>
      </c>
      <c r="K552" s="157" t="s">
        <v>2355</v>
      </c>
      <c r="L552" s="191">
        <v>6500213130</v>
      </c>
      <c r="M552" s="155" t="s">
        <v>4060</v>
      </c>
      <c r="N552" s="167">
        <v>69346.91</v>
      </c>
      <c r="O552" s="167">
        <v>78362</v>
      </c>
      <c r="P552" s="167">
        <v>69346.91</v>
      </c>
      <c r="Q552" s="167"/>
      <c r="R552" s="167">
        <f t="shared" si="62"/>
        <v>69346.91</v>
      </c>
      <c r="S552" s="178">
        <f>IFERROR(VLOOKUP(G552,'附表8-合同明细采集底稿'!B:N,12,0),100%)</f>
        <v>1</v>
      </c>
      <c r="T552" s="167">
        <f t="shared" si="61"/>
        <v>69346.91</v>
      </c>
      <c r="U552" s="157" t="s">
        <v>2416</v>
      </c>
      <c r="V552" s="179" t="s">
        <v>374</v>
      </c>
      <c r="W552" s="182">
        <f>ROUND(T552*成本分摊比例!$G$13/(成本分摊比例!$G$13+成本分摊比例!$H$13+成本分摊比例!$I$13),2)</f>
        <v>37468.26</v>
      </c>
      <c r="X552" s="182">
        <f>ROUND(T552*成本分摊比例!$H$13/(成本分摊比例!$G$13+成本分摊比例!$H$13+成本分摊比例!$I$13),2)</f>
        <v>24790.03</v>
      </c>
      <c r="Y552" s="182">
        <f t="shared" si="64"/>
        <v>7088.62</v>
      </c>
      <c r="Z552" s="183" t="s">
        <v>2406</v>
      </c>
      <c r="AA552" s="157"/>
      <c r="AB552" s="184" t="s">
        <v>2319</v>
      </c>
      <c r="AC552" s="132">
        <f t="shared" si="60"/>
        <v>0</v>
      </c>
    </row>
    <row r="553" s="132" customFormat="1" ht="24" customHeight="1" spans="1:29">
      <c r="A553" s="150">
        <v>547</v>
      </c>
      <c r="B553" s="166" t="s">
        <v>4055</v>
      </c>
      <c r="C553" s="166" t="s">
        <v>4058</v>
      </c>
      <c r="D553" s="157" t="s">
        <v>2346</v>
      </c>
      <c r="E553" s="158" t="s">
        <v>2347</v>
      </c>
      <c r="F553" s="189" t="s">
        <v>4059</v>
      </c>
      <c r="G553" s="156" t="s">
        <v>3795</v>
      </c>
      <c r="H553" s="157" t="str">
        <f>IF(G553="","",VLOOKUP(G553,'附表8-合同明细采集底稿'!B:I,2,0))</f>
        <v>25-30#楼进户门智能锁购销安装合同</v>
      </c>
      <c r="I553" s="165" t="str">
        <f>IF(G553="","",VLOOKUP(G553,'附表8-合同明细采集底稿'!B:I,3,0))</f>
        <v>买卖合同</v>
      </c>
      <c r="J553" s="165" t="s">
        <v>3018</v>
      </c>
      <c r="K553" s="157" t="s">
        <v>2355</v>
      </c>
      <c r="L553" s="191">
        <v>6500213130</v>
      </c>
      <c r="M553" s="155" t="s">
        <v>4061</v>
      </c>
      <c r="N553" s="167">
        <v>45592.92</v>
      </c>
      <c r="O553" s="167">
        <v>51520</v>
      </c>
      <c r="P553" s="167">
        <v>45592.92</v>
      </c>
      <c r="Q553" s="167"/>
      <c r="R553" s="167">
        <f t="shared" si="62"/>
        <v>45592.92</v>
      </c>
      <c r="S553" s="178">
        <f>IFERROR(VLOOKUP(G553,'附表8-合同明细采集底稿'!B:N,12,0),100%)</f>
        <v>1</v>
      </c>
      <c r="T553" s="167">
        <f t="shared" si="61"/>
        <v>45592.92</v>
      </c>
      <c r="U553" s="157" t="s">
        <v>2416</v>
      </c>
      <c r="V553" s="179" t="s">
        <v>374</v>
      </c>
      <c r="W553" s="182">
        <f>ROUND(T553*成本分摊比例!$G$13/(成本分摊比例!$G$13+成本分摊比例!$H$13+成本分摊比例!$I$13),2)</f>
        <v>24633.94</v>
      </c>
      <c r="X553" s="182">
        <f>ROUND(T553*成本分摊比例!$H$13/(成本分摊比例!$G$13+成本分摊比例!$H$13+成本分摊比例!$I$13),2)</f>
        <v>16298.49</v>
      </c>
      <c r="Y553" s="182">
        <f t="shared" si="64"/>
        <v>4660.49</v>
      </c>
      <c r="Z553" s="183" t="s">
        <v>2406</v>
      </c>
      <c r="AA553" s="157"/>
      <c r="AB553" s="184" t="s">
        <v>2319</v>
      </c>
      <c r="AC553" s="132">
        <f t="shared" si="60"/>
        <v>0</v>
      </c>
    </row>
    <row r="554" s="132" customFormat="1" ht="24" customHeight="1" spans="1:29">
      <c r="A554" s="150">
        <v>548</v>
      </c>
      <c r="B554" s="166" t="s">
        <v>4055</v>
      </c>
      <c r="C554" s="166" t="s">
        <v>3117</v>
      </c>
      <c r="D554" s="157" t="s">
        <v>2533</v>
      </c>
      <c r="E554" s="158" t="s">
        <v>2564</v>
      </c>
      <c r="F554" s="189" t="s">
        <v>4062</v>
      </c>
      <c r="G554" s="156" t="s">
        <v>2900</v>
      </c>
      <c r="H554" s="157" t="str">
        <f>IF(G554="","",VLOOKUP(G554,'附表8-合同明细采集底稿'!B:I,2,0))</f>
        <v>沁春锦苑25、26、28#施工协议</v>
      </c>
      <c r="I554" s="165" t="str">
        <f>IF(G554="","",VLOOKUP(G554,'附表8-合同明细采集底稿'!B:I,3,0))</f>
        <v>建设工程合同</v>
      </c>
      <c r="J554" s="154" t="s">
        <v>144</v>
      </c>
      <c r="K554" s="157" t="s">
        <v>2355</v>
      </c>
      <c r="L554" s="191">
        <v>6500213130</v>
      </c>
      <c r="M554" s="155" t="s">
        <v>4063</v>
      </c>
      <c r="N554" s="167">
        <v>1284403.67</v>
      </c>
      <c r="O554" s="167">
        <v>1400000</v>
      </c>
      <c r="P554" s="167">
        <v>1284403.67</v>
      </c>
      <c r="Q554" s="167"/>
      <c r="R554" s="167">
        <f t="shared" si="62"/>
        <v>1284403.67</v>
      </c>
      <c r="S554" s="178">
        <f>IFERROR(VLOOKUP(G554,'附表8-合同明细采集底稿'!B:N,12,0),100%)</f>
        <v>1</v>
      </c>
      <c r="T554" s="167">
        <f t="shared" si="61"/>
        <v>1284403.67</v>
      </c>
      <c r="U554" s="157" t="s">
        <v>2416</v>
      </c>
      <c r="V554" s="179" t="s">
        <v>374</v>
      </c>
      <c r="W554" s="182">
        <f>ROUND(T554*成本分摊比例!$G$13/(成本分摊比例!$G$13+成本分摊比例!$H$13+成本分摊比例!$I$13),2)</f>
        <v>693965.58</v>
      </c>
      <c r="X554" s="182">
        <f>ROUND(T554*成本分摊比例!$H$13/(成本分摊比例!$G$13+成本分摊比例!$H$13+成本分摊比例!$I$13),2)</f>
        <v>459146.74</v>
      </c>
      <c r="Y554" s="182">
        <f t="shared" ref="Y554:Y558" si="65">T554-W554-X554</f>
        <v>131291.35</v>
      </c>
      <c r="Z554" s="183" t="s">
        <v>2406</v>
      </c>
      <c r="AA554" s="157"/>
      <c r="AB554" s="184" t="s">
        <v>2319</v>
      </c>
      <c r="AC554" s="132">
        <f t="shared" si="60"/>
        <v>0</v>
      </c>
    </row>
    <row r="555" s="132" customFormat="1" ht="24" customHeight="1" spans="1:29">
      <c r="A555" s="150">
        <v>549</v>
      </c>
      <c r="B555" s="166" t="s">
        <v>4064</v>
      </c>
      <c r="C555" s="166" t="s">
        <v>3593</v>
      </c>
      <c r="D555" s="157" t="s">
        <v>2533</v>
      </c>
      <c r="E555" s="158" t="s">
        <v>2564</v>
      </c>
      <c r="F555" s="189" t="s">
        <v>4065</v>
      </c>
      <c r="G555" s="156" t="s">
        <v>2900</v>
      </c>
      <c r="H555" s="157" t="str">
        <f>IF(G555="","",VLOOKUP(G555,'附表8-合同明细采集底稿'!B:I,2,0))</f>
        <v>沁春锦苑25、26、28#施工协议</v>
      </c>
      <c r="I555" s="165" t="str">
        <f>IF(G555="","",VLOOKUP(G555,'附表8-合同明细采集底稿'!B:I,3,0))</f>
        <v>建设工程合同</v>
      </c>
      <c r="J555" s="154" t="s">
        <v>144</v>
      </c>
      <c r="K555" s="157" t="s">
        <v>2355</v>
      </c>
      <c r="L555" s="166">
        <v>6500203130</v>
      </c>
      <c r="M555" s="166" t="s">
        <v>4066</v>
      </c>
      <c r="N555" s="167">
        <v>917431.19</v>
      </c>
      <c r="O555" s="167">
        <v>1000000</v>
      </c>
      <c r="P555" s="167">
        <v>917431.19</v>
      </c>
      <c r="Q555" s="167"/>
      <c r="R555" s="167">
        <f t="shared" si="62"/>
        <v>917431.19</v>
      </c>
      <c r="S555" s="178">
        <f>IFERROR(VLOOKUP(G555,'附表8-合同明细采集底稿'!B:N,12,0),100%)</f>
        <v>1</v>
      </c>
      <c r="T555" s="167">
        <f t="shared" si="61"/>
        <v>917431.19</v>
      </c>
      <c r="U555" s="157" t="s">
        <v>2416</v>
      </c>
      <c r="V555" s="179" t="s">
        <v>374</v>
      </c>
      <c r="W555" s="182">
        <f>ROUND(T555*成本分摊比例!$G$13/(成本分摊比例!$G$13+成本分摊比例!$H$13+成本分摊比例!$I$13),2)</f>
        <v>495689.7</v>
      </c>
      <c r="X555" s="182">
        <f>ROUND(T555*成本分摊比例!$H$13/(成本分摊比例!$G$13+成本分摊比例!$H$13+成本分摊比例!$I$13),2)</f>
        <v>327961.96</v>
      </c>
      <c r="Y555" s="182">
        <f t="shared" si="65"/>
        <v>93779.5299999999</v>
      </c>
      <c r="Z555" s="183" t="s">
        <v>2406</v>
      </c>
      <c r="AA555" s="157"/>
      <c r="AB555" s="184" t="s">
        <v>2319</v>
      </c>
      <c r="AC555" s="132">
        <f t="shared" si="60"/>
        <v>0</v>
      </c>
    </row>
    <row r="556" s="132" customFormat="1" ht="24" customHeight="1" spans="1:29">
      <c r="A556" s="150">
        <v>550</v>
      </c>
      <c r="B556" s="166" t="s">
        <v>4067</v>
      </c>
      <c r="C556" s="166" t="s">
        <v>3916</v>
      </c>
      <c r="D556" s="157" t="s">
        <v>2331</v>
      </c>
      <c r="E556" s="158" t="s">
        <v>3544</v>
      </c>
      <c r="F556" s="189" t="s">
        <v>4068</v>
      </c>
      <c r="G556" s="156" t="s">
        <v>4069</v>
      </c>
      <c r="H556" s="157" t="str">
        <f>IF(G556="","",VLOOKUP(G556,'附表8-合同明细采集底稿'!B:I,2,0))</f>
        <v>幼儿园电梯销售安装合同（31#楼）</v>
      </c>
      <c r="I556" s="165" t="str">
        <f>IF(G556="","",VLOOKUP(G556,'附表8-合同明细采集底稿'!B:I,3,0))</f>
        <v>买卖合同</v>
      </c>
      <c r="J556" s="154" t="s">
        <v>2999</v>
      </c>
      <c r="K556" s="157" t="s">
        <v>2355</v>
      </c>
      <c r="L556" s="166">
        <v>6500203130</v>
      </c>
      <c r="M556" s="166" t="s">
        <v>4070</v>
      </c>
      <c r="N556" s="167">
        <v>22330.1</v>
      </c>
      <c r="O556" s="167">
        <v>23000</v>
      </c>
      <c r="P556" s="167">
        <v>22330.1</v>
      </c>
      <c r="Q556" s="167"/>
      <c r="R556" s="167">
        <f t="shared" si="62"/>
        <v>22330.1</v>
      </c>
      <c r="S556" s="178">
        <f>IFERROR(VLOOKUP(G556,'附表8-合同明细采集底稿'!B:N,12,0),100%)</f>
        <v>0.338555832480367</v>
      </c>
      <c r="T556" s="167">
        <f t="shared" si="61"/>
        <v>7559.99</v>
      </c>
      <c r="U556" s="157" t="s">
        <v>3678</v>
      </c>
      <c r="V556" s="179" t="s">
        <v>375</v>
      </c>
      <c r="W556" s="180">
        <f>IF('附表1-面积统计表'!$D$29=0,"",IF(AND(V556="共同成本费用",Z556="总建筑面积法"),ROUND(T556/'附表1-面积统计表'!$D$29*'附表1-面积统计表'!$D$5,2),IF(AND(V556="共同成本费用",Z556="可售建筑面积法"),ROUND(T556/'附表1-面积统计表'!$F$29*'附表1-面积统计表'!$F$5,2),"请手工填写")))</f>
        <v>3662.54</v>
      </c>
      <c r="X556" s="180">
        <f>IF(SUM('附表1-面积统计表'!$D$6)=0,"",SUM(T556)-SUM(W556)-SUM(Y556))</f>
        <v>2423.23</v>
      </c>
      <c r="Y556" s="180">
        <f>IF(SUM('附表1-面积统计表'!$D$6)=0,SUM(T556)-SUM(W556),IF('附表1-面积统计表'!$D$29=0,"",IF(AND(V556="共同成本费用",Z556="总建筑面积法"),ROUND(T556/'附表1-面积统计表'!$D$29*'附表1-面积统计表'!$D$7,2),IF(AND(V556="共同成本费用",Z556="可售建筑面积法"),ROUND(T556/'附表1-面积统计表'!$F$29*'附表1-面积统计表'!$F$7,2),"请手工填写"))))</f>
        <v>1474.22</v>
      </c>
      <c r="Z556" s="183" t="s">
        <v>351</v>
      </c>
      <c r="AA556" s="157"/>
      <c r="AB556" s="184" t="s">
        <v>2319</v>
      </c>
      <c r="AC556" s="132">
        <f t="shared" si="60"/>
        <v>0</v>
      </c>
    </row>
    <row r="557" s="132" customFormat="1" ht="24" customHeight="1" spans="1:29">
      <c r="A557" s="150">
        <v>551</v>
      </c>
      <c r="B557" s="166" t="s">
        <v>4071</v>
      </c>
      <c r="C557" s="166" t="s">
        <v>3059</v>
      </c>
      <c r="D557" s="157" t="s">
        <v>2346</v>
      </c>
      <c r="E557" s="158" t="s">
        <v>2656</v>
      </c>
      <c r="F557" s="189" t="s">
        <v>4072</v>
      </c>
      <c r="G557" s="156" t="s">
        <v>4073</v>
      </c>
      <c r="H557" s="157" t="str">
        <f>IF(G557="","",VLOOKUP(G557,'附表8-合同明细采集底稿'!B:I,2,0))</f>
        <v>电气外网供货安装合同（4#-17#31#-36#、12#-38#）36#</v>
      </c>
      <c r="I557" s="165" t="str">
        <f>IF(G557="","",VLOOKUP(G557,'附表8-合同明细采集底稿'!B:I,3,0))</f>
        <v>其他合同</v>
      </c>
      <c r="J557" s="211" t="s">
        <v>3665</v>
      </c>
      <c r="K557" s="157" t="s">
        <v>2355</v>
      </c>
      <c r="L557" s="191">
        <v>6500203130</v>
      </c>
      <c r="M557" s="166" t="s">
        <v>4074</v>
      </c>
      <c r="N557" s="167">
        <v>10358.72</v>
      </c>
      <c r="O557" s="167">
        <v>11291</v>
      </c>
      <c r="P557" s="167">
        <v>10358.72</v>
      </c>
      <c r="Q557" s="167">
        <v>-10358.72</v>
      </c>
      <c r="R557" s="167">
        <f t="shared" si="62"/>
        <v>0</v>
      </c>
      <c r="S557" s="178">
        <f>IFERROR(VLOOKUP(G557,'附表8-合同明细采集底稿'!B:N,12,0),100%)</f>
        <v>1</v>
      </c>
      <c r="T557" s="167">
        <f t="shared" si="61"/>
        <v>0</v>
      </c>
      <c r="U557" s="157" t="s">
        <v>3680</v>
      </c>
      <c r="V557" s="179" t="s">
        <v>374</v>
      </c>
      <c r="W557" s="181">
        <v>0</v>
      </c>
      <c r="X557" s="181">
        <v>0</v>
      </c>
      <c r="Y557" s="181">
        <v>0</v>
      </c>
      <c r="Z557" s="183" t="s">
        <v>2406</v>
      </c>
      <c r="AA557" s="157"/>
      <c r="AB557" s="184" t="s">
        <v>2319</v>
      </c>
      <c r="AC557" s="132">
        <f t="shared" si="60"/>
        <v>0</v>
      </c>
    </row>
    <row r="558" s="132" customFormat="1" ht="24" customHeight="1" spans="1:29">
      <c r="A558" s="150">
        <v>552</v>
      </c>
      <c r="B558" s="166" t="s">
        <v>4075</v>
      </c>
      <c r="C558" s="166" t="s">
        <v>4024</v>
      </c>
      <c r="D558" s="157" t="s">
        <v>2346</v>
      </c>
      <c r="E558" s="158" t="s">
        <v>2453</v>
      </c>
      <c r="F558" s="189" t="s">
        <v>4076</v>
      </c>
      <c r="G558" s="156" t="s">
        <v>4077</v>
      </c>
      <c r="H558" s="157" t="str">
        <f>IF(G558="","",VLOOKUP(G558,'附表8-合同明细采集底稿'!B:I,2,0))</f>
        <v>25#-30#楼后花园围栏制作</v>
      </c>
      <c r="I558" s="165" t="str">
        <f>IF(G558="","",VLOOKUP(G558,'附表8-合同明细采集底稿'!B:I,3,0))</f>
        <v>其他合同</v>
      </c>
      <c r="J558" s="165" t="s">
        <v>3529</v>
      </c>
      <c r="K558" s="157" t="s">
        <v>2355</v>
      </c>
      <c r="L558" s="166">
        <v>6500203130</v>
      </c>
      <c r="M558" s="166" t="s">
        <v>4078</v>
      </c>
      <c r="N558" s="167">
        <v>78982.3</v>
      </c>
      <c r="O558" s="167">
        <v>89250</v>
      </c>
      <c r="P558" s="167">
        <v>78982.3</v>
      </c>
      <c r="Q558" s="167"/>
      <c r="R558" s="167">
        <f t="shared" si="62"/>
        <v>78982.3</v>
      </c>
      <c r="S558" s="178">
        <f>IFERROR(VLOOKUP(G558,'附表8-合同明细采集底稿'!B:N,12,0),100%)</f>
        <v>1</v>
      </c>
      <c r="T558" s="167">
        <f t="shared" si="61"/>
        <v>78982.3</v>
      </c>
      <c r="U558" s="157" t="s">
        <v>2416</v>
      </c>
      <c r="V558" s="179" t="s">
        <v>374</v>
      </c>
      <c r="W558" s="182">
        <f>ROUND(T558*成本分摊比例!$G$13/(成本分摊比例!$G$13+成本分摊比例!$H$13+成本分摊比例!$I$13),2)</f>
        <v>42674.28</v>
      </c>
      <c r="X558" s="182">
        <f>ROUND(T558*成本分摊比例!$H$13/(成本分摊比例!$G$13+成本分摊比例!$H$13+成本分摊比例!$I$13),2)</f>
        <v>28234.48</v>
      </c>
      <c r="Y558" s="182">
        <f t="shared" si="65"/>
        <v>8073.54</v>
      </c>
      <c r="Z558" s="183" t="s">
        <v>2406</v>
      </c>
      <c r="AA558" s="157"/>
      <c r="AB558" s="184" t="s">
        <v>2319</v>
      </c>
      <c r="AC558" s="132">
        <f t="shared" si="60"/>
        <v>0</v>
      </c>
    </row>
    <row r="559" s="132" customFormat="1" ht="24" customHeight="1" spans="1:29">
      <c r="A559" s="150">
        <v>553</v>
      </c>
      <c r="B559" s="166" t="s">
        <v>4079</v>
      </c>
      <c r="C559" s="166" t="s">
        <v>4080</v>
      </c>
      <c r="D559" s="157" t="s">
        <v>2339</v>
      </c>
      <c r="E559" s="158" t="s">
        <v>2351</v>
      </c>
      <c r="F559" s="189" t="s">
        <v>4081</v>
      </c>
      <c r="G559" s="156" t="s">
        <v>2645</v>
      </c>
      <c r="H559" s="157" t="str">
        <f>IF(G559="","",VLOOKUP(G559,'附表8-合同明细采集底稿'!B:I,2,0))</f>
        <v>专业建设工程设计合同</v>
      </c>
      <c r="I559" s="165" t="str">
        <f>IF(G559="","",VLOOKUP(G559,'附表8-合同明细采集底稿'!B:I,3,0))</f>
        <v>技术合同</v>
      </c>
      <c r="J559" s="154" t="s">
        <v>2498</v>
      </c>
      <c r="K559" s="157" t="s">
        <v>2355</v>
      </c>
      <c r="L559" s="191">
        <v>6500212130</v>
      </c>
      <c r="M559" s="166" t="s">
        <v>4082</v>
      </c>
      <c r="N559" s="167">
        <v>58989.62</v>
      </c>
      <c r="O559" s="167">
        <v>62529</v>
      </c>
      <c r="P559" s="167">
        <v>58989.62</v>
      </c>
      <c r="Q559" s="167"/>
      <c r="R559" s="167">
        <f t="shared" si="62"/>
        <v>58989.62</v>
      </c>
      <c r="S559" s="178">
        <f>IFERROR(VLOOKUP(G559,'附表8-合同明细采集底稿'!B:N,12,0),100%)</f>
        <v>0.338555832480367</v>
      </c>
      <c r="T559" s="167">
        <f t="shared" si="61"/>
        <v>19971.28</v>
      </c>
      <c r="U559" s="157" t="s">
        <v>2318</v>
      </c>
      <c r="V559" s="179" t="s">
        <v>375</v>
      </c>
      <c r="W559" s="180">
        <f>IF('附表1-面积统计表'!$D$29=0,"",IF(AND(V559="共同成本费用",Z559="总建筑面积法"),ROUND(T559/'附表1-面积统计表'!$D$29*'附表1-面积统计表'!$D$5,2),IF(AND(V559="共同成本费用",Z559="可售建筑面积法"),ROUND(T559/'附表1-面积统计表'!$F$29*'附表1-面积统计表'!$F$5,2),"请手工填写")))</f>
        <v>9675.35</v>
      </c>
      <c r="X559" s="180">
        <f>IF(SUM('附表1-面积统计表'!$D$6)=0,"",SUM(T559)-SUM(W559)-SUM(Y559))</f>
        <v>6401.47</v>
      </c>
      <c r="Y559" s="180">
        <f>IF(SUM('附表1-面积统计表'!$D$6)=0,SUM(T559)-SUM(W559),IF('附表1-面积统计表'!$D$29=0,"",IF(AND(V559="共同成本费用",Z559="总建筑面积法"),ROUND(T559/'附表1-面积统计表'!$D$29*'附表1-面积统计表'!$D$7,2),IF(AND(V559="共同成本费用",Z559="可售建筑面积法"),ROUND(T559/'附表1-面积统计表'!$F$29*'附表1-面积统计表'!$F$7,2),"请手工填写"))))</f>
        <v>3894.46</v>
      </c>
      <c r="Z559" s="183" t="s">
        <v>351</v>
      </c>
      <c r="AA559" s="157"/>
      <c r="AB559" s="184" t="s">
        <v>2319</v>
      </c>
      <c r="AC559" s="132">
        <f t="shared" si="60"/>
        <v>0</v>
      </c>
    </row>
    <row r="560" s="132" customFormat="1" ht="24" customHeight="1" spans="1:29">
      <c r="A560" s="150">
        <v>554</v>
      </c>
      <c r="B560" s="166" t="s">
        <v>4083</v>
      </c>
      <c r="C560" s="166" t="s">
        <v>4084</v>
      </c>
      <c r="D560" s="157" t="s">
        <v>2533</v>
      </c>
      <c r="E560" s="158" t="s">
        <v>2564</v>
      </c>
      <c r="F560" s="189" t="s">
        <v>4085</v>
      </c>
      <c r="G560" s="156" t="s">
        <v>4086</v>
      </c>
      <c r="H560" s="157" t="str">
        <f>IF(G560="","",VLOOKUP(G560,'附表8-合同明细采集底稿'!B:I,2,0))</f>
        <v>承揽合同（铝合金窗32.33）</v>
      </c>
      <c r="I560" s="165" t="str">
        <f>IF(G560="","",VLOOKUP(G560,'附表8-合同明细采集底稿'!B:I,3,0))</f>
        <v>买卖合同</v>
      </c>
      <c r="J560" s="154" t="s">
        <v>2556</v>
      </c>
      <c r="K560" s="157" t="s">
        <v>2355</v>
      </c>
      <c r="L560" s="191">
        <v>6500203130</v>
      </c>
      <c r="M560" s="166" t="s">
        <v>4087</v>
      </c>
      <c r="N560" s="167">
        <v>276989.39</v>
      </c>
      <c r="O560" s="167">
        <v>312998.01</v>
      </c>
      <c r="P560" s="167">
        <v>276989.39</v>
      </c>
      <c r="Q560" s="167"/>
      <c r="R560" s="167">
        <f t="shared" si="62"/>
        <v>276989.39</v>
      </c>
      <c r="S560" s="178">
        <f>IFERROR(VLOOKUP(G560,'附表8-合同明细采集底稿'!B:N,12,0),100%)</f>
        <v>1</v>
      </c>
      <c r="T560" s="167">
        <f t="shared" si="61"/>
        <v>276989.39</v>
      </c>
      <c r="U560" s="157" t="s">
        <v>2405</v>
      </c>
      <c r="V560" s="179" t="s">
        <v>374</v>
      </c>
      <c r="W560" s="181">
        <v>0</v>
      </c>
      <c r="X560" s="181">
        <v>0</v>
      </c>
      <c r="Y560" s="181">
        <v>276989.39</v>
      </c>
      <c r="Z560" s="183" t="s">
        <v>2406</v>
      </c>
      <c r="AA560" s="157"/>
      <c r="AB560" s="184" t="s">
        <v>2319</v>
      </c>
      <c r="AC560" s="132">
        <f t="shared" si="60"/>
        <v>0</v>
      </c>
    </row>
    <row r="561" s="132" customFormat="1" ht="24" customHeight="1" spans="1:29">
      <c r="A561" s="150">
        <v>555</v>
      </c>
      <c r="B561" s="166" t="s">
        <v>4083</v>
      </c>
      <c r="C561" s="166" t="s">
        <v>4088</v>
      </c>
      <c r="D561" s="157" t="s">
        <v>2533</v>
      </c>
      <c r="E561" s="158" t="s">
        <v>2564</v>
      </c>
      <c r="F561" s="189" t="s">
        <v>4089</v>
      </c>
      <c r="G561" s="156" t="s">
        <v>2587</v>
      </c>
      <c r="H561" s="157" t="str">
        <f>IF(G561="","",VLOOKUP(G561,'附表8-合同明细采集底稿'!B:I,2,0))</f>
        <v>承揽合同（铝合金窗120.24#）</v>
      </c>
      <c r="I561" s="165" t="str">
        <f>IF(G561="","",VLOOKUP(G561,'附表8-合同明细采集底稿'!B:I,3,0))</f>
        <v>买卖合同</v>
      </c>
      <c r="J561" s="154" t="s">
        <v>2556</v>
      </c>
      <c r="K561" s="157" t="s">
        <v>2355</v>
      </c>
      <c r="L561" s="191">
        <v>6500203130</v>
      </c>
      <c r="M561" s="166" t="s">
        <v>4087</v>
      </c>
      <c r="N561" s="167">
        <v>549557.54</v>
      </c>
      <c r="O561" s="167">
        <v>621000.02</v>
      </c>
      <c r="P561" s="167">
        <v>549557.54</v>
      </c>
      <c r="Q561" s="167"/>
      <c r="R561" s="167">
        <f t="shared" si="62"/>
        <v>549557.54</v>
      </c>
      <c r="S561" s="178">
        <f>IFERROR(VLOOKUP(G561,'附表8-合同明细采集底稿'!B:N,12,0),100%)</f>
        <v>1</v>
      </c>
      <c r="T561" s="167">
        <f t="shared" si="61"/>
        <v>549557.54</v>
      </c>
      <c r="U561" s="157" t="s">
        <v>2416</v>
      </c>
      <c r="V561" s="179" t="s">
        <v>374</v>
      </c>
      <c r="W561" s="182">
        <f>ROUND(T561*成本分摊比例!$G$13/(成本分摊比例!$G$13+成本分摊比例!$H$13+成本分摊比例!$I$13),2)</f>
        <v>296926.92</v>
      </c>
      <c r="X561" s="182">
        <f>ROUND(T561*成本分摊比例!$H$13/(成本分摊比例!$G$13+成本分摊比例!$H$13+成本分摊比例!$I$13),2)</f>
        <v>196455.03</v>
      </c>
      <c r="Y561" s="182">
        <f>T561-W561-X561</f>
        <v>56175.5900000001</v>
      </c>
      <c r="Z561" s="183" t="s">
        <v>2406</v>
      </c>
      <c r="AA561" s="157"/>
      <c r="AB561" s="184" t="s">
        <v>2319</v>
      </c>
      <c r="AC561" s="132">
        <f t="shared" si="60"/>
        <v>0</v>
      </c>
    </row>
    <row r="562" s="132" customFormat="1" ht="24" customHeight="1" spans="1:29">
      <c r="A562" s="150">
        <v>556</v>
      </c>
      <c r="B562" s="166" t="s">
        <v>4083</v>
      </c>
      <c r="C562" s="166" t="s">
        <v>2970</v>
      </c>
      <c r="D562" s="157" t="s">
        <v>2346</v>
      </c>
      <c r="E562" s="158" t="s">
        <v>2938</v>
      </c>
      <c r="F562" s="189" t="s">
        <v>4090</v>
      </c>
      <c r="G562" s="156" t="s">
        <v>3872</v>
      </c>
      <c r="H562" s="157" t="str">
        <f>IF(G562="","",VLOOKUP(G562,'附表8-合同明细采集底稿'!B:I,2,0))</f>
        <v>沁春锦苑一期智慧小区设备采购合同</v>
      </c>
      <c r="I562" s="165" t="str">
        <f>IF(G562="","",VLOOKUP(G562,'附表8-合同明细采集底稿'!B:I,3,0))</f>
        <v>其他合同</v>
      </c>
      <c r="J562" s="165" t="s">
        <v>3305</v>
      </c>
      <c r="K562" s="157" t="s">
        <v>2335</v>
      </c>
      <c r="L562" s="168" t="s">
        <v>2336</v>
      </c>
      <c r="M562" s="166" t="s">
        <v>4091</v>
      </c>
      <c r="N562" s="167">
        <v>8625</v>
      </c>
      <c r="O562" s="167">
        <v>8625</v>
      </c>
      <c r="P562" s="167">
        <v>8625</v>
      </c>
      <c r="Q562" s="167"/>
      <c r="R562" s="167">
        <f t="shared" si="62"/>
        <v>8625</v>
      </c>
      <c r="S562" s="178">
        <f>IFERROR(VLOOKUP(G562,'附表8-合同明细采集底稿'!B:N,12,0),100%)</f>
        <v>1</v>
      </c>
      <c r="T562" s="167">
        <f t="shared" si="61"/>
        <v>8625</v>
      </c>
      <c r="U562" s="157" t="s">
        <v>2416</v>
      </c>
      <c r="V562" s="179" t="s">
        <v>374</v>
      </c>
      <c r="W562" s="182">
        <f>ROUND(T562*成本分摊比例!$G$13/(成本分摊比例!$G$13+成本分摊比例!$H$13+成本分摊比例!$I$13),2)</f>
        <v>4660.1</v>
      </c>
      <c r="X562" s="182">
        <f>ROUND(T562*成本分摊比例!$H$13/(成本分摊比例!$G$13+成本分摊比例!$H$13+成本分摊比例!$I$13),2)</f>
        <v>3083.25</v>
      </c>
      <c r="Y562" s="182">
        <f>T562-W562-X562</f>
        <v>881.65</v>
      </c>
      <c r="Z562" s="183" t="s">
        <v>2406</v>
      </c>
      <c r="AA562" s="157"/>
      <c r="AB562" s="184" t="s">
        <v>2319</v>
      </c>
      <c r="AC562" s="132">
        <f t="shared" si="60"/>
        <v>0</v>
      </c>
    </row>
    <row r="563" s="132" customFormat="1" ht="24" customHeight="1" spans="1:29">
      <c r="A563" s="150">
        <v>557</v>
      </c>
      <c r="B563" s="166" t="s">
        <v>4083</v>
      </c>
      <c r="C563" s="166" t="s">
        <v>3331</v>
      </c>
      <c r="D563" s="157" t="s">
        <v>2346</v>
      </c>
      <c r="E563" s="158" t="s">
        <v>2506</v>
      </c>
      <c r="F563" s="189" t="s">
        <v>4092</v>
      </c>
      <c r="G563" s="156" t="s">
        <v>2543</v>
      </c>
      <c r="H563" s="157" t="str">
        <f>IF(G563="","",VLOOKUP(G563,'附表8-合同明细采集底稿'!B:I,2,0))</f>
        <v>供水管道安装（自来水接口）</v>
      </c>
      <c r="I563" s="165" t="str">
        <f>IF(G563="","",VLOOKUP(G563,'附表8-合同明细采集底稿'!B:I,3,0))</f>
        <v>其他合同</v>
      </c>
      <c r="J563" s="165" t="s">
        <v>2544</v>
      </c>
      <c r="K563" s="157" t="s">
        <v>2355</v>
      </c>
      <c r="L563" s="166">
        <v>6500203130</v>
      </c>
      <c r="M563" s="166" t="s">
        <v>4093</v>
      </c>
      <c r="N563" s="167">
        <v>5413.08</v>
      </c>
      <c r="O563" s="167">
        <v>5901.88</v>
      </c>
      <c r="P563" s="167">
        <v>5431.08</v>
      </c>
      <c r="Q563" s="167"/>
      <c r="R563" s="167">
        <f t="shared" si="62"/>
        <v>5431.08</v>
      </c>
      <c r="S563" s="178">
        <f>IFERROR(VLOOKUP(G563,'附表8-合同明细采集底稿'!B:N,12,0),100%)</f>
        <v>0.338555832480367</v>
      </c>
      <c r="T563" s="167">
        <f t="shared" si="61"/>
        <v>1838.72</v>
      </c>
      <c r="U563" s="157" t="s">
        <v>2318</v>
      </c>
      <c r="V563" s="179" t="s">
        <v>375</v>
      </c>
      <c r="W563" s="180">
        <f>IF('附表1-面积统计表'!$D$29=0,"",IF(AND(V563="共同成本费用",Z563="总建筑面积法"),ROUND(T563/'附表1-面积统计表'!$D$29*'附表1-面积统计表'!$D$5,2),IF(AND(V563="共同成本费用",Z563="可售建筑面积法"),ROUND(T563/'附表1-面积统计表'!$F$29*'附表1-面积统计表'!$F$5,2),"请手工填写")))</f>
        <v>890.79</v>
      </c>
      <c r="X563" s="180">
        <f>IF(SUM('附表1-面积统计表'!$D$6)=0,"",SUM(T563)-SUM(W563)-SUM(Y563))</f>
        <v>589.37</v>
      </c>
      <c r="Y563" s="180">
        <f>IF(SUM('附表1-面积统计表'!$D$6)=0,SUM(T563)-SUM(W563),IF('附表1-面积统计表'!$D$29=0,"",IF(AND(V563="共同成本费用",Z563="总建筑面积法"),ROUND(T563/'附表1-面积统计表'!$D$29*'附表1-面积统计表'!$D$7,2),IF(AND(V563="共同成本费用",Z563="可售建筑面积法"),ROUND(T563/'附表1-面积统计表'!$F$29*'附表1-面积统计表'!$F$7,2),"请手工填写"))))</f>
        <v>358.56</v>
      </c>
      <c r="Z563" s="183" t="s">
        <v>351</v>
      </c>
      <c r="AA563" s="157"/>
      <c r="AB563" s="184" t="s">
        <v>2319</v>
      </c>
      <c r="AC563" s="132">
        <f t="shared" si="60"/>
        <v>0</v>
      </c>
    </row>
    <row r="564" s="132" customFormat="1" ht="24" customHeight="1" spans="1:29">
      <c r="A564" s="150">
        <v>558</v>
      </c>
      <c r="B564" s="166" t="s">
        <v>4083</v>
      </c>
      <c r="C564" s="166" t="s">
        <v>3166</v>
      </c>
      <c r="D564" s="157" t="s">
        <v>2339</v>
      </c>
      <c r="E564" s="158" t="s">
        <v>2351</v>
      </c>
      <c r="F564" s="189" t="s">
        <v>4094</v>
      </c>
      <c r="G564" s="156" t="s">
        <v>3246</v>
      </c>
      <c r="H564" s="157" t="str">
        <f>IF(G564="","",VLOOKUP(G564,'附表8-合同明细采集底稿'!B:I,2,0))</f>
        <v>沁春锦苑一期二批次景观绿化（25-30#）+提升附属合同</v>
      </c>
      <c r="I564" s="165" t="str">
        <f>IF(G564="","",VLOOKUP(G564,'附表8-合同明细采集底稿'!B:I,3,0))</f>
        <v>其他合同</v>
      </c>
      <c r="J564" s="154" t="s">
        <v>2498</v>
      </c>
      <c r="K564" s="157" t="s">
        <v>2355</v>
      </c>
      <c r="L564" s="191">
        <v>6500212130</v>
      </c>
      <c r="M564" s="166" t="s">
        <v>4095</v>
      </c>
      <c r="N564" s="167">
        <v>550458.72</v>
      </c>
      <c r="O564" s="167">
        <v>600000</v>
      </c>
      <c r="P564" s="167">
        <v>550458.72</v>
      </c>
      <c r="Q564" s="167"/>
      <c r="R564" s="167">
        <f t="shared" si="62"/>
        <v>550458.72</v>
      </c>
      <c r="S564" s="178">
        <f>IFERROR(VLOOKUP(G564,'附表8-合同明细采集底稿'!B:N,12,0),100%)</f>
        <v>1</v>
      </c>
      <c r="T564" s="167">
        <f t="shared" si="61"/>
        <v>550458.72</v>
      </c>
      <c r="U564" s="157" t="s">
        <v>2344</v>
      </c>
      <c r="V564" s="179" t="s">
        <v>375</v>
      </c>
      <c r="W564" s="180">
        <f>IF('附表1-面积统计表'!$D$29=0,"",IF(AND(V564="共同成本费用",Z564="总建筑面积法"),ROUND(T564/'附表1-面积统计表'!$D$29*'附表1-面积统计表'!$D$5,2),IF(AND(V564="共同成本费用",Z564="可售建筑面积法"),ROUND(T564/'附表1-面积统计表'!$F$29*'附表1-面积统计表'!$F$5,2),"请手工填写")))</f>
        <v>266676.92</v>
      </c>
      <c r="X564" s="180">
        <f>IF(SUM('附表1-面积统计表'!$D$6)=0,"",SUM(T564)-SUM(W564)-SUM(Y564))</f>
        <v>176440.8</v>
      </c>
      <c r="Y564" s="180">
        <f>IF(SUM('附表1-面积统计表'!$D$6)=0,SUM(T564)-SUM(W564),IF('附表1-面积统计表'!$D$29=0,"",IF(AND(V564="共同成本费用",Z564="总建筑面积法"),ROUND(T564/'附表1-面积统计表'!$D$29*'附表1-面积统计表'!$D$7,2),IF(AND(V564="共同成本费用",Z564="可售建筑面积法"),ROUND(T564/'附表1-面积统计表'!$F$29*'附表1-面积统计表'!$F$7,2),"请手工填写"))))</f>
        <v>107341</v>
      </c>
      <c r="Z564" s="183" t="s">
        <v>351</v>
      </c>
      <c r="AA564" s="157"/>
      <c r="AB564" s="184" t="s">
        <v>2319</v>
      </c>
      <c r="AC564" s="132">
        <f t="shared" si="60"/>
        <v>0</v>
      </c>
    </row>
    <row r="565" s="132" customFormat="1" ht="24" customHeight="1" spans="1:29">
      <c r="A565" s="150">
        <v>559</v>
      </c>
      <c r="B565" s="166" t="s">
        <v>4083</v>
      </c>
      <c r="C565" s="166" t="s">
        <v>3170</v>
      </c>
      <c r="D565" s="157" t="s">
        <v>2533</v>
      </c>
      <c r="E565" s="158" t="s">
        <v>2690</v>
      </c>
      <c r="F565" s="189" t="s">
        <v>4096</v>
      </c>
      <c r="G565" s="156" t="s">
        <v>2600</v>
      </c>
      <c r="H565" s="157" t="str">
        <f>IF(G565="","",VLOOKUP(G565,'附表8-合同明细采集底稿'!B:I,2,0))</f>
        <v>装饰装修工程承包合同</v>
      </c>
      <c r="I565" s="165" t="str">
        <f>IF(G565="","",VLOOKUP(G565,'附表8-合同明细采集底稿'!B:I,3,0))</f>
        <v>建设工程合同</v>
      </c>
      <c r="J565" s="154" t="s">
        <v>2601</v>
      </c>
      <c r="K565" s="157" t="s">
        <v>2355</v>
      </c>
      <c r="L565" s="191">
        <v>6500213130</v>
      </c>
      <c r="M565" s="155" t="s">
        <v>4097</v>
      </c>
      <c r="N565" s="167">
        <v>176991.15</v>
      </c>
      <c r="O565" s="167">
        <v>200000</v>
      </c>
      <c r="P565" s="167">
        <v>176991.15</v>
      </c>
      <c r="Q565" s="167">
        <v>-176991.15</v>
      </c>
      <c r="R565" s="167">
        <f t="shared" si="62"/>
        <v>0</v>
      </c>
      <c r="S565" s="178">
        <f>IFERROR(VLOOKUP(G565,'附表8-合同明细采集底稿'!B:N,12,0),100%)</f>
        <v>1</v>
      </c>
      <c r="T565" s="167">
        <f t="shared" si="61"/>
        <v>0</v>
      </c>
      <c r="U565" s="157" t="s">
        <v>2405</v>
      </c>
      <c r="V565" s="179" t="s">
        <v>374</v>
      </c>
      <c r="W565" s="181">
        <v>0</v>
      </c>
      <c r="X565" s="181">
        <v>0</v>
      </c>
      <c r="Y565" s="181">
        <v>0</v>
      </c>
      <c r="Z565" s="183" t="s">
        <v>2406</v>
      </c>
      <c r="AA565" s="157"/>
      <c r="AB565" s="184" t="s">
        <v>2319</v>
      </c>
      <c r="AC565" s="132">
        <f t="shared" si="60"/>
        <v>0</v>
      </c>
    </row>
    <row r="566" s="132" customFormat="1" ht="24" customHeight="1" spans="1:29">
      <c r="A566" s="150">
        <v>560</v>
      </c>
      <c r="B566" s="166" t="s">
        <v>4098</v>
      </c>
      <c r="C566" s="166" t="s">
        <v>3453</v>
      </c>
      <c r="D566" s="157" t="s">
        <v>2346</v>
      </c>
      <c r="E566" s="158" t="s">
        <v>2347</v>
      </c>
      <c r="F566" s="189" t="s">
        <v>4099</v>
      </c>
      <c r="G566" s="156"/>
      <c r="H566" s="157" t="str">
        <f>IF(G566="","",VLOOKUP(G566,'附表8-合同明细采集底稿'!B:I,2,0))</f>
        <v/>
      </c>
      <c r="I566" s="165" t="str">
        <f>IF(G566="","",VLOOKUP(G566,'附表8-合同明细采集底稿'!B:I,3,0))</f>
        <v/>
      </c>
      <c r="J566" s="165" t="s">
        <v>4100</v>
      </c>
      <c r="K566" s="157" t="s">
        <v>2335</v>
      </c>
      <c r="L566" s="168" t="s">
        <v>2336</v>
      </c>
      <c r="M566" s="166" t="s">
        <v>4101</v>
      </c>
      <c r="N566" s="167">
        <v>15000</v>
      </c>
      <c r="O566" s="167">
        <v>15000</v>
      </c>
      <c r="P566" s="167">
        <v>15000</v>
      </c>
      <c r="Q566" s="167"/>
      <c r="R566" s="167">
        <f t="shared" si="62"/>
        <v>15000</v>
      </c>
      <c r="S566" s="178">
        <v>0.338555832480367</v>
      </c>
      <c r="T566" s="167">
        <f t="shared" si="61"/>
        <v>5078.34</v>
      </c>
      <c r="U566" s="157" t="s">
        <v>3301</v>
      </c>
      <c r="V566" s="179" t="s">
        <v>375</v>
      </c>
      <c r="W566" s="180">
        <f>IF('附表1-面积统计表'!$D$29=0,"",IF(AND(V566="共同成本费用",Z566="总建筑面积法"),ROUND(T566/'附表1-面积统计表'!$D$29*'附表1-面积统计表'!$D$5,2),IF(AND(V566="共同成本费用",Z566="可售建筑面积法"),ROUND(T566/'附表1-面积统计表'!$F$29*'附表1-面积统计表'!$F$5,2),"请手工填写")))</f>
        <v>2460.27</v>
      </c>
      <c r="X566" s="180">
        <f>IF(SUM('附表1-面积统计表'!$D$6)=0,"",SUM(T566)-SUM(W566)-SUM(Y566))</f>
        <v>1627.78</v>
      </c>
      <c r="Y566" s="180">
        <f>IF(SUM('附表1-面积统计表'!$D$6)=0,SUM(T566)-SUM(W566),IF('附表1-面积统计表'!$D$29=0,"",IF(AND(V566="共同成本费用",Z566="总建筑面积法"),ROUND(T566/'附表1-面积统计表'!$D$29*'附表1-面积统计表'!$D$7,2),IF(AND(V566="共同成本费用",Z566="可售建筑面积法"),ROUND(T566/'附表1-面积统计表'!$F$29*'附表1-面积统计表'!$F$7,2),"请手工填写"))))</f>
        <v>990.29</v>
      </c>
      <c r="Z566" s="183" t="s">
        <v>351</v>
      </c>
      <c r="AA566" s="157"/>
      <c r="AB566" s="184" t="s">
        <v>2319</v>
      </c>
      <c r="AC566" s="132">
        <f t="shared" si="60"/>
        <v>0</v>
      </c>
    </row>
    <row r="567" s="132" customFormat="1" ht="24" customHeight="1" spans="1:29">
      <c r="A567" s="150">
        <v>561</v>
      </c>
      <c r="B567" s="166" t="s">
        <v>4102</v>
      </c>
      <c r="C567" s="166" t="s">
        <v>3319</v>
      </c>
      <c r="D567" s="157" t="s">
        <v>2346</v>
      </c>
      <c r="E567" s="158" t="s">
        <v>2418</v>
      </c>
      <c r="F567" s="189" t="s">
        <v>4103</v>
      </c>
      <c r="G567" s="91" t="s">
        <v>4104</v>
      </c>
      <c r="H567" s="157" t="str">
        <f>IF(G567="","",VLOOKUP(G567,'附表8-合同明细采集底稿'!B:I,2,0))</f>
        <v>沁春锦苑亮化及商业新增亮化</v>
      </c>
      <c r="I567" s="165" t="str">
        <f>IF(G567="","",VLOOKUP(G567,'附表8-合同明细采集底稿'!B:I,3,0))</f>
        <v>其他合同</v>
      </c>
      <c r="J567" s="165" t="s">
        <v>3129</v>
      </c>
      <c r="K567" s="157" t="s">
        <v>2355</v>
      </c>
      <c r="L567" s="166">
        <v>6500193160</v>
      </c>
      <c r="M567" s="166" t="s">
        <v>4105</v>
      </c>
      <c r="N567" s="167">
        <v>91089.11</v>
      </c>
      <c r="O567" s="167">
        <v>92000</v>
      </c>
      <c r="P567" s="167">
        <v>91089.11</v>
      </c>
      <c r="Q567" s="167"/>
      <c r="R567" s="167">
        <f t="shared" si="62"/>
        <v>91089.11</v>
      </c>
      <c r="S567" s="178">
        <f>IFERROR(VLOOKUP(G567,'附表8-合同明细采集底稿'!B:N,12,0),100%)</f>
        <v>0.338555832480367</v>
      </c>
      <c r="T567" s="167">
        <f t="shared" si="61"/>
        <v>30838.75</v>
      </c>
      <c r="U567" s="157" t="s">
        <v>2318</v>
      </c>
      <c r="V567" s="179" t="s">
        <v>375</v>
      </c>
      <c r="W567" s="180">
        <f>IF('附表1-面积统计表'!$D$29=0,"",IF(AND(V567="共同成本费用",Z567="总建筑面积法"),ROUND(T567/'附表1-面积统计表'!$D$29*'附表1-面积统计表'!$D$5,2),IF(AND(V567="共同成本费用",Z567="可售建筑面积法"),ROUND(T567/'附表1-面积统计表'!$F$29*'附表1-面积统计表'!$F$5,2),"请手工填写")))</f>
        <v>14940.24</v>
      </c>
      <c r="X567" s="180">
        <f>IF(SUM('附表1-面积统计表'!$D$6)=0,"",SUM(T567)-SUM(W567)-SUM(Y567))</f>
        <v>9884.87</v>
      </c>
      <c r="Y567" s="180">
        <f>IF(SUM('附表1-面积统计表'!$D$6)=0,SUM(T567)-SUM(W567),IF('附表1-面积统计表'!$D$29=0,"",IF(AND(V567="共同成本费用",Z567="总建筑面积法"),ROUND(T567/'附表1-面积统计表'!$D$29*'附表1-面积统计表'!$D$7,2),IF(AND(V567="共同成本费用",Z567="可售建筑面积法"),ROUND(T567/'附表1-面积统计表'!$F$29*'附表1-面积统计表'!$F$7,2),"请手工填写"))))</f>
        <v>6013.64</v>
      </c>
      <c r="Z567" s="183" t="s">
        <v>351</v>
      </c>
      <c r="AA567" s="157"/>
      <c r="AB567" s="184" t="s">
        <v>2319</v>
      </c>
      <c r="AC567" s="132">
        <f t="shared" si="60"/>
        <v>0</v>
      </c>
    </row>
    <row r="568" s="132" customFormat="1" ht="24" customHeight="1" spans="1:29">
      <c r="A568" s="150">
        <v>562</v>
      </c>
      <c r="B568" s="166" t="s">
        <v>4106</v>
      </c>
      <c r="C568" s="166" t="s">
        <v>3055</v>
      </c>
      <c r="D568" s="157" t="s">
        <v>2533</v>
      </c>
      <c r="E568" s="158" t="s">
        <v>2564</v>
      </c>
      <c r="F568" s="189" t="s">
        <v>4107</v>
      </c>
      <c r="G568" s="156" t="s">
        <v>4086</v>
      </c>
      <c r="H568" s="157" t="str">
        <f>IF(G568="","",VLOOKUP(G568,'附表8-合同明细采集底稿'!B:I,2,0))</f>
        <v>承揽合同（铝合金窗32.33）</v>
      </c>
      <c r="I568" s="165" t="str">
        <f>IF(G568="","",VLOOKUP(G568,'附表8-合同明细采集底稿'!B:I,3,0))</f>
        <v>买卖合同</v>
      </c>
      <c r="J568" s="154" t="s">
        <v>2556</v>
      </c>
      <c r="K568" s="157" t="s">
        <v>2355</v>
      </c>
      <c r="L568" s="166">
        <v>6500213130</v>
      </c>
      <c r="M568" s="166" t="s">
        <v>4108</v>
      </c>
      <c r="N568" s="167">
        <v>134457.53</v>
      </c>
      <c r="O568" s="167">
        <v>151937.01</v>
      </c>
      <c r="P568" s="167">
        <v>134457.53</v>
      </c>
      <c r="Q568" s="167"/>
      <c r="R568" s="167">
        <f t="shared" si="62"/>
        <v>134457.53</v>
      </c>
      <c r="S568" s="178">
        <f>IFERROR(VLOOKUP(G568,'附表8-合同明细采集底稿'!B:N,12,0),100%)</f>
        <v>1</v>
      </c>
      <c r="T568" s="167">
        <f t="shared" si="61"/>
        <v>134457.53</v>
      </c>
      <c r="U568" s="157" t="s">
        <v>2405</v>
      </c>
      <c r="V568" s="179" t="s">
        <v>374</v>
      </c>
      <c r="W568" s="181">
        <v>0</v>
      </c>
      <c r="X568" s="181">
        <v>0</v>
      </c>
      <c r="Y568" s="181">
        <v>134457.53</v>
      </c>
      <c r="Z568" s="183" t="s">
        <v>2406</v>
      </c>
      <c r="AA568" s="157"/>
      <c r="AB568" s="184" t="s">
        <v>2319</v>
      </c>
      <c r="AC568" s="132">
        <f t="shared" si="60"/>
        <v>0</v>
      </c>
    </row>
    <row r="569" s="132" customFormat="1" ht="24" customHeight="1" spans="1:29">
      <c r="A569" s="150">
        <v>563</v>
      </c>
      <c r="B569" s="166" t="s">
        <v>4109</v>
      </c>
      <c r="C569" s="166" t="s">
        <v>4110</v>
      </c>
      <c r="D569" s="157" t="s">
        <v>2533</v>
      </c>
      <c r="E569" s="158" t="s">
        <v>2564</v>
      </c>
      <c r="F569" s="189" t="s">
        <v>4111</v>
      </c>
      <c r="G569" s="156" t="s">
        <v>2958</v>
      </c>
      <c r="H569" s="157" t="str">
        <f>IF(G569="","",VLOOKUP(G569,'附表8-合同明细采集底稿'!B:I,2,0))</f>
        <v>25#26#27#34#断桥铝合金窗工程</v>
      </c>
      <c r="I569" s="165" t="str">
        <f>IF(G569="","",VLOOKUP(G569,'附表8-合同明细采集底稿'!B:I,3,0))</f>
        <v>买卖合同</v>
      </c>
      <c r="J569" s="154" t="s">
        <v>2596</v>
      </c>
      <c r="K569" s="157" t="s">
        <v>2355</v>
      </c>
      <c r="L569" s="166">
        <v>6500213130</v>
      </c>
      <c r="M569" s="166" t="s">
        <v>4112</v>
      </c>
      <c r="N569" s="167">
        <v>86755.4</v>
      </c>
      <c r="O569" s="167">
        <v>98033.6</v>
      </c>
      <c r="P569" s="167">
        <v>86755.4</v>
      </c>
      <c r="Q569" s="167"/>
      <c r="R569" s="167">
        <f t="shared" si="62"/>
        <v>86755.4</v>
      </c>
      <c r="S569" s="178">
        <f>IFERROR(VLOOKUP(G569,'附表8-合同明细采集底稿'!B:N,12,0),100%)</f>
        <v>1</v>
      </c>
      <c r="T569" s="167">
        <f t="shared" si="61"/>
        <v>86755.4</v>
      </c>
      <c r="U569" s="157" t="s">
        <v>2416</v>
      </c>
      <c r="V569" s="179" t="s">
        <v>374</v>
      </c>
      <c r="W569" s="182">
        <f>ROUND(T569*成本分摊比例!$G$13/(成本分摊比例!$G$13+成本分摊比例!$H$13+成本分摊比例!$I$13),2)</f>
        <v>46874.1</v>
      </c>
      <c r="X569" s="182">
        <f>ROUND(T569*成本分摊比例!$H$13/(成本分摊比例!$G$13+成本分摊比例!$H$13+成本分摊比例!$I$13),2)</f>
        <v>31013.19</v>
      </c>
      <c r="Y569" s="182">
        <f>T569-W569-X569</f>
        <v>8868.11</v>
      </c>
      <c r="Z569" s="183" t="s">
        <v>2406</v>
      </c>
      <c r="AA569" s="157"/>
      <c r="AB569" s="184" t="s">
        <v>2319</v>
      </c>
      <c r="AC569" s="132">
        <f t="shared" si="60"/>
        <v>0</v>
      </c>
    </row>
    <row r="570" s="132" customFormat="1" ht="24" customHeight="1" spans="1:29">
      <c r="A570" s="150">
        <v>564</v>
      </c>
      <c r="B570" s="166" t="s">
        <v>4109</v>
      </c>
      <c r="C570" s="166" t="s">
        <v>3493</v>
      </c>
      <c r="D570" s="157" t="s">
        <v>2339</v>
      </c>
      <c r="E570" s="158" t="s">
        <v>2370</v>
      </c>
      <c r="F570" s="189" t="s">
        <v>4113</v>
      </c>
      <c r="G570" s="156"/>
      <c r="H570" s="157" t="str">
        <f>IF(G570="","",VLOOKUP(G570,'附表8-合同明细采集底稿'!B:I,2,0))</f>
        <v/>
      </c>
      <c r="I570" s="165" t="str">
        <f>IF(G570="","",VLOOKUP(G570,'附表8-合同明细采集底稿'!B:I,3,0))</f>
        <v/>
      </c>
      <c r="J570" s="154" t="s">
        <v>3780</v>
      </c>
      <c r="K570" s="157" t="s">
        <v>2355</v>
      </c>
      <c r="L570" s="191">
        <v>6500213130</v>
      </c>
      <c r="M570" s="556" t="s">
        <v>4114</v>
      </c>
      <c r="N570" s="167">
        <v>1226.42</v>
      </c>
      <c r="O570" s="167">
        <v>1300.01</v>
      </c>
      <c r="P570" s="167">
        <v>1226.42</v>
      </c>
      <c r="Q570" s="167"/>
      <c r="R570" s="167">
        <f t="shared" si="62"/>
        <v>1226.42</v>
      </c>
      <c r="S570" s="178">
        <v>1</v>
      </c>
      <c r="T570" s="167">
        <f t="shared" si="61"/>
        <v>1226.42</v>
      </c>
      <c r="U570" s="157" t="s">
        <v>2344</v>
      </c>
      <c r="V570" s="179" t="s">
        <v>375</v>
      </c>
      <c r="W570" s="180">
        <f>IF('附表1-面积统计表'!$D$29=0,"",IF(AND(V570="共同成本费用",Z570="总建筑面积法"),ROUND(T570/'附表1-面积统计表'!$D$29*'附表1-面积统计表'!$D$5,2),IF(AND(V570="共同成本费用",Z570="可售建筑面积法"),ROUND(T570/'附表1-面积统计表'!$F$29*'附表1-面积统计表'!$F$5,2),"请手工填写")))</f>
        <v>594.16</v>
      </c>
      <c r="X570" s="180">
        <f>IF(SUM('附表1-面积统计表'!$D$6)=0,"",SUM(T570)-SUM(W570)-SUM(Y570))</f>
        <v>393.1</v>
      </c>
      <c r="Y570" s="180">
        <f>IF(SUM('附表1-面积统计表'!$D$6)=0,SUM(T570)-SUM(W570),IF('附表1-面积统计表'!$D$29=0,"",IF(AND(V570="共同成本费用",Z570="总建筑面积法"),ROUND(T570/'附表1-面积统计表'!$D$29*'附表1-面积统计表'!$D$7,2),IF(AND(V570="共同成本费用",Z570="可售建筑面积法"),ROUND(T570/'附表1-面积统计表'!$F$29*'附表1-面积统计表'!$F$7,2),"请手工填写"))))</f>
        <v>239.16</v>
      </c>
      <c r="Z570" s="183" t="s">
        <v>351</v>
      </c>
      <c r="AA570" s="157"/>
      <c r="AB570" s="184" t="s">
        <v>2319</v>
      </c>
      <c r="AC570" s="132">
        <f t="shared" si="60"/>
        <v>0</v>
      </c>
    </row>
    <row r="571" s="132" customFormat="1" ht="24" customHeight="1" spans="1:29">
      <c r="A571" s="150">
        <v>565</v>
      </c>
      <c r="B571" s="166" t="s">
        <v>4109</v>
      </c>
      <c r="C571" s="166" t="s">
        <v>3493</v>
      </c>
      <c r="D571" s="157" t="s">
        <v>2339</v>
      </c>
      <c r="E571" s="158" t="s">
        <v>2370</v>
      </c>
      <c r="F571" s="189" t="s">
        <v>4113</v>
      </c>
      <c r="G571" s="156"/>
      <c r="H571" s="157" t="str">
        <f>IF(G571="","",VLOOKUP(G571,'附表8-合同明细采集底稿'!B:I,2,0))</f>
        <v/>
      </c>
      <c r="I571" s="165" t="str">
        <f>IF(G571="","",VLOOKUP(G571,'附表8-合同明细采集底稿'!B:I,3,0))</f>
        <v/>
      </c>
      <c r="J571" s="154" t="s">
        <v>3780</v>
      </c>
      <c r="K571" s="157" t="s">
        <v>2355</v>
      </c>
      <c r="L571" s="191">
        <v>6500213130</v>
      </c>
      <c r="M571" s="556" t="s">
        <v>4115</v>
      </c>
      <c r="N571" s="167">
        <v>1792.45</v>
      </c>
      <c r="O571" s="167">
        <v>1900</v>
      </c>
      <c r="P571" s="167">
        <v>1792.45</v>
      </c>
      <c r="Q571" s="167"/>
      <c r="R571" s="167">
        <f t="shared" si="62"/>
        <v>1792.45</v>
      </c>
      <c r="S571" s="178">
        <v>1</v>
      </c>
      <c r="T571" s="167">
        <f t="shared" si="61"/>
        <v>1792.45</v>
      </c>
      <c r="U571" s="157" t="s">
        <v>2344</v>
      </c>
      <c r="V571" s="179" t="s">
        <v>375</v>
      </c>
      <c r="W571" s="180">
        <f>IF('附表1-面积统计表'!$D$29=0,"",IF(AND(V571="共同成本费用",Z571="总建筑面积法"),ROUND(T571/'附表1-面积统计表'!$D$29*'附表1-面积统计表'!$D$5,2),IF(AND(V571="共同成本费用",Z571="可售建筑面积法"),ROUND(T571/'附表1-面积统计表'!$F$29*'附表1-面积统计表'!$F$5,2),"请手工填写")))</f>
        <v>868.38</v>
      </c>
      <c r="X571" s="180">
        <f>IF(SUM('附表1-面积统计表'!$D$6)=0,"",SUM(T571)-SUM(W571)-SUM(Y571))</f>
        <v>574.54</v>
      </c>
      <c r="Y571" s="180">
        <f>IF(SUM('附表1-面积统计表'!$D$6)=0,SUM(T571)-SUM(W571),IF('附表1-面积统计表'!$D$29=0,"",IF(AND(V571="共同成本费用",Z571="总建筑面积法"),ROUND(T571/'附表1-面积统计表'!$D$29*'附表1-面积统计表'!$D$7,2),IF(AND(V571="共同成本费用",Z571="可售建筑面积法"),ROUND(T571/'附表1-面积统计表'!$F$29*'附表1-面积统计表'!$F$7,2),"请手工填写"))))</f>
        <v>349.53</v>
      </c>
      <c r="Z571" s="183" t="s">
        <v>351</v>
      </c>
      <c r="AA571" s="157"/>
      <c r="AB571" s="184" t="s">
        <v>2319</v>
      </c>
      <c r="AC571" s="132">
        <f t="shared" si="60"/>
        <v>0</v>
      </c>
    </row>
    <row r="572" s="132" customFormat="1" ht="24" customHeight="1" spans="1:29">
      <c r="A572" s="150">
        <v>566</v>
      </c>
      <c r="B572" s="166" t="s">
        <v>4116</v>
      </c>
      <c r="C572" s="166" t="s">
        <v>4030</v>
      </c>
      <c r="D572" s="157" t="s">
        <v>2346</v>
      </c>
      <c r="E572" s="158" t="s">
        <v>2347</v>
      </c>
      <c r="F572" s="189" t="s">
        <v>4117</v>
      </c>
      <c r="G572" s="156" t="s">
        <v>3531</v>
      </c>
      <c r="H572" s="157" t="str">
        <f>IF(G572="","",VLOOKUP(G572,'附表8-合同明细采集底稿'!B:I,2,0))</f>
        <v>沁春锦苑19#20#23#24#楼后花园围栏制作</v>
      </c>
      <c r="I572" s="165" t="str">
        <f>IF(G572="","",VLOOKUP(G572,'附表8-合同明细采集底稿'!B:I,3,0))</f>
        <v>其他合同</v>
      </c>
      <c r="J572" s="165" t="s">
        <v>3529</v>
      </c>
      <c r="K572" s="157" t="s">
        <v>2355</v>
      </c>
      <c r="L572" s="166">
        <v>6500213130</v>
      </c>
      <c r="M572" s="166" t="s">
        <v>4118</v>
      </c>
      <c r="N572" s="167">
        <v>3115.62</v>
      </c>
      <c r="O572" s="167">
        <v>3520.65</v>
      </c>
      <c r="P572" s="167">
        <v>3115.62</v>
      </c>
      <c r="Q572" s="167"/>
      <c r="R572" s="167">
        <f t="shared" si="62"/>
        <v>3115.62</v>
      </c>
      <c r="S572" s="178">
        <f>IFERROR(VLOOKUP(G572,'附表8-合同明细采集底稿'!B:N,12,0),100%)</f>
        <v>1</v>
      </c>
      <c r="T572" s="167">
        <f t="shared" si="61"/>
        <v>3115.62</v>
      </c>
      <c r="U572" s="157" t="s">
        <v>2416</v>
      </c>
      <c r="V572" s="179" t="s">
        <v>374</v>
      </c>
      <c r="W572" s="182">
        <f>ROUND(T572*成本分摊比例!$G$13/(成本分摊比例!$G$13+成本分摊比例!$H$13+成本分摊比例!$I$13),2)</f>
        <v>1683.38</v>
      </c>
      <c r="X572" s="182">
        <f>ROUND(T572*成本分摊比例!$H$13/(成本分摊比例!$G$13+成本分摊比例!$H$13+成本分摊比例!$I$13),2)</f>
        <v>1113.77</v>
      </c>
      <c r="Y572" s="182">
        <f>T572-W572-X572</f>
        <v>318.47</v>
      </c>
      <c r="Z572" s="183" t="s">
        <v>2406</v>
      </c>
      <c r="AA572" s="157"/>
      <c r="AB572" s="184" t="s">
        <v>2319</v>
      </c>
      <c r="AC572" s="132">
        <f t="shared" si="60"/>
        <v>0</v>
      </c>
    </row>
    <row r="573" s="132" customFormat="1" ht="24" customHeight="1" spans="1:29">
      <c r="A573" s="150">
        <v>567</v>
      </c>
      <c r="B573" s="209" t="s">
        <v>4116</v>
      </c>
      <c r="C573" s="166" t="s">
        <v>4030</v>
      </c>
      <c r="D573" s="157" t="s">
        <v>2346</v>
      </c>
      <c r="E573" s="158" t="s">
        <v>2347</v>
      </c>
      <c r="F573" s="189" t="s">
        <v>4117</v>
      </c>
      <c r="G573" s="156" t="s">
        <v>4119</v>
      </c>
      <c r="H573" s="157" t="str">
        <f>IF(G573="","",VLOOKUP(G573,'附表8-合同明细采集底稿'!B:I,2,0))</f>
        <v>消防通道大门制作安装</v>
      </c>
      <c r="I573" s="165" t="str">
        <f>IF(G573="","",VLOOKUP(G573,'附表8-合同明细采集底稿'!B:I,3,0))</f>
        <v>买卖合同</v>
      </c>
      <c r="J573" s="165" t="s">
        <v>3529</v>
      </c>
      <c r="K573" s="157" t="s">
        <v>2355</v>
      </c>
      <c r="L573" s="166">
        <v>6500213130</v>
      </c>
      <c r="M573" s="166" t="s">
        <v>4120</v>
      </c>
      <c r="N573" s="167">
        <v>55752.21</v>
      </c>
      <c r="O573" s="167">
        <v>63000</v>
      </c>
      <c r="P573" s="167">
        <v>55752.21</v>
      </c>
      <c r="Q573" s="167"/>
      <c r="R573" s="167">
        <f t="shared" si="62"/>
        <v>55752.21</v>
      </c>
      <c r="S573" s="178">
        <f>IFERROR(VLOOKUP(G573,'附表8-合同明细采集底稿'!B:N,12,0),100%)</f>
        <v>0.338555832480367</v>
      </c>
      <c r="T573" s="167">
        <f t="shared" si="61"/>
        <v>18875.24</v>
      </c>
      <c r="U573" s="157" t="s">
        <v>3301</v>
      </c>
      <c r="V573" s="179" t="s">
        <v>375</v>
      </c>
      <c r="W573" s="180">
        <f>IF('附表1-面积统计表'!$D$29=0,"",IF(AND(V573="共同成本费用",Z573="总建筑面积法"),ROUND(T573/'附表1-面积统计表'!$D$29*'附表1-面积统计表'!$D$5,2),IF(AND(V573="共同成本费用",Z573="可售建筑面积法"),ROUND(T573/'附表1-面积统计表'!$F$29*'附表1-面积统计表'!$F$5,2),"请手工填写")))</f>
        <v>9144.36</v>
      </c>
      <c r="X573" s="180">
        <f>IF(SUM('附表1-面积统计表'!$D$6)=0,"",SUM(T573)-SUM(W573)-SUM(Y573))</f>
        <v>6050.16</v>
      </c>
      <c r="Y573" s="180">
        <f>IF(SUM('附表1-面积统计表'!$D$6)=0,SUM(T573)-SUM(W573),IF('附表1-面积统计表'!$D$29=0,"",IF(AND(V573="共同成本费用",Z573="总建筑面积法"),ROUND(T573/'附表1-面积统计表'!$D$29*'附表1-面积统计表'!$D$7,2),IF(AND(V573="共同成本费用",Z573="可售建筑面积法"),ROUND(T573/'附表1-面积统计表'!$F$29*'附表1-面积统计表'!$F$7,2),"请手工填写"))))</f>
        <v>3680.72</v>
      </c>
      <c r="Z573" s="183" t="s">
        <v>351</v>
      </c>
      <c r="AA573" s="157"/>
      <c r="AB573" s="184" t="s">
        <v>2319</v>
      </c>
      <c r="AC573" s="132">
        <f t="shared" si="60"/>
        <v>0</v>
      </c>
    </row>
    <row r="574" s="132" customFormat="1" ht="24" customHeight="1" spans="1:29">
      <c r="A574" s="150">
        <v>568</v>
      </c>
      <c r="B574" s="209" t="s">
        <v>2936</v>
      </c>
      <c r="C574" s="166" t="s">
        <v>3959</v>
      </c>
      <c r="D574" s="157" t="s">
        <v>2331</v>
      </c>
      <c r="E574" s="158" t="s">
        <v>3544</v>
      </c>
      <c r="F574" s="189" t="s">
        <v>4121</v>
      </c>
      <c r="G574" s="156" t="s">
        <v>4122</v>
      </c>
      <c r="H574" s="157" t="str">
        <f>IF(G574="","",VLOOKUP(G574,'附表8-合同明细采集底稿'!B:I,2,0))</f>
        <v>沁春锦苑幼儿园审图费</v>
      </c>
      <c r="I574" s="165" t="str">
        <f>IF(G574="","",VLOOKUP(G574,'附表8-合同明细采集底稿'!B:I,3,0))</f>
        <v>技术合同</v>
      </c>
      <c r="J574" s="154" t="s">
        <v>2366</v>
      </c>
      <c r="K574" s="157" t="s">
        <v>2355</v>
      </c>
      <c r="L574" s="166">
        <v>6500193130</v>
      </c>
      <c r="M574" s="166" t="s">
        <v>4123</v>
      </c>
      <c r="N574" s="167">
        <v>2687.74</v>
      </c>
      <c r="O574" s="167">
        <v>2849</v>
      </c>
      <c r="P574" s="167">
        <v>2687.74</v>
      </c>
      <c r="Q574" s="167"/>
      <c r="R574" s="167">
        <f t="shared" si="62"/>
        <v>2687.74</v>
      </c>
      <c r="S574" s="178">
        <f>IFERROR(VLOOKUP(G574,'附表8-合同明细采集底稿'!B:N,12,0),100%)</f>
        <v>0.338555832480367</v>
      </c>
      <c r="T574" s="167">
        <f t="shared" si="61"/>
        <v>909.95</v>
      </c>
      <c r="U574" s="157" t="s">
        <v>3678</v>
      </c>
      <c r="V574" s="179" t="s">
        <v>375</v>
      </c>
      <c r="W574" s="180">
        <f>IF('附表1-面积统计表'!$D$29=0,"",IF(AND(V574="共同成本费用",Z574="总建筑面积法"),ROUND(T574/'附表1-面积统计表'!$D$29*'附表1-面积统计表'!$D$5,2),IF(AND(V574="共同成本费用",Z574="可售建筑面积法"),ROUND(T574/'附表1-面积统计表'!$F$29*'附表1-面积统计表'!$F$5,2),"请手工填写")))</f>
        <v>440.84</v>
      </c>
      <c r="X574" s="180">
        <f>IF(SUM('附表1-面积统计表'!$D$6)=0,"",SUM(T574)-SUM(W574)-SUM(Y574))</f>
        <v>291.67</v>
      </c>
      <c r="Y574" s="180">
        <f>IF(SUM('附表1-面积统计表'!$D$6)=0,SUM(T574)-SUM(W574),IF('附表1-面积统计表'!$D$29=0,"",IF(AND(V574="共同成本费用",Z574="总建筑面积法"),ROUND(T574/'附表1-面积统计表'!$D$29*'附表1-面积统计表'!$D$7,2),IF(AND(V574="共同成本费用",Z574="可售建筑面积法"),ROUND(T574/'附表1-面积统计表'!$F$29*'附表1-面积统计表'!$F$7,2),"请手工填写"))))</f>
        <v>177.44</v>
      </c>
      <c r="Z574" s="183" t="s">
        <v>351</v>
      </c>
      <c r="AA574" s="157"/>
      <c r="AB574" s="184" t="s">
        <v>2319</v>
      </c>
      <c r="AC574" s="132">
        <f t="shared" si="60"/>
        <v>0</v>
      </c>
    </row>
    <row r="575" s="132" customFormat="1" ht="24" customHeight="1" spans="1:29">
      <c r="A575" s="150">
        <v>569</v>
      </c>
      <c r="B575" s="209" t="s">
        <v>2936</v>
      </c>
      <c r="C575" s="166" t="s">
        <v>3122</v>
      </c>
      <c r="D575" s="157" t="s">
        <v>2331</v>
      </c>
      <c r="E575" s="158" t="s">
        <v>3544</v>
      </c>
      <c r="F575" s="189" t="s">
        <v>4124</v>
      </c>
      <c r="G575" s="156"/>
      <c r="H575" s="157" t="str">
        <f>IF(G575="","",VLOOKUP(G575,'附表8-合同明细采集底稿'!B:I,2,0))</f>
        <v/>
      </c>
      <c r="I575" s="165" t="str">
        <f>IF(G575="","",VLOOKUP(G575,'附表8-合同明细采集底稿'!B:I,3,0))</f>
        <v/>
      </c>
      <c r="J575" s="154" t="s">
        <v>3764</v>
      </c>
      <c r="K575" s="157" t="s">
        <v>2355</v>
      </c>
      <c r="L575" s="166">
        <v>6500193130</v>
      </c>
      <c r="M575" s="166" t="s">
        <v>4125</v>
      </c>
      <c r="N575" s="167">
        <v>2600</v>
      </c>
      <c r="O575" s="167">
        <v>2756</v>
      </c>
      <c r="P575" s="167">
        <v>2600</v>
      </c>
      <c r="Q575" s="167"/>
      <c r="R575" s="167">
        <f t="shared" si="62"/>
        <v>2600</v>
      </c>
      <c r="S575" s="178">
        <v>0.338555832480367</v>
      </c>
      <c r="T575" s="167">
        <f t="shared" si="61"/>
        <v>880.25</v>
      </c>
      <c r="U575" s="157" t="s">
        <v>3678</v>
      </c>
      <c r="V575" s="179" t="s">
        <v>375</v>
      </c>
      <c r="W575" s="180">
        <f>IF('附表1-面积统计表'!$D$29=0,"",IF(AND(V575="共同成本费用",Z575="总建筑面积法"),ROUND(T575/'附表1-面积统计表'!$D$29*'附表1-面积统计表'!$D$5,2),IF(AND(V575="共同成本费用",Z575="可售建筑面积法"),ROUND(T575/'附表1-面积统计表'!$F$29*'附表1-面积统计表'!$F$5,2),"请手工填写")))</f>
        <v>426.45</v>
      </c>
      <c r="X575" s="180">
        <f>IF(SUM('附表1-面积统计表'!$D$6)=0,"",SUM(T575)-SUM(W575)-SUM(Y575))</f>
        <v>282.15</v>
      </c>
      <c r="Y575" s="180">
        <f>IF(SUM('附表1-面积统计表'!$D$6)=0,SUM(T575)-SUM(W575),IF('附表1-面积统计表'!$D$29=0,"",IF(AND(V575="共同成本费用",Z575="总建筑面积法"),ROUND(T575/'附表1-面积统计表'!$D$29*'附表1-面积统计表'!$D$7,2),IF(AND(V575="共同成本费用",Z575="可售建筑面积法"),ROUND(T575/'附表1-面积统计表'!$F$29*'附表1-面积统计表'!$F$7,2),"请手工填写"))))</f>
        <v>171.65</v>
      </c>
      <c r="Z575" s="183" t="s">
        <v>351</v>
      </c>
      <c r="AA575" s="157"/>
      <c r="AB575" s="184" t="s">
        <v>2319</v>
      </c>
      <c r="AC575" s="132">
        <f t="shared" si="60"/>
        <v>0</v>
      </c>
    </row>
    <row r="576" s="132" customFormat="1" ht="24" customHeight="1" spans="1:29">
      <c r="A576" s="150">
        <v>570</v>
      </c>
      <c r="B576" s="209" t="s">
        <v>3471</v>
      </c>
      <c r="C576" s="166" t="s">
        <v>3365</v>
      </c>
      <c r="D576" s="157" t="s">
        <v>2331</v>
      </c>
      <c r="E576" s="158" t="s">
        <v>3544</v>
      </c>
      <c r="F576" s="189" t="s">
        <v>4126</v>
      </c>
      <c r="G576" s="156" t="s">
        <v>3676</v>
      </c>
      <c r="H576" s="157" t="str">
        <f>IF(G576="","",VLOOKUP(G576,'附表8-合同明细采集底稿'!B:I,2,0))</f>
        <v>建设工程施工合同12-15#楼38#楼、31#楼幼儿园（幼儿园—）</v>
      </c>
      <c r="I576" s="165" t="str">
        <f>IF(G576="","",VLOOKUP(G576,'附表8-合同明细采集底稿'!B:I,3,0))</f>
        <v>建设工程合同</v>
      </c>
      <c r="J576" s="154" t="s">
        <v>151</v>
      </c>
      <c r="K576" s="157" t="s">
        <v>2355</v>
      </c>
      <c r="L576" s="166">
        <v>6500193130</v>
      </c>
      <c r="M576" s="166" t="s">
        <v>4127</v>
      </c>
      <c r="N576" s="167">
        <v>646149.54</v>
      </c>
      <c r="O576" s="167">
        <v>646149.54</v>
      </c>
      <c r="P576" s="167">
        <v>646149.54</v>
      </c>
      <c r="Q576" s="167"/>
      <c r="R576" s="167">
        <f t="shared" si="62"/>
        <v>646149.54</v>
      </c>
      <c r="S576" s="178">
        <f>IFERROR(VLOOKUP(G576,'附表8-合同明细采集底稿'!B:N,12,0),100%)</f>
        <v>0.338555832480367</v>
      </c>
      <c r="T576" s="167">
        <f t="shared" si="61"/>
        <v>218757.7</v>
      </c>
      <c r="U576" s="157" t="s">
        <v>3678</v>
      </c>
      <c r="V576" s="179" t="s">
        <v>375</v>
      </c>
      <c r="W576" s="180">
        <f>IF('附表1-面积统计表'!$D$29=0,"",IF(AND(V576="共同成本费用",Z576="总建筑面积法"),ROUND(T576/'附表1-面积统计表'!$D$29*'附表1-面积统计表'!$D$5,2),IF(AND(V576="共同成本费用",Z576="可售建筑面积法"),ROUND(T576/'附表1-面积统计表'!$F$29*'附表1-面积统计表'!$F$5,2),"请手工填写")))</f>
        <v>105980.03</v>
      </c>
      <c r="X576" s="180">
        <f>IF(SUM('附表1-面积统计表'!$D$6)=0,"",SUM(T576)-SUM(W576)-SUM(Y576))</f>
        <v>70119.3</v>
      </c>
      <c r="Y576" s="180">
        <f>IF(SUM('附表1-面积统计表'!$D$6)=0,SUM(T576)-SUM(W576),IF('附表1-面积统计表'!$D$29=0,"",IF(AND(V576="共同成本费用",Z576="总建筑面积法"),ROUND(T576/'附表1-面积统计表'!$D$29*'附表1-面积统计表'!$D$7,2),IF(AND(V576="共同成本费用",Z576="可售建筑面积法"),ROUND(T576/'附表1-面积统计表'!$F$29*'附表1-面积统计表'!$F$7,2),"请手工填写"))))</f>
        <v>42658.37</v>
      </c>
      <c r="Z576" s="183" t="s">
        <v>351</v>
      </c>
      <c r="AA576" s="157"/>
      <c r="AB576" s="184" t="s">
        <v>2319</v>
      </c>
      <c r="AC576" s="132">
        <f t="shared" si="60"/>
        <v>0</v>
      </c>
    </row>
    <row r="577" s="132" customFormat="1" ht="24" customHeight="1" spans="1:29">
      <c r="A577" s="150">
        <v>571</v>
      </c>
      <c r="B577" s="209" t="s">
        <v>3471</v>
      </c>
      <c r="C577" s="166" t="s">
        <v>3365</v>
      </c>
      <c r="D577" s="157" t="s">
        <v>2533</v>
      </c>
      <c r="E577" s="158" t="s">
        <v>2564</v>
      </c>
      <c r="F577" s="189" t="s">
        <v>4126</v>
      </c>
      <c r="G577" s="156" t="s">
        <v>3679</v>
      </c>
      <c r="H577" s="157" t="str">
        <f>IF(G577="","",VLOOKUP(G577,'附表8-合同明细采集底稿'!B:I,2,0))</f>
        <v>建设工程施工合同12-15#楼38#楼、31#楼.36#幼儿园（36#楼）</v>
      </c>
      <c r="I577" s="165" t="str">
        <f>IF(G577="","",VLOOKUP(G577,'附表8-合同明细采集底稿'!B:I,3,0))</f>
        <v>建设工程合同</v>
      </c>
      <c r="J577" s="154" t="s">
        <v>151</v>
      </c>
      <c r="K577" s="157" t="s">
        <v>2355</v>
      </c>
      <c r="L577" s="166">
        <v>6500193130</v>
      </c>
      <c r="M577" s="166" t="s">
        <v>4127</v>
      </c>
      <c r="N577" s="167">
        <v>212848.63</v>
      </c>
      <c r="O577" s="167">
        <v>232005.01</v>
      </c>
      <c r="P577" s="167">
        <v>212848.63</v>
      </c>
      <c r="Q577" s="167">
        <v>-212848.63</v>
      </c>
      <c r="R577" s="167">
        <f t="shared" si="62"/>
        <v>0</v>
      </c>
      <c r="S577" s="178">
        <f>IFERROR(VLOOKUP(G577,'附表8-合同明细采集底稿'!B:N,12,0),100%)</f>
        <v>1</v>
      </c>
      <c r="T577" s="167">
        <f t="shared" si="61"/>
        <v>0</v>
      </c>
      <c r="U577" s="157" t="s">
        <v>3680</v>
      </c>
      <c r="V577" s="179" t="s">
        <v>374</v>
      </c>
      <c r="W577" s="181">
        <v>0</v>
      </c>
      <c r="X577" s="181">
        <v>0</v>
      </c>
      <c r="Y577" s="181">
        <v>0</v>
      </c>
      <c r="Z577" s="183" t="s">
        <v>2406</v>
      </c>
      <c r="AA577" s="157"/>
      <c r="AB577" s="184" t="s">
        <v>2319</v>
      </c>
      <c r="AC577" s="132">
        <f t="shared" si="60"/>
        <v>0</v>
      </c>
    </row>
    <row r="578" s="132" customFormat="1" ht="24" customHeight="1" spans="1:29">
      <c r="A578" s="150">
        <v>572</v>
      </c>
      <c r="B578" s="209" t="s">
        <v>3775</v>
      </c>
      <c r="C578" s="166" t="s">
        <v>4128</v>
      </c>
      <c r="D578" s="157" t="s">
        <v>2331</v>
      </c>
      <c r="E578" s="158" t="s">
        <v>3544</v>
      </c>
      <c r="F578" s="189" t="s">
        <v>4129</v>
      </c>
      <c r="G578" s="156"/>
      <c r="H578" s="157" t="str">
        <f>IF(G578="","",VLOOKUP(G578,'附表8-合同明细采集底稿'!B:I,2,0))</f>
        <v/>
      </c>
      <c r="I578" s="165" t="str">
        <f>IF(G578="","",VLOOKUP(G578,'附表8-合同明细采集底稿'!B:I,3,0))</f>
        <v/>
      </c>
      <c r="J578" s="154" t="s">
        <v>3764</v>
      </c>
      <c r="K578" s="157" t="s">
        <v>2355</v>
      </c>
      <c r="L578" s="166">
        <v>6500203130</v>
      </c>
      <c r="M578" s="155" t="s">
        <v>4130</v>
      </c>
      <c r="N578" s="167">
        <v>2526.42</v>
      </c>
      <c r="O578" s="167">
        <v>1300</v>
      </c>
      <c r="P578" s="167">
        <v>2526.42</v>
      </c>
      <c r="Q578" s="167"/>
      <c r="R578" s="167">
        <f t="shared" si="62"/>
        <v>2526.42</v>
      </c>
      <c r="S578" s="178">
        <v>0.338555832480367</v>
      </c>
      <c r="T578" s="167">
        <f t="shared" ref="T578:T585" si="66">ROUND(SUM(R578)*SUM(S578),2)</f>
        <v>855.33</v>
      </c>
      <c r="U578" s="157" t="s">
        <v>3678</v>
      </c>
      <c r="V578" s="179" t="s">
        <v>375</v>
      </c>
      <c r="W578" s="180">
        <f>IF('附表1-面积统计表'!$D$29=0,"",IF(AND(V578="共同成本费用",Z578="总建筑面积法"),ROUND(T578/'附表1-面积统计表'!$D$29*'附表1-面积统计表'!$D$5,2),IF(AND(V578="共同成本费用",Z578="可售建筑面积法"),ROUND(T578/'附表1-面积统计表'!$F$29*'附表1-面积统计表'!$F$5,2),"请手工填写")))</f>
        <v>414.38</v>
      </c>
      <c r="X578" s="180">
        <f>IF(SUM('附表1-面积统计表'!$D$6)=0,"",SUM(T578)-SUM(W578)-SUM(Y578))</f>
        <v>274.16</v>
      </c>
      <c r="Y578" s="180">
        <f>IF(SUM('附表1-面积统计表'!$D$6)=0,SUM(T578)-SUM(W578),IF('附表1-面积统计表'!$D$29=0,"",IF(AND(V578="共同成本费用",Z578="总建筑面积法"),ROUND(T578/'附表1-面积统计表'!$D$29*'附表1-面积统计表'!$D$7,2),IF(AND(V578="共同成本费用",Z578="可售建筑面积法"),ROUND(T578/'附表1-面积统计表'!$F$29*'附表1-面积统计表'!$F$7,2),"请手工填写"))))</f>
        <v>166.79</v>
      </c>
      <c r="Z578" s="183" t="s">
        <v>351</v>
      </c>
      <c r="AA578" s="157"/>
      <c r="AB578" s="184" t="s">
        <v>2319</v>
      </c>
      <c r="AC578" s="132">
        <f t="shared" si="60"/>
        <v>0</v>
      </c>
    </row>
    <row r="579" s="132" customFormat="1" ht="24" customHeight="1" spans="1:29">
      <c r="A579" s="150">
        <v>573</v>
      </c>
      <c r="B579" s="209" t="s">
        <v>4131</v>
      </c>
      <c r="C579" s="166" t="s">
        <v>3353</v>
      </c>
      <c r="D579" s="157" t="s">
        <v>2331</v>
      </c>
      <c r="E579" s="158" t="s">
        <v>3544</v>
      </c>
      <c r="F579" s="189" t="s">
        <v>4132</v>
      </c>
      <c r="G579" s="156" t="s">
        <v>4069</v>
      </c>
      <c r="H579" s="157" t="str">
        <f>IF(G579="","",VLOOKUP(G579,'附表8-合同明细采集底稿'!B:I,2,0))</f>
        <v>幼儿园电梯销售安装合同（31#楼）</v>
      </c>
      <c r="I579" s="165" t="str">
        <f>IF(G579="","",VLOOKUP(G579,'附表8-合同明细采集底稿'!B:I,3,0))</f>
        <v>买卖合同</v>
      </c>
      <c r="J579" s="154" t="s">
        <v>2999</v>
      </c>
      <c r="K579" s="157" t="s">
        <v>2355</v>
      </c>
      <c r="L579" s="166">
        <v>6500203130</v>
      </c>
      <c r="M579" s="556" t="s">
        <v>4133</v>
      </c>
      <c r="N579" s="167">
        <v>59292.04</v>
      </c>
      <c r="O579" s="167">
        <v>67000</v>
      </c>
      <c r="P579" s="167">
        <v>59292.04</v>
      </c>
      <c r="Q579" s="167"/>
      <c r="R579" s="167">
        <f t="shared" si="62"/>
        <v>59292.04</v>
      </c>
      <c r="S579" s="178">
        <f>IFERROR(VLOOKUP(G579,'附表8-合同明细采集底稿'!B:N,12,0),100%)</f>
        <v>0.338555832480367</v>
      </c>
      <c r="T579" s="167">
        <f t="shared" si="66"/>
        <v>20073.67</v>
      </c>
      <c r="U579" s="157" t="s">
        <v>3678</v>
      </c>
      <c r="V579" s="179" t="s">
        <v>375</v>
      </c>
      <c r="W579" s="180">
        <f>IF('附表1-面积统计表'!$D$29=0,"",IF(AND(V579="共同成本费用",Z579="总建筑面积法"),ROUND(T579/'附表1-面积统计表'!$D$29*'附表1-面积统计表'!$D$5,2),IF(AND(V579="共同成本费用",Z579="可售建筑面积法"),ROUND(T579/'附表1-面积统计表'!$F$29*'附表1-面积统计表'!$F$5,2),"请手工填写")))</f>
        <v>9724.95</v>
      </c>
      <c r="X579" s="180">
        <f>IF(SUM('附表1-面积统计表'!$D$6)=0,"",SUM(T579)-SUM(W579)-SUM(Y579))</f>
        <v>6434.3</v>
      </c>
      <c r="Y579" s="180">
        <f>IF(SUM('附表1-面积统计表'!$D$6)=0,SUM(T579)-SUM(W579),IF('附表1-面积统计表'!$D$29=0,"",IF(AND(V579="共同成本费用",Z579="总建筑面积法"),ROUND(T579/'附表1-面积统计表'!$D$29*'附表1-面积统计表'!$D$7,2),IF(AND(V579="共同成本费用",Z579="可售建筑面积法"),ROUND(T579/'附表1-面积统计表'!$F$29*'附表1-面积统计表'!$F$7,2),"请手工填写"))))</f>
        <v>3914.42</v>
      </c>
      <c r="Z579" s="183" t="s">
        <v>351</v>
      </c>
      <c r="AA579" s="157"/>
      <c r="AB579" s="184" t="s">
        <v>2319</v>
      </c>
      <c r="AC579" s="132">
        <f t="shared" si="60"/>
        <v>0</v>
      </c>
    </row>
    <row r="580" s="132" customFormat="1" ht="24" customHeight="1" spans="1:29">
      <c r="A580" s="150">
        <v>574</v>
      </c>
      <c r="B580" s="209" t="s">
        <v>3869</v>
      </c>
      <c r="C580" s="166" t="s">
        <v>3921</v>
      </c>
      <c r="D580" s="157" t="s">
        <v>2346</v>
      </c>
      <c r="E580" s="158" t="s">
        <v>3135</v>
      </c>
      <c r="F580" s="189" t="s">
        <v>4134</v>
      </c>
      <c r="G580" s="156" t="s">
        <v>4135</v>
      </c>
      <c r="H580" s="157" t="str">
        <f>IF(G580="","",VLOOKUP(G580,'附表8-合同明细采集底稿'!B:I,2,0))</f>
        <v>沁春锦苑小区一体化污水处理设备购销</v>
      </c>
      <c r="I580" s="165" t="str">
        <f>IF(G580="","",VLOOKUP(G580,'附表8-合同明细采集底稿'!B:I,3,0))</f>
        <v>其他合同</v>
      </c>
      <c r="J580" s="211" t="s">
        <v>4136</v>
      </c>
      <c r="K580" s="157" t="s">
        <v>2355</v>
      </c>
      <c r="L580" s="191">
        <v>6500201130</v>
      </c>
      <c r="M580" s="155" t="s">
        <v>4137</v>
      </c>
      <c r="N580" s="167">
        <v>447823</v>
      </c>
      <c r="O580" s="167">
        <v>506040</v>
      </c>
      <c r="P580" s="167">
        <v>447823</v>
      </c>
      <c r="Q580" s="167"/>
      <c r="R580" s="167">
        <f t="shared" si="62"/>
        <v>447823</v>
      </c>
      <c r="S580" s="178">
        <f>IFERROR(VLOOKUP(G580,'附表8-合同明细采集底稿'!B:N,12,0),100%)</f>
        <v>0.338555832480367</v>
      </c>
      <c r="T580" s="167">
        <f t="shared" si="66"/>
        <v>151613.09</v>
      </c>
      <c r="U580" s="157" t="s">
        <v>2318</v>
      </c>
      <c r="V580" s="179" t="s">
        <v>375</v>
      </c>
      <c r="W580" s="180">
        <f>IF('附表1-面积统计表'!$D$29=0,"",IF(AND(V580="共同成本费用",Z580="总建筑面积法"),ROUND(T580/'附表1-面积统计表'!$D$29*'附表1-面积统计表'!$D$5,2),IF(AND(V580="共同成本费用",Z580="可售建筑面积法"),ROUND(T580/'附表1-面积统计表'!$F$29*'附表1-面积统计表'!$F$5,2),"请手工填写")))</f>
        <v>73450.94</v>
      </c>
      <c r="X580" s="180">
        <f>IF(SUM('附表1-面积统计表'!$D$6)=0,"",SUM(T580)-SUM(W580)-SUM(Y580))</f>
        <v>48597.17</v>
      </c>
      <c r="Y580" s="180">
        <f>IF(SUM('附表1-面积统计表'!$D$6)=0,SUM(T580)-SUM(W580),IF('附表1-面积统计表'!$D$29=0,"",IF(AND(V580="共同成本费用",Z580="总建筑面积法"),ROUND(T580/'附表1-面积统计表'!$D$29*'附表1-面积统计表'!$D$7,2),IF(AND(V580="共同成本费用",Z580="可售建筑面积法"),ROUND(T580/'附表1-面积统计表'!$F$29*'附表1-面积统计表'!$F$7,2),"请手工填写"))))</f>
        <v>29564.98</v>
      </c>
      <c r="Z580" s="183" t="s">
        <v>351</v>
      </c>
      <c r="AA580" s="157"/>
      <c r="AB580" s="184" t="s">
        <v>2319</v>
      </c>
      <c r="AC580" s="132">
        <f t="shared" si="60"/>
        <v>0</v>
      </c>
    </row>
    <row r="581" s="132" customFormat="1" ht="24" customHeight="1" spans="1:29">
      <c r="A581" s="150">
        <v>575</v>
      </c>
      <c r="B581" s="209" t="s">
        <v>3869</v>
      </c>
      <c r="C581" s="166" t="s">
        <v>3079</v>
      </c>
      <c r="D581" s="157" t="s">
        <v>2331</v>
      </c>
      <c r="E581" s="158" t="s">
        <v>3544</v>
      </c>
      <c r="F581" s="189" t="s">
        <v>3873</v>
      </c>
      <c r="G581" s="156" t="s">
        <v>4138</v>
      </c>
      <c r="H581" s="157" t="str">
        <f>IF(G581="","",VLOOKUP(G581,'附表8-合同明细采集底稿'!B:I,2,0))</f>
        <v>幼儿园建设工程设计合同（民用建设工程设计合同）</v>
      </c>
      <c r="I581" s="165" t="str">
        <f>IF(G581="","",VLOOKUP(G581,'附表8-合同明细采集底稿'!B:I,3,0))</f>
        <v>技术合同</v>
      </c>
      <c r="J581" s="154" t="s">
        <v>3057</v>
      </c>
      <c r="K581" s="157" t="s">
        <v>2355</v>
      </c>
      <c r="L581" s="166">
        <v>6500203130</v>
      </c>
      <c r="M581" s="166" t="s">
        <v>4139</v>
      </c>
      <c r="N581" s="167">
        <v>15518.87</v>
      </c>
      <c r="O581" s="167">
        <v>16450</v>
      </c>
      <c r="P581" s="167">
        <v>15518.87</v>
      </c>
      <c r="Q581" s="167"/>
      <c r="R581" s="167">
        <f t="shared" si="62"/>
        <v>15518.87</v>
      </c>
      <c r="S581" s="178">
        <f>IFERROR(VLOOKUP(G581,'附表8-合同明细采集底稿'!B:N,12,0),100%)</f>
        <v>0.338555832480367</v>
      </c>
      <c r="T581" s="167">
        <f t="shared" si="66"/>
        <v>5254</v>
      </c>
      <c r="U581" s="157" t="s">
        <v>3678</v>
      </c>
      <c r="V581" s="179" t="s">
        <v>375</v>
      </c>
      <c r="W581" s="180">
        <f>IF('附表1-面积统计表'!$D$29=0,"",IF(AND(V581="共同成本费用",Z581="总建筑面积法"),ROUND(T581/'附表1-面积统计表'!$D$29*'附表1-面积统计表'!$D$5,2),IF(AND(V581="共同成本费用",Z581="可售建筑面积法"),ROUND(T581/'附表1-面积统计表'!$F$29*'附表1-面积统计表'!$F$5,2),"请手工填写")))</f>
        <v>2545.37</v>
      </c>
      <c r="X581" s="180">
        <f>IF(SUM('附表1-面积统计表'!$D$6)=0,"",SUM(T581)-SUM(W581)-SUM(Y581))</f>
        <v>1684.09</v>
      </c>
      <c r="Y581" s="180">
        <f>IF(SUM('附表1-面积统计表'!$D$6)=0,SUM(T581)-SUM(W581),IF('附表1-面积统计表'!$D$29=0,"",IF(AND(V581="共同成本费用",Z581="总建筑面积法"),ROUND(T581/'附表1-面积统计表'!$D$29*'附表1-面积统计表'!$D$7,2),IF(AND(V581="共同成本费用",Z581="可售建筑面积法"),ROUND(T581/'附表1-面积统计表'!$F$29*'附表1-面积统计表'!$F$7,2),"请手工填写"))))</f>
        <v>1024.54</v>
      </c>
      <c r="Z581" s="183" t="s">
        <v>351</v>
      </c>
      <c r="AA581" s="157"/>
      <c r="AB581" s="184" t="s">
        <v>2319</v>
      </c>
      <c r="AC581" s="132">
        <f t="shared" si="60"/>
        <v>0</v>
      </c>
    </row>
    <row r="582" s="132" customFormat="1" ht="24" customHeight="1" spans="1:29">
      <c r="A582" s="150">
        <v>576</v>
      </c>
      <c r="B582" s="209" t="s">
        <v>3879</v>
      </c>
      <c r="C582" s="166" t="s">
        <v>4140</v>
      </c>
      <c r="D582" s="157" t="s">
        <v>2331</v>
      </c>
      <c r="E582" s="158" t="s">
        <v>3544</v>
      </c>
      <c r="F582" s="189" t="s">
        <v>4141</v>
      </c>
      <c r="G582" s="156" t="s">
        <v>4142</v>
      </c>
      <c r="H582" s="157" t="str">
        <f>IF(G582="","",VLOOKUP(G582,'附表8-合同明细采集底稿'!B:I,2,0))</f>
        <v>二期、三期给排水、消防工程施工合同-幼儿园</v>
      </c>
      <c r="I582" s="165" t="str">
        <f>IF(G582="","",VLOOKUP(G582,'附表8-合同明细采集底稿'!B:I,3,0))</f>
        <v>建设工程合同</v>
      </c>
      <c r="J582" s="154" t="s">
        <v>4143</v>
      </c>
      <c r="K582" s="157" t="s">
        <v>2355</v>
      </c>
      <c r="L582" s="166">
        <v>6500203130</v>
      </c>
      <c r="M582" s="166" t="s">
        <v>4144</v>
      </c>
      <c r="N582" s="167">
        <v>91743.12</v>
      </c>
      <c r="O582" s="167">
        <v>100000</v>
      </c>
      <c r="P582" s="167">
        <v>91743.12</v>
      </c>
      <c r="Q582" s="167"/>
      <c r="R582" s="167">
        <f t="shared" si="62"/>
        <v>91743.12</v>
      </c>
      <c r="S582" s="178">
        <f>IFERROR(VLOOKUP(G582,'附表8-合同明细采集底稿'!B:N,12,0),100%)</f>
        <v>0.338555832480367</v>
      </c>
      <c r="T582" s="167">
        <f t="shared" si="66"/>
        <v>31060.17</v>
      </c>
      <c r="U582" s="157" t="s">
        <v>3678</v>
      </c>
      <c r="V582" s="179" t="s">
        <v>375</v>
      </c>
      <c r="W582" s="180">
        <f>IF('附表1-面积统计表'!$D$29=0,"",IF(AND(V582="共同成本费用",Z582="总建筑面积法"),ROUND(T582/'附表1-面积统计表'!$D$29*'附表1-面积统计表'!$D$5,2),IF(AND(V582="共同成本费用",Z582="可售建筑面积法"),ROUND(T582/'附表1-面积统计表'!$F$29*'附表1-面积统计表'!$F$5,2),"请手工填写")))</f>
        <v>15047.51</v>
      </c>
      <c r="X582" s="180">
        <f>IF(SUM('附表1-面积统计表'!$D$6)=0,"",SUM(T582)-SUM(W582)-SUM(Y582))</f>
        <v>9955.84</v>
      </c>
      <c r="Y582" s="180">
        <f>IF(SUM('附表1-面积统计表'!$D$6)=0,SUM(T582)-SUM(W582),IF('附表1-面积统计表'!$D$29=0,"",IF(AND(V582="共同成本费用",Z582="总建筑面积法"),ROUND(T582/'附表1-面积统计表'!$D$29*'附表1-面积统计表'!$D$7,2),IF(AND(V582="共同成本费用",Z582="可售建筑面积法"),ROUND(T582/'附表1-面积统计表'!$F$29*'附表1-面积统计表'!$F$7,2),"请手工填写"))))</f>
        <v>6056.82</v>
      </c>
      <c r="Z582" s="183" t="s">
        <v>351</v>
      </c>
      <c r="AA582" s="157"/>
      <c r="AB582" s="184" t="s">
        <v>2319</v>
      </c>
      <c r="AC582" s="132">
        <f t="shared" si="60"/>
        <v>0</v>
      </c>
    </row>
    <row r="583" s="132" customFormat="1" ht="24" customHeight="1" spans="1:29">
      <c r="A583" s="150">
        <v>577</v>
      </c>
      <c r="B583" s="209" t="s">
        <v>3886</v>
      </c>
      <c r="C583" s="166" t="s">
        <v>3835</v>
      </c>
      <c r="D583" s="157" t="s">
        <v>2346</v>
      </c>
      <c r="E583" s="158" t="s">
        <v>3135</v>
      </c>
      <c r="F583" s="189" t="s">
        <v>4145</v>
      </c>
      <c r="G583" s="156" t="s">
        <v>4146</v>
      </c>
      <c r="H583" s="157" t="str">
        <f>IF(G583="","",VLOOKUP(G583,'附表8-合同明细采集底稿'!B:I,2,0))</f>
        <v>沁春锦苑中水处理土建、挡墙、警卫室‘铺装工程</v>
      </c>
      <c r="I583" s="165" t="str">
        <f>IF(G583="","",VLOOKUP(G583,'附表8-合同明细采集底稿'!B:I,3,0))</f>
        <v>建设工程合同</v>
      </c>
      <c r="J583" s="165" t="s">
        <v>151</v>
      </c>
      <c r="K583" s="157" t="s">
        <v>2355</v>
      </c>
      <c r="L583" s="166">
        <v>6500203130</v>
      </c>
      <c r="M583" s="166" t="s">
        <v>4147</v>
      </c>
      <c r="N583" s="167">
        <v>348623.85</v>
      </c>
      <c r="O583" s="167">
        <v>380000</v>
      </c>
      <c r="P583" s="167">
        <v>348623.85</v>
      </c>
      <c r="Q583" s="167"/>
      <c r="R583" s="167">
        <f t="shared" si="62"/>
        <v>348623.85</v>
      </c>
      <c r="S583" s="178">
        <f>IFERROR(VLOOKUP(G583,'附表8-合同明细采集底稿'!B:N,12,0),100%)</f>
        <v>0.338555832480367</v>
      </c>
      <c r="T583" s="167">
        <f t="shared" si="66"/>
        <v>118028.64</v>
      </c>
      <c r="U583" s="157" t="s">
        <v>2318</v>
      </c>
      <c r="V583" s="179" t="s">
        <v>375</v>
      </c>
      <c r="W583" s="180">
        <f>IF('附表1-面积统计表'!$D$29=0,"",IF(AND(V583="共同成本费用",Z583="总建筑面积法"),ROUND(T583/'附表1-面积统计表'!$D$29*'附表1-面积统计表'!$D$5,2),IF(AND(V583="共同成本费用",Z583="可售建筑面积法"),ROUND(T583/'附表1-面积统计表'!$F$29*'附表1-面积统计表'!$F$5,2),"请手工填写")))</f>
        <v>57180.52</v>
      </c>
      <c r="X583" s="180">
        <f>IF(SUM('附表1-面积统计表'!$D$6)=0,"",SUM(T583)-SUM(W583)-SUM(Y583))</f>
        <v>37832.2</v>
      </c>
      <c r="Y583" s="180">
        <f>IF(SUM('附表1-面积统计表'!$D$6)=0,SUM(T583)-SUM(W583),IF('附表1-面积统计表'!$D$29=0,"",IF(AND(V583="共同成本费用",Z583="总建筑面积法"),ROUND(T583/'附表1-面积统计表'!$D$29*'附表1-面积统计表'!$D$7,2),IF(AND(V583="共同成本费用",Z583="可售建筑面积法"),ROUND(T583/'附表1-面积统计表'!$F$29*'附表1-面积统计表'!$F$7,2),"请手工填写"))))</f>
        <v>23015.92</v>
      </c>
      <c r="Z583" s="183" t="s">
        <v>351</v>
      </c>
      <c r="AA583" s="157"/>
      <c r="AB583" s="184" t="s">
        <v>2319</v>
      </c>
      <c r="AC583" s="132">
        <f t="shared" si="60"/>
        <v>0</v>
      </c>
    </row>
    <row r="584" s="132" customFormat="1" ht="24" customHeight="1" spans="1:29">
      <c r="A584" s="150">
        <v>578</v>
      </c>
      <c r="B584" s="209" t="s">
        <v>4148</v>
      </c>
      <c r="C584" s="166" t="s">
        <v>4149</v>
      </c>
      <c r="D584" s="157" t="s">
        <v>2346</v>
      </c>
      <c r="E584" s="158" t="s">
        <v>3135</v>
      </c>
      <c r="F584" s="189" t="s">
        <v>4150</v>
      </c>
      <c r="G584" s="156" t="s">
        <v>4135</v>
      </c>
      <c r="H584" s="157" t="str">
        <f>IF(G584="","",VLOOKUP(G584,'附表8-合同明细采集底稿'!B:I,2,0))</f>
        <v>沁春锦苑小区一体化污水处理设备购销</v>
      </c>
      <c r="I584" s="165" t="str">
        <f>IF(G584="","",VLOOKUP(G584,'附表8-合同明细采集底稿'!B:I,3,0))</f>
        <v>其他合同</v>
      </c>
      <c r="J584" s="211" t="s">
        <v>4136</v>
      </c>
      <c r="K584" s="157" t="s">
        <v>2355</v>
      </c>
      <c r="L584" s="191">
        <v>6500203130</v>
      </c>
      <c r="M584" s="166" t="s">
        <v>4151</v>
      </c>
      <c r="N584" s="167">
        <v>597097.33</v>
      </c>
      <c r="O584" s="167">
        <v>674720</v>
      </c>
      <c r="P584" s="167">
        <v>597097.33</v>
      </c>
      <c r="Q584" s="167">
        <v>447823.008849558</v>
      </c>
      <c r="R584" s="167">
        <f t="shared" si="62"/>
        <v>1044920.33884956</v>
      </c>
      <c r="S584" s="178">
        <f>IFERROR(VLOOKUP(G584,'附表8-合同明细采集底稿'!B:N,12,0),100%)</f>
        <v>0.338555832480367</v>
      </c>
      <c r="T584" s="167">
        <f t="shared" si="66"/>
        <v>353763.88</v>
      </c>
      <c r="U584" s="157" t="s">
        <v>2318</v>
      </c>
      <c r="V584" s="179" t="s">
        <v>375</v>
      </c>
      <c r="W584" s="180">
        <f>IF('附表1-面积统计表'!$D$29=0,"",IF(AND(V584="共同成本费用",Z584="总建筑面积法"),ROUND(T584/'附表1-面积统计表'!$D$29*'附表1-面积统计表'!$D$5,2),IF(AND(V584="共同成本费用",Z584="可售建筑面积法"),ROUND(T584/'附表1-面积统计表'!$F$29*'附表1-面积统计表'!$F$5,2),"请手工填写")))</f>
        <v>171385.54</v>
      </c>
      <c r="X584" s="180">
        <f>IF(SUM('附表1-面积统计表'!$D$6)=0,"",SUM(T584)-SUM(W584)-SUM(Y584))</f>
        <v>113393.39</v>
      </c>
      <c r="Y584" s="180">
        <f>IF(SUM('附表1-面积统计表'!$D$6)=0,SUM(T584)-SUM(W584),IF('附表1-面积统计表'!$D$29=0,"",IF(AND(V584="共同成本费用",Z584="总建筑面积法"),ROUND(T584/'附表1-面积统计表'!$D$29*'附表1-面积统计表'!$D$7,2),IF(AND(V584="共同成本费用",Z584="可售建筑面积法"),ROUND(T584/'附表1-面积统计表'!$F$29*'附表1-面积统计表'!$F$7,2),"请手工填写"))))</f>
        <v>68984.95</v>
      </c>
      <c r="Z584" s="183" t="s">
        <v>351</v>
      </c>
      <c r="AA584" s="157"/>
      <c r="AB584" s="184" t="s">
        <v>2319</v>
      </c>
      <c r="AC584" s="132">
        <f t="shared" ref="AC584:AC647" si="67">T584-W584-X584-Y584</f>
        <v>0</v>
      </c>
    </row>
    <row r="585" s="132" customFormat="1" ht="24" customHeight="1" spans="1:29">
      <c r="A585" s="150">
        <v>579</v>
      </c>
      <c r="B585" s="209" t="s">
        <v>4152</v>
      </c>
      <c r="C585" s="166" t="s">
        <v>4153</v>
      </c>
      <c r="D585" s="157" t="s">
        <v>2331</v>
      </c>
      <c r="E585" s="158" t="s">
        <v>3544</v>
      </c>
      <c r="F585" s="189" t="s">
        <v>4154</v>
      </c>
      <c r="G585" s="156" t="s">
        <v>3676</v>
      </c>
      <c r="H585" s="157" t="str">
        <f>IF(G585="","",VLOOKUP(G585,'附表8-合同明细采集底稿'!B:I,2,0))</f>
        <v>建设工程施工合同12-15#楼38#楼、31#楼幼儿园（幼儿园—）</v>
      </c>
      <c r="I585" s="165" t="str">
        <f>IF(G585="","",VLOOKUP(G585,'附表8-合同明细采集底稿'!B:I,3,0))</f>
        <v>建设工程合同</v>
      </c>
      <c r="J585" s="154" t="s">
        <v>151</v>
      </c>
      <c r="K585" s="157" t="s">
        <v>2355</v>
      </c>
      <c r="L585" s="166">
        <v>6500203130</v>
      </c>
      <c r="M585" s="166" t="s">
        <v>4155</v>
      </c>
      <c r="N585" s="167">
        <v>632142.14</v>
      </c>
      <c r="O585" s="167">
        <v>689034.93</v>
      </c>
      <c r="P585" s="167">
        <v>632142.14</v>
      </c>
      <c r="Q585" s="167"/>
      <c r="R585" s="167">
        <f t="shared" si="62"/>
        <v>632142.14</v>
      </c>
      <c r="S585" s="178">
        <f>IFERROR(VLOOKUP(G585,'附表8-合同明细采集底稿'!B:N,12,0),100%)</f>
        <v>0.338555832480367</v>
      </c>
      <c r="T585" s="167">
        <f t="shared" si="66"/>
        <v>214015.41</v>
      </c>
      <c r="U585" s="157" t="s">
        <v>3678</v>
      </c>
      <c r="V585" s="179" t="s">
        <v>375</v>
      </c>
      <c r="W585" s="180">
        <f>IF('附表1-面积统计表'!$D$29=0,"",IF(AND(V585="共同成本费用",Z585="总建筑面积法"),ROUND(T585/'附表1-面积统计表'!$D$29*'附表1-面积统计表'!$D$5,2),IF(AND(V585="共同成本费用",Z585="可售建筑面积法"),ROUND(T585/'附表1-面积统计表'!$F$29*'附表1-面积统计表'!$F$5,2),"请手工填写")))</f>
        <v>103682.56</v>
      </c>
      <c r="X585" s="180">
        <f>IF(SUM('附表1-面积统计表'!$D$6)=0,"",SUM(T585)-SUM(W585)-SUM(Y585))</f>
        <v>68599.24</v>
      </c>
      <c r="Y585" s="180">
        <f>IF(SUM('附表1-面积统计表'!$D$6)=0,SUM(T585)-SUM(W585),IF('附表1-面积统计表'!$D$29=0,"",IF(AND(V585="共同成本费用",Z585="总建筑面积法"),ROUND(T585/'附表1-面积统计表'!$D$29*'附表1-面积统计表'!$D$7,2),IF(AND(V585="共同成本费用",Z585="可售建筑面积法"),ROUND(T585/'附表1-面积统计表'!$F$29*'附表1-面积统计表'!$F$7,2),"请手工填写"))))</f>
        <v>41733.61</v>
      </c>
      <c r="Z585" s="183" t="s">
        <v>351</v>
      </c>
      <c r="AA585" s="157"/>
      <c r="AB585" s="184" t="s">
        <v>2319</v>
      </c>
      <c r="AC585" s="132">
        <f t="shared" si="67"/>
        <v>0</v>
      </c>
    </row>
    <row r="586" s="132" customFormat="1" ht="24" customHeight="1" spans="1:29">
      <c r="A586" s="150">
        <v>580</v>
      </c>
      <c r="B586" s="209" t="s">
        <v>4152</v>
      </c>
      <c r="C586" s="166" t="s">
        <v>4153</v>
      </c>
      <c r="D586" s="157" t="s">
        <v>2533</v>
      </c>
      <c r="E586" s="158" t="s">
        <v>2564</v>
      </c>
      <c r="F586" s="189" t="s">
        <v>4154</v>
      </c>
      <c r="G586" s="156" t="s">
        <v>3679</v>
      </c>
      <c r="H586" s="157" t="str">
        <f>IF(G586="","",VLOOKUP(G586,'附表8-合同明细采集底稿'!B:I,2,0))</f>
        <v>建设工程施工合同12-15#楼38#楼、31#楼.36#幼儿园（36#楼）</v>
      </c>
      <c r="I586" s="165" t="str">
        <f>IF(G586="","",VLOOKUP(G586,'附表8-合同明细采集底稿'!B:I,3,0))</f>
        <v>建设工程合同</v>
      </c>
      <c r="J586" s="154" t="s">
        <v>151</v>
      </c>
      <c r="K586" s="157" t="s">
        <v>2355</v>
      </c>
      <c r="L586" s="166">
        <v>6500203130</v>
      </c>
      <c r="M586" s="166" t="s">
        <v>4155</v>
      </c>
      <c r="N586" s="167">
        <v>212848.62</v>
      </c>
      <c r="O586" s="167">
        <v>232005</v>
      </c>
      <c r="P586" s="167">
        <v>212848.62</v>
      </c>
      <c r="Q586" s="167">
        <v>-212848.62</v>
      </c>
      <c r="R586" s="167">
        <f t="shared" si="62"/>
        <v>0</v>
      </c>
      <c r="S586" s="178">
        <f>IFERROR(VLOOKUP(G586,'附表8-合同明细采集底稿'!B:N,12,0),100%)</f>
        <v>1</v>
      </c>
      <c r="T586" s="167">
        <f t="shared" ref="T584:T656" si="68">ROUND(SUM(R586)*SUM(S586),2)</f>
        <v>0</v>
      </c>
      <c r="U586" s="157" t="s">
        <v>3680</v>
      </c>
      <c r="V586" s="179" t="s">
        <v>374</v>
      </c>
      <c r="W586" s="181">
        <v>0</v>
      </c>
      <c r="X586" s="181">
        <v>0</v>
      </c>
      <c r="Y586" s="181">
        <v>0</v>
      </c>
      <c r="Z586" s="183" t="s">
        <v>2406</v>
      </c>
      <c r="AA586" s="157"/>
      <c r="AB586" s="184" t="s">
        <v>2319</v>
      </c>
      <c r="AC586" s="132">
        <f t="shared" si="67"/>
        <v>0</v>
      </c>
    </row>
    <row r="587" s="132" customFormat="1" ht="24" customHeight="1" spans="1:29">
      <c r="A587" s="150">
        <v>581</v>
      </c>
      <c r="B587" s="209" t="s">
        <v>4156</v>
      </c>
      <c r="C587" s="166" t="s">
        <v>3472</v>
      </c>
      <c r="D587" s="157" t="s">
        <v>2346</v>
      </c>
      <c r="E587" s="158" t="s">
        <v>3135</v>
      </c>
      <c r="F587" s="189" t="s">
        <v>4157</v>
      </c>
      <c r="G587" s="156" t="s">
        <v>4146</v>
      </c>
      <c r="H587" s="157" t="str">
        <f>IF(G587="","",VLOOKUP(G587,'附表8-合同明细采集底稿'!B:I,2,0))</f>
        <v>沁春锦苑中水处理土建、挡墙、警卫室‘铺装工程</v>
      </c>
      <c r="I587" s="165" t="str">
        <f>IF(G587="","",VLOOKUP(G587,'附表8-合同明细采集底稿'!B:I,3,0))</f>
        <v>建设工程合同</v>
      </c>
      <c r="J587" s="165" t="s">
        <v>151</v>
      </c>
      <c r="K587" s="157" t="s">
        <v>2355</v>
      </c>
      <c r="L587" s="166">
        <v>6500203130</v>
      </c>
      <c r="M587" s="166" t="s">
        <v>4158</v>
      </c>
      <c r="N587" s="167">
        <v>697247.71</v>
      </c>
      <c r="O587" s="167">
        <v>760000</v>
      </c>
      <c r="P587" s="167">
        <v>697247.71</v>
      </c>
      <c r="Q587" s="167"/>
      <c r="R587" s="167">
        <f t="shared" si="62"/>
        <v>697247.71</v>
      </c>
      <c r="S587" s="178">
        <f>IFERROR(VLOOKUP(G587,'附表8-合同明细采集底稿'!B:N,12,0),100%)</f>
        <v>0.338555832480367</v>
      </c>
      <c r="T587" s="167">
        <f t="shared" si="68"/>
        <v>236057.28</v>
      </c>
      <c r="U587" s="157" t="s">
        <v>2318</v>
      </c>
      <c r="V587" s="179" t="s">
        <v>375</v>
      </c>
      <c r="W587" s="180">
        <f>IF('附表1-面积统计表'!$D$29=0,"",IF(AND(V587="共同成本费用",Z587="总建筑面积法"),ROUND(T587/'附表1-面积统计表'!$D$29*'附表1-面积统计表'!$D$5,2),IF(AND(V587="共同成本费用",Z587="可售建筑面积法"),ROUND(T587/'附表1-面积统计表'!$F$29*'附表1-面积统计表'!$F$5,2),"请手工填写")))</f>
        <v>114361.04</v>
      </c>
      <c r="X587" s="180">
        <f>IF(SUM('附表1-面积统计表'!$D$6)=0,"",SUM(T587)-SUM(W587)-SUM(Y587))</f>
        <v>75664.41</v>
      </c>
      <c r="Y587" s="180">
        <f>IF(SUM('附表1-面积统计表'!$D$6)=0,SUM(T587)-SUM(W587),IF('附表1-面积统计表'!$D$29=0,"",IF(AND(V587="共同成本费用",Z587="总建筑面积法"),ROUND(T587/'附表1-面积统计表'!$D$29*'附表1-面积统计表'!$D$7,2),IF(AND(V587="共同成本费用",Z587="可售建筑面积法"),ROUND(T587/'附表1-面积统计表'!$F$29*'附表1-面积统计表'!$F$7,2),"请手工填写"))))</f>
        <v>46031.83</v>
      </c>
      <c r="Z587" s="183" t="s">
        <v>351</v>
      </c>
      <c r="AA587" s="157"/>
      <c r="AB587" s="184" t="s">
        <v>2319</v>
      </c>
      <c r="AC587" s="132">
        <f t="shared" si="67"/>
        <v>0</v>
      </c>
    </row>
    <row r="588" s="132" customFormat="1" ht="24" customHeight="1" spans="1:29">
      <c r="A588" s="150">
        <v>582</v>
      </c>
      <c r="B588" s="209" t="s">
        <v>3958</v>
      </c>
      <c r="C588" s="166" t="s">
        <v>3959</v>
      </c>
      <c r="D588" s="157" t="s">
        <v>2331</v>
      </c>
      <c r="E588" s="158" t="s">
        <v>3544</v>
      </c>
      <c r="F588" s="189" t="s">
        <v>3960</v>
      </c>
      <c r="G588" s="156" t="s">
        <v>4159</v>
      </c>
      <c r="H588" s="157" t="str">
        <f>IF(G588="","",VLOOKUP(G588,'附表8-合同明细采集底稿'!B:I,2,0))</f>
        <v>31#楼竣工测</v>
      </c>
      <c r="I588" s="165" t="str">
        <f>IF(G588="","",VLOOKUP(G588,'附表8-合同明细采集底稿'!B:I,3,0))</f>
        <v>技术合同</v>
      </c>
      <c r="J588" s="154" t="s">
        <v>3764</v>
      </c>
      <c r="K588" s="157" t="s">
        <v>2355</v>
      </c>
      <c r="L588" s="166">
        <v>6500203130</v>
      </c>
      <c r="M588" s="166" t="s">
        <v>3962</v>
      </c>
      <c r="N588" s="167">
        <v>8172.89</v>
      </c>
      <c r="O588" s="167">
        <v>8663.26</v>
      </c>
      <c r="P588" s="167">
        <v>8172.89</v>
      </c>
      <c r="Q588" s="167"/>
      <c r="R588" s="167">
        <f t="shared" si="62"/>
        <v>8172.89</v>
      </c>
      <c r="S588" s="178">
        <f>IFERROR(VLOOKUP(G588,'附表8-合同明细采集底稿'!B:N,12,0),100%)</f>
        <v>0.338555832480367</v>
      </c>
      <c r="T588" s="167">
        <f t="shared" si="68"/>
        <v>2766.98</v>
      </c>
      <c r="U588" s="157" t="s">
        <v>3678</v>
      </c>
      <c r="V588" s="179" t="s">
        <v>375</v>
      </c>
      <c r="W588" s="180">
        <f>IF('附表1-面积统计表'!$D$29=0,"",IF(AND(V588="共同成本费用",Z588="总建筑面积法"),ROUND(T588/'附表1-面积统计表'!$D$29*'附表1-面积统计表'!$D$5,2),IF(AND(V588="共同成本费用",Z588="可售建筑面积法"),ROUND(T588/'附表1-面积统计表'!$F$29*'附表1-面积统计表'!$F$5,2),"请手工填写")))</f>
        <v>1340.5</v>
      </c>
      <c r="X588" s="180">
        <f>IF(SUM('附表1-面积统计表'!$D$6)=0,"",SUM(T588)-SUM(W588)-SUM(Y588))</f>
        <v>886.91</v>
      </c>
      <c r="Y588" s="180">
        <f>IF(SUM('附表1-面积统计表'!$D$6)=0,SUM(T588)-SUM(W588),IF('附表1-面积统计表'!$D$29=0,"",IF(AND(V588="共同成本费用",Z588="总建筑面积法"),ROUND(T588/'附表1-面积统计表'!$D$29*'附表1-面积统计表'!$D$7,2),IF(AND(V588="共同成本费用",Z588="可售建筑面积法"),ROUND(T588/'附表1-面积统计表'!$F$29*'附表1-面积统计表'!$F$7,2),"请手工填写"))))</f>
        <v>539.57</v>
      </c>
      <c r="Z588" s="183" t="s">
        <v>351</v>
      </c>
      <c r="AA588" s="157"/>
      <c r="AB588" s="184" t="s">
        <v>2319</v>
      </c>
      <c r="AC588" s="132">
        <f t="shared" si="67"/>
        <v>0</v>
      </c>
    </row>
    <row r="589" s="132" customFormat="1" ht="24" customHeight="1" spans="1:29">
      <c r="A589" s="150">
        <v>583</v>
      </c>
      <c r="B589" s="209" t="s">
        <v>4160</v>
      </c>
      <c r="C589" s="166" t="s">
        <v>3067</v>
      </c>
      <c r="D589" s="157" t="s">
        <v>2331</v>
      </c>
      <c r="E589" s="158" t="s">
        <v>3111</v>
      </c>
      <c r="F589" s="189" t="s">
        <v>4161</v>
      </c>
      <c r="G589" s="156" t="s">
        <v>4162</v>
      </c>
      <c r="H589" s="157" t="str">
        <f>IF(G589="","",VLOOKUP(G589,'附表8-合同明细采集底稿'!B:I,2,0))</f>
        <v>沁春锦苑18#、21#、22#楼、37#社区、地下车库及人防部分建设工程（地下人防）</v>
      </c>
      <c r="I589" s="165" t="str">
        <f>IF(G589="","",VLOOKUP(G589,'附表8-合同明细采集底稿'!B:I,3,0))</f>
        <v>建设工程合同</v>
      </c>
      <c r="J589" s="154" t="s">
        <v>151</v>
      </c>
      <c r="K589" s="157" t="s">
        <v>2355</v>
      </c>
      <c r="L589" s="166">
        <v>6500203130</v>
      </c>
      <c r="M589" s="166" t="s">
        <v>4163</v>
      </c>
      <c r="N589" s="167">
        <v>7853211.01</v>
      </c>
      <c r="O589" s="167">
        <v>8560000</v>
      </c>
      <c r="P589" s="167">
        <v>7853211.01</v>
      </c>
      <c r="Q589" s="167"/>
      <c r="R589" s="167">
        <f t="shared" si="62"/>
        <v>7853211.01</v>
      </c>
      <c r="S589" s="178">
        <f>IFERROR(VLOOKUP(G589,'附表8-合同明细采集底稿'!B:N,12,0),100%)</f>
        <v>0.109829243890136</v>
      </c>
      <c r="T589" s="167">
        <f t="shared" si="68"/>
        <v>862512.23</v>
      </c>
      <c r="U589" s="157" t="s">
        <v>3116</v>
      </c>
      <c r="V589" s="179" t="s">
        <v>374</v>
      </c>
      <c r="W589" s="181">
        <f t="shared" ref="W589:W592" si="69">ROUND(T589*0.8162,2)</f>
        <v>703982.48</v>
      </c>
      <c r="X589" s="181">
        <v>0</v>
      </c>
      <c r="Y589" s="181">
        <f t="shared" ref="Y589:Y592" si="70">T589-W589</f>
        <v>158529.75</v>
      </c>
      <c r="Z589" s="183" t="s">
        <v>2406</v>
      </c>
      <c r="AA589" s="157"/>
      <c r="AB589" s="184" t="s">
        <v>2319</v>
      </c>
      <c r="AC589" s="132">
        <f t="shared" si="67"/>
        <v>0</v>
      </c>
    </row>
    <row r="590" s="132" customFormat="1" ht="24" customHeight="1" spans="1:29">
      <c r="A590" s="150">
        <v>584</v>
      </c>
      <c r="B590" s="209" t="s">
        <v>3973</v>
      </c>
      <c r="C590" s="166" t="s">
        <v>4164</v>
      </c>
      <c r="D590" s="157" t="s">
        <v>2331</v>
      </c>
      <c r="E590" s="158" t="s">
        <v>3544</v>
      </c>
      <c r="F590" s="189" t="s">
        <v>4165</v>
      </c>
      <c r="G590" s="156" t="s">
        <v>4166</v>
      </c>
      <c r="H590" s="157" t="str">
        <f>IF(G590="","",VLOOKUP(G590,'附表8-合同明细采集底稿'!B:I,2,0))</f>
        <v>沁春锦苑幼儿园大门、亮化、自行车棚工程合同</v>
      </c>
      <c r="I590" s="165" t="str">
        <f>IF(G590="","",VLOOKUP(G590,'附表8-合同明细采集底稿'!B:I,3,0))</f>
        <v>买卖合同</v>
      </c>
      <c r="J590" s="187" t="s">
        <v>4167</v>
      </c>
      <c r="K590" s="157" t="s">
        <v>2355</v>
      </c>
      <c r="L590" s="191">
        <v>6500203130</v>
      </c>
      <c r="M590" s="155" t="s">
        <v>4168</v>
      </c>
      <c r="N590" s="167">
        <v>321100.92</v>
      </c>
      <c r="O590" s="167">
        <v>350000</v>
      </c>
      <c r="P590" s="167">
        <v>321100.92</v>
      </c>
      <c r="Q590" s="167"/>
      <c r="R590" s="167">
        <f t="shared" si="62"/>
        <v>321100.92</v>
      </c>
      <c r="S590" s="178">
        <f>IFERROR(VLOOKUP(G590,'附表8-合同明细采集底稿'!B:N,12,0),100%)</f>
        <v>0.338555832480367</v>
      </c>
      <c r="T590" s="167">
        <f t="shared" si="68"/>
        <v>108710.59</v>
      </c>
      <c r="U590" s="157" t="s">
        <v>3678</v>
      </c>
      <c r="V590" s="179" t="s">
        <v>375</v>
      </c>
      <c r="W590" s="180">
        <f>IF('附表1-面积统计表'!$D$29=0,"",IF(AND(V590="共同成本费用",Z590="总建筑面积法"),ROUND(T590/'附表1-面积统计表'!$D$29*'附表1-面积统计表'!$D$5,2),IF(AND(V590="共同成本费用",Z590="可售建筑面积法"),ROUND(T590/'附表1-面积统计表'!$F$29*'附表1-面积统计表'!$F$5,2),"请手工填写")))</f>
        <v>52666.27</v>
      </c>
      <c r="X590" s="180">
        <f>IF(SUM('附表1-面积统计表'!$D$6)=0,"",SUM(T590)-SUM(W590)-SUM(Y590))</f>
        <v>34845.45</v>
      </c>
      <c r="Y590" s="180">
        <f>IF(SUM('附表1-面积统计表'!$D$6)=0,SUM(T590)-SUM(W590),IF('附表1-面积统计表'!$D$29=0,"",IF(AND(V590="共同成本费用",Z590="总建筑面积法"),ROUND(T590/'附表1-面积统计表'!$D$29*'附表1-面积统计表'!$D$7,2),IF(AND(V590="共同成本费用",Z590="可售建筑面积法"),ROUND(T590/'附表1-面积统计表'!$F$29*'附表1-面积统计表'!$F$7,2),"请手工填写"))))</f>
        <v>21198.87</v>
      </c>
      <c r="Z590" s="183" t="s">
        <v>351</v>
      </c>
      <c r="AA590" s="157"/>
      <c r="AB590" s="184" t="s">
        <v>2319</v>
      </c>
      <c r="AC590" s="132">
        <f t="shared" si="67"/>
        <v>0</v>
      </c>
    </row>
    <row r="591" s="132" customFormat="1" ht="24" customHeight="1" spans="1:29">
      <c r="A591" s="150">
        <v>585</v>
      </c>
      <c r="B591" s="209" t="s">
        <v>4169</v>
      </c>
      <c r="C591" s="166" t="s">
        <v>2976</v>
      </c>
      <c r="D591" s="157" t="s">
        <v>2331</v>
      </c>
      <c r="E591" s="158" t="s">
        <v>3111</v>
      </c>
      <c r="F591" s="189" t="s">
        <v>4170</v>
      </c>
      <c r="G591" s="156" t="s">
        <v>3724</v>
      </c>
      <c r="H591" s="157" t="str">
        <f>IF(G591="","",VLOOKUP(G591,'附表8-合同明细采集底稿'!B:I,2,0))</f>
        <v>沁春锦苑项目人防门购置18#-21#</v>
      </c>
      <c r="I591" s="165" t="str">
        <f>IF(G591="","",VLOOKUP(G591,'附表8-合同明细采集底稿'!B:I,3,0))</f>
        <v>买卖合同</v>
      </c>
      <c r="J591" s="187" t="s">
        <v>3725</v>
      </c>
      <c r="K591" s="157" t="s">
        <v>2355</v>
      </c>
      <c r="L591" s="166">
        <v>6500212130</v>
      </c>
      <c r="M591" s="166" t="s">
        <v>4171</v>
      </c>
      <c r="N591" s="167">
        <v>492668.85</v>
      </c>
      <c r="O591" s="167">
        <v>556715.8</v>
      </c>
      <c r="P591" s="167">
        <v>492668.85</v>
      </c>
      <c r="Q591" s="167"/>
      <c r="R591" s="167">
        <f t="shared" si="62"/>
        <v>492668.85</v>
      </c>
      <c r="S591" s="178">
        <f>IFERROR(VLOOKUP(G591,'附表8-合同明细采集底稿'!B:N,12,0),100%)</f>
        <v>0.109829243890136</v>
      </c>
      <c r="T591" s="167">
        <f t="shared" si="68"/>
        <v>54109.45</v>
      </c>
      <c r="U591" s="157" t="s">
        <v>3116</v>
      </c>
      <c r="V591" s="179" t="s">
        <v>374</v>
      </c>
      <c r="W591" s="181">
        <f t="shared" si="69"/>
        <v>44164.13</v>
      </c>
      <c r="X591" s="181">
        <v>0</v>
      </c>
      <c r="Y591" s="181">
        <f t="shared" si="70"/>
        <v>9945.32</v>
      </c>
      <c r="Z591" s="183" t="s">
        <v>2406</v>
      </c>
      <c r="AA591" s="157"/>
      <c r="AB591" s="184" t="s">
        <v>2319</v>
      </c>
      <c r="AC591" s="132">
        <f t="shared" si="67"/>
        <v>0</v>
      </c>
    </row>
    <row r="592" s="132" customFormat="1" ht="24" customHeight="1" spans="1:29">
      <c r="A592" s="150">
        <v>586</v>
      </c>
      <c r="B592" s="209" t="s">
        <v>4000</v>
      </c>
      <c r="C592" s="166" t="s">
        <v>3524</v>
      </c>
      <c r="D592" s="157" t="s">
        <v>2331</v>
      </c>
      <c r="E592" s="158" t="s">
        <v>3111</v>
      </c>
      <c r="F592" s="189" t="s">
        <v>4172</v>
      </c>
      <c r="G592" s="156" t="s">
        <v>4162</v>
      </c>
      <c r="H592" s="157" t="str">
        <f>IF(G592="","",VLOOKUP(G592,'附表8-合同明细采集底稿'!B:I,2,0))</f>
        <v>沁春锦苑18#、21#、22#楼、37#社区、地下车库及人防部分建设工程（地下人防）</v>
      </c>
      <c r="I592" s="165" t="str">
        <f>IF(G592="","",VLOOKUP(G592,'附表8-合同明细采集底稿'!B:I,3,0))</f>
        <v>建设工程合同</v>
      </c>
      <c r="J592" s="187" t="s">
        <v>151</v>
      </c>
      <c r="K592" s="157" t="s">
        <v>2355</v>
      </c>
      <c r="L592" s="166">
        <v>6500203130</v>
      </c>
      <c r="M592" s="166" t="s">
        <v>4173</v>
      </c>
      <c r="N592" s="167">
        <v>3944954.13</v>
      </c>
      <c r="O592" s="167">
        <v>4300000</v>
      </c>
      <c r="P592" s="167">
        <v>3944954.13</v>
      </c>
      <c r="Q592" s="167"/>
      <c r="R592" s="167">
        <f t="shared" si="62"/>
        <v>3944954.13</v>
      </c>
      <c r="S592" s="178">
        <f>IFERROR(VLOOKUP(G592,'附表8-合同明细采集底稿'!B:N,12,0),100%)</f>
        <v>0.109829243890136</v>
      </c>
      <c r="T592" s="167">
        <f t="shared" si="68"/>
        <v>433271.33</v>
      </c>
      <c r="U592" s="157" t="s">
        <v>3116</v>
      </c>
      <c r="V592" s="179" t="s">
        <v>374</v>
      </c>
      <c r="W592" s="181">
        <f t="shared" si="69"/>
        <v>353636.06</v>
      </c>
      <c r="X592" s="181">
        <v>0</v>
      </c>
      <c r="Y592" s="181">
        <f t="shared" si="70"/>
        <v>79635.27</v>
      </c>
      <c r="Z592" s="183" t="s">
        <v>2406</v>
      </c>
      <c r="AA592" s="157"/>
      <c r="AB592" s="184" t="s">
        <v>2319</v>
      </c>
      <c r="AC592" s="132">
        <f t="shared" si="67"/>
        <v>0</v>
      </c>
    </row>
    <row r="593" s="132" customFormat="1" ht="24" customHeight="1" spans="1:29">
      <c r="A593" s="150">
        <v>587</v>
      </c>
      <c r="B593" s="209" t="s">
        <v>4018</v>
      </c>
      <c r="C593" s="166" t="s">
        <v>2950</v>
      </c>
      <c r="D593" s="157" t="s">
        <v>2331</v>
      </c>
      <c r="E593" s="158" t="s">
        <v>3544</v>
      </c>
      <c r="F593" s="189" t="s">
        <v>4174</v>
      </c>
      <c r="G593" s="156"/>
      <c r="H593" s="157" t="str">
        <f>IF(G593="","",VLOOKUP(G593,'附表8-合同明细采集底稿'!B:I,2,0))</f>
        <v/>
      </c>
      <c r="I593" s="165" t="str">
        <f>IF(G593="","",VLOOKUP(G593,'附表8-合同明细采集底稿'!B:I,3,0))</f>
        <v/>
      </c>
      <c r="J593" s="187" t="s">
        <v>4175</v>
      </c>
      <c r="K593" s="157" t="s">
        <v>2355</v>
      </c>
      <c r="L593" s="166">
        <v>6500203130</v>
      </c>
      <c r="M593" s="166" t="s">
        <v>4176</v>
      </c>
      <c r="N593" s="167">
        <v>1161.39</v>
      </c>
      <c r="O593" s="167">
        <v>1173</v>
      </c>
      <c r="P593" s="167">
        <v>1161.39</v>
      </c>
      <c r="Q593" s="167"/>
      <c r="R593" s="167">
        <f t="shared" si="62"/>
        <v>1161.39</v>
      </c>
      <c r="S593" s="178">
        <v>1</v>
      </c>
      <c r="T593" s="167">
        <f t="shared" si="68"/>
        <v>1161.39</v>
      </c>
      <c r="U593" s="157" t="s">
        <v>2802</v>
      </c>
      <c r="V593" s="179" t="s">
        <v>375</v>
      </c>
      <c r="W593" s="180">
        <f>IF('附表1-面积统计表'!$D$29=0,"",IF(AND(V593="共同成本费用",Z593="总建筑面积法"),ROUND(T593/'附表1-面积统计表'!$D$29*'附表1-面积统计表'!$D$5,2),IF(AND(V593="共同成本费用",Z593="可售建筑面积法"),ROUND(T593/'附表1-面积统计表'!$F$29*'附表1-面积统计表'!$F$5,2),"请手工填写")))</f>
        <v>562.65</v>
      </c>
      <c r="X593" s="180">
        <f>IF(SUM('附表1-面积统计表'!$D$6)=0,"",SUM(T593)-SUM(W593)-SUM(Y593))</f>
        <v>372.27</v>
      </c>
      <c r="Y593" s="180">
        <f>IF(SUM('附表1-面积统计表'!$D$6)=0,SUM(T593)-SUM(W593),IF('附表1-面积统计表'!$D$29=0,"",IF(AND(V593="共同成本费用",Z593="总建筑面积法"),ROUND(T593/'附表1-面积统计表'!$D$29*'附表1-面积统计表'!$D$7,2),IF(AND(V593="共同成本费用",Z593="可售建筑面积法"),ROUND(T593/'附表1-面积统计表'!$F$29*'附表1-面积统计表'!$F$7,2),"请手工填写"))))</f>
        <v>226.47</v>
      </c>
      <c r="Z593" s="183" t="s">
        <v>351</v>
      </c>
      <c r="AA593" s="157"/>
      <c r="AB593" s="184" t="s">
        <v>2319</v>
      </c>
      <c r="AC593" s="132">
        <f t="shared" si="67"/>
        <v>0</v>
      </c>
    </row>
    <row r="594" s="132" customFormat="1" ht="24" customHeight="1" spans="1:29">
      <c r="A594" s="150">
        <v>588</v>
      </c>
      <c r="B594" s="209" t="s">
        <v>4029</v>
      </c>
      <c r="C594" s="166" t="s">
        <v>3170</v>
      </c>
      <c r="D594" s="157" t="s">
        <v>2331</v>
      </c>
      <c r="E594" s="158" t="s">
        <v>3544</v>
      </c>
      <c r="F594" s="189" t="s">
        <v>4177</v>
      </c>
      <c r="G594" s="156" t="s">
        <v>4166</v>
      </c>
      <c r="H594" s="157" t="str">
        <f>IF(G594="","",VLOOKUP(G594,'附表8-合同明细采集底稿'!B:I,2,0))</f>
        <v>沁春锦苑幼儿园大门、亮化、自行车棚工程合同</v>
      </c>
      <c r="I594" s="165" t="str">
        <f>IF(G594="","",VLOOKUP(G594,'附表8-合同明细采集底稿'!B:I,3,0))</f>
        <v>买卖合同</v>
      </c>
      <c r="J594" s="187" t="s">
        <v>4167</v>
      </c>
      <c r="K594" s="157" t="s">
        <v>2355</v>
      </c>
      <c r="L594" s="166">
        <v>6500203130</v>
      </c>
      <c r="M594" s="166" t="s">
        <v>4178</v>
      </c>
      <c r="N594" s="167">
        <v>37064.22</v>
      </c>
      <c r="O594" s="167">
        <v>40400</v>
      </c>
      <c r="P594" s="167">
        <v>37064.22</v>
      </c>
      <c r="Q594" s="167"/>
      <c r="R594" s="167">
        <f t="shared" si="62"/>
        <v>37064.22</v>
      </c>
      <c r="S594" s="178">
        <f>IFERROR(VLOOKUP(G594,'附表8-合同明细采集底稿'!B:N,12,0),100%)</f>
        <v>0.338555832480367</v>
      </c>
      <c r="T594" s="167">
        <f t="shared" si="68"/>
        <v>12548.31</v>
      </c>
      <c r="U594" s="157" t="s">
        <v>3678</v>
      </c>
      <c r="V594" s="179" t="s">
        <v>375</v>
      </c>
      <c r="W594" s="180">
        <f>IF('附表1-面积统计表'!$D$29=0,"",IF(AND(V594="共同成本费用",Z594="总建筑面积法"),ROUND(T594/'附表1-面积统计表'!$D$29*'附表1-面积统计表'!$D$5,2),IF(AND(V594="共同成本费用",Z594="可售建筑面积法"),ROUND(T594/'附表1-面积统计表'!$F$29*'附表1-面积统计表'!$F$5,2),"请手工填写")))</f>
        <v>6079.19</v>
      </c>
      <c r="X594" s="180">
        <f>IF(SUM('附表1-面积统计表'!$D$6)=0,"",SUM(T594)-SUM(W594)-SUM(Y594))</f>
        <v>4022.16</v>
      </c>
      <c r="Y594" s="180">
        <f>IF(SUM('附表1-面积统计表'!$D$6)=0,SUM(T594)-SUM(W594),IF('附表1-面积统计表'!$D$29=0,"",IF(AND(V594="共同成本费用",Z594="总建筑面积法"),ROUND(T594/'附表1-面积统计表'!$D$29*'附表1-面积统计表'!$D$7,2),IF(AND(V594="共同成本费用",Z594="可售建筑面积法"),ROUND(T594/'附表1-面积统计表'!$F$29*'附表1-面积统计表'!$F$7,2),"请手工填写"))))</f>
        <v>2446.96</v>
      </c>
      <c r="Z594" s="183" t="s">
        <v>351</v>
      </c>
      <c r="AA594" s="157"/>
      <c r="AB594" s="184" t="s">
        <v>2319</v>
      </c>
      <c r="AC594" s="132">
        <f t="shared" si="67"/>
        <v>0</v>
      </c>
    </row>
    <row r="595" s="132" customFormat="1" ht="24" customHeight="1" spans="1:29">
      <c r="A595" s="150">
        <v>589</v>
      </c>
      <c r="B595" s="209" t="s">
        <v>4047</v>
      </c>
      <c r="C595" s="166" t="s">
        <v>3361</v>
      </c>
      <c r="D595" s="157" t="s">
        <v>2331</v>
      </c>
      <c r="E595" s="158" t="s">
        <v>3544</v>
      </c>
      <c r="F595" s="189" t="s">
        <v>4179</v>
      </c>
      <c r="G595" s="156" t="s">
        <v>4166</v>
      </c>
      <c r="H595" s="157" t="str">
        <f>IF(G595="","",VLOOKUP(G595,'附表8-合同明细采集底稿'!B:I,2,0))</f>
        <v>沁春锦苑幼儿园大门、亮化、自行车棚工程合同</v>
      </c>
      <c r="I595" s="165" t="str">
        <f>IF(G595="","",VLOOKUP(G595,'附表8-合同明细采集底稿'!B:I,3,0))</f>
        <v>买卖合同</v>
      </c>
      <c r="J595" s="187" t="s">
        <v>4167</v>
      </c>
      <c r="K595" s="157" t="s">
        <v>2355</v>
      </c>
      <c r="L595" s="191">
        <v>6500213130</v>
      </c>
      <c r="M595" s="166" t="s">
        <v>4180</v>
      </c>
      <c r="N595" s="167">
        <v>103302.75</v>
      </c>
      <c r="O595" s="167">
        <v>112600</v>
      </c>
      <c r="P595" s="167">
        <v>103302.75</v>
      </c>
      <c r="Q595" s="167"/>
      <c r="R595" s="167">
        <f t="shared" si="62"/>
        <v>103302.75</v>
      </c>
      <c r="S595" s="178">
        <f>IFERROR(VLOOKUP(G595,'附表8-合同明细采集底稿'!B:N,12,0),100%)</f>
        <v>0.338555832480367</v>
      </c>
      <c r="T595" s="167">
        <f t="shared" si="68"/>
        <v>34973.75</v>
      </c>
      <c r="U595" s="157" t="s">
        <v>3678</v>
      </c>
      <c r="V595" s="179" t="s">
        <v>375</v>
      </c>
      <c r="W595" s="180">
        <f>IF('附表1-面积统计表'!$D$29=0,"",IF(AND(V595="共同成本费用",Z595="总建筑面积法"),ROUND(T595/'附表1-面积统计表'!$D$29*'附表1-面积统计表'!$D$5,2),IF(AND(V595="共同成本费用",Z595="可售建筑面积法"),ROUND(T595/'附表1-面积统计表'!$F$29*'附表1-面积统计表'!$F$5,2),"请手工填写")))</f>
        <v>16943.49</v>
      </c>
      <c r="X595" s="180">
        <f>IF(SUM('附表1-面积统计表'!$D$6)=0,"",SUM(T595)-SUM(W595)-SUM(Y595))</f>
        <v>11210.28</v>
      </c>
      <c r="Y595" s="180">
        <f>IF(SUM('附表1-面积统计表'!$D$6)=0,SUM(T595)-SUM(W595),IF('附表1-面积统计表'!$D$29=0,"",IF(AND(V595="共同成本费用",Z595="总建筑面积法"),ROUND(T595/'附表1-面积统计表'!$D$29*'附表1-面积统计表'!$D$7,2),IF(AND(V595="共同成本费用",Z595="可售建筑面积法"),ROUND(T595/'附表1-面积统计表'!$F$29*'附表1-面积统计表'!$F$7,2),"请手工填写"))))</f>
        <v>6819.98</v>
      </c>
      <c r="Z595" s="183" t="s">
        <v>351</v>
      </c>
      <c r="AA595" s="157"/>
      <c r="AB595" s="184" t="s">
        <v>2319</v>
      </c>
      <c r="AC595" s="132">
        <f t="shared" si="67"/>
        <v>0</v>
      </c>
    </row>
    <row r="596" s="132" customFormat="1" ht="24" customHeight="1" spans="1:29">
      <c r="A596" s="150">
        <v>590</v>
      </c>
      <c r="B596" s="209" t="s">
        <v>4050</v>
      </c>
      <c r="C596" s="166" t="s">
        <v>3564</v>
      </c>
      <c r="D596" s="157" t="s">
        <v>2331</v>
      </c>
      <c r="E596" s="158" t="s">
        <v>3111</v>
      </c>
      <c r="F596" s="189" t="s">
        <v>4181</v>
      </c>
      <c r="G596" s="156" t="s">
        <v>4162</v>
      </c>
      <c r="H596" s="157" t="str">
        <f>IF(G596="","",VLOOKUP(G596,'附表8-合同明细采集底稿'!B:I,2,0))</f>
        <v>沁春锦苑18#、21#、22#楼、37#社区、地下车库及人防部分建设工程（地下人防）</v>
      </c>
      <c r="I596" s="165" t="str">
        <f>IF(G596="","",VLOOKUP(G596,'附表8-合同明细采集底稿'!B:I,3,0))</f>
        <v>建设工程合同</v>
      </c>
      <c r="J596" s="187" t="s">
        <v>151</v>
      </c>
      <c r="K596" s="157" t="s">
        <v>2355</v>
      </c>
      <c r="L596" s="166">
        <v>6500203130</v>
      </c>
      <c r="M596" s="166" t="s">
        <v>4182</v>
      </c>
      <c r="N596" s="167">
        <v>4669842.2</v>
      </c>
      <c r="O596" s="167">
        <v>5090128</v>
      </c>
      <c r="P596" s="167">
        <v>4669842.2</v>
      </c>
      <c r="Q596" s="167"/>
      <c r="R596" s="167">
        <f t="shared" si="62"/>
        <v>4669842.2</v>
      </c>
      <c r="S596" s="178">
        <f>IFERROR(VLOOKUP(G596,'附表8-合同明细采集底稿'!B:N,12,0),100%)</f>
        <v>0.109829243890136</v>
      </c>
      <c r="T596" s="167">
        <f t="shared" si="68"/>
        <v>512885.24</v>
      </c>
      <c r="U596" s="157" t="s">
        <v>3116</v>
      </c>
      <c r="V596" s="179" t="s">
        <v>374</v>
      </c>
      <c r="W596" s="181">
        <f>ROUND(T596*0.8162,2)</f>
        <v>418616.93</v>
      </c>
      <c r="X596" s="181">
        <v>0</v>
      </c>
      <c r="Y596" s="181">
        <f>T596-W596</f>
        <v>94268.31</v>
      </c>
      <c r="Z596" s="183" t="s">
        <v>2406</v>
      </c>
      <c r="AA596" s="157"/>
      <c r="AB596" s="184" t="s">
        <v>2319</v>
      </c>
      <c r="AC596" s="132">
        <f t="shared" si="67"/>
        <v>0</v>
      </c>
    </row>
    <row r="597" s="132" customFormat="1" ht="24" customHeight="1" spans="1:29">
      <c r="A597" s="150">
        <v>591</v>
      </c>
      <c r="B597" s="209" t="s">
        <v>4050</v>
      </c>
      <c r="C597" s="166" t="s">
        <v>4183</v>
      </c>
      <c r="D597" s="157" t="s">
        <v>2346</v>
      </c>
      <c r="E597" s="158" t="s">
        <v>3135</v>
      </c>
      <c r="F597" s="189" t="s">
        <v>4184</v>
      </c>
      <c r="G597" s="156" t="s">
        <v>4146</v>
      </c>
      <c r="H597" s="157" t="str">
        <f>IF(G597="","",VLOOKUP(G597,'附表8-合同明细采集底稿'!B:I,2,0))</f>
        <v>沁春锦苑中水处理土建、挡墙、警卫室‘铺装工程</v>
      </c>
      <c r="I597" s="165" t="str">
        <f>IF(G597="","",VLOOKUP(G597,'附表8-合同明细采集底稿'!B:I,3,0))</f>
        <v>建设工程合同</v>
      </c>
      <c r="J597" s="169" t="s">
        <v>151</v>
      </c>
      <c r="K597" s="157" t="s">
        <v>2355</v>
      </c>
      <c r="L597" s="166">
        <v>6500203130</v>
      </c>
      <c r="M597" s="166" t="s">
        <v>4185</v>
      </c>
      <c r="N597" s="167">
        <v>137614.68</v>
      </c>
      <c r="O597" s="167">
        <v>150000</v>
      </c>
      <c r="P597" s="167">
        <v>137614.68</v>
      </c>
      <c r="Q597" s="167"/>
      <c r="R597" s="167">
        <f t="shared" si="62"/>
        <v>137614.68</v>
      </c>
      <c r="S597" s="178">
        <f>IFERROR(VLOOKUP(G597,'附表8-合同明细采集底稿'!B:N,12,0),100%)</f>
        <v>0.338555832480367</v>
      </c>
      <c r="T597" s="167">
        <f t="shared" si="68"/>
        <v>46590.25</v>
      </c>
      <c r="U597" s="157" t="s">
        <v>2318</v>
      </c>
      <c r="V597" s="179" t="s">
        <v>375</v>
      </c>
      <c r="W597" s="180">
        <f>IF('附表1-面积统计表'!$D$29=0,"",IF(AND(V597="共同成本费用",Z597="总建筑面积法"),ROUND(T597/'附表1-面积统计表'!$D$29*'附表1-面积统计表'!$D$5,2),IF(AND(V597="共同成本费用",Z597="可售建筑面积法"),ROUND(T597/'附表1-面积统计表'!$F$29*'附表1-面积统计表'!$F$5,2),"请手工填写")))</f>
        <v>22571.26</v>
      </c>
      <c r="X597" s="180">
        <f>IF(SUM('附表1-面积统计表'!$D$6)=0,"",SUM(T597)-SUM(W597)-SUM(Y597))</f>
        <v>14933.76</v>
      </c>
      <c r="Y597" s="180">
        <f>IF(SUM('附表1-面积统计表'!$D$6)=0,SUM(T597)-SUM(W597),IF('附表1-面积统计表'!$D$29=0,"",IF(AND(V597="共同成本费用",Z597="总建筑面积法"),ROUND(T597/'附表1-面积统计表'!$D$29*'附表1-面积统计表'!$D$7,2),IF(AND(V597="共同成本费用",Z597="可售建筑面积法"),ROUND(T597/'附表1-面积统计表'!$F$29*'附表1-面积统计表'!$F$7,2),"请手工填写"))))</f>
        <v>9085.23</v>
      </c>
      <c r="Z597" s="183" t="s">
        <v>351</v>
      </c>
      <c r="AA597" s="157"/>
      <c r="AB597" s="184" t="s">
        <v>2319</v>
      </c>
      <c r="AC597" s="132">
        <f t="shared" si="67"/>
        <v>0</v>
      </c>
    </row>
    <row r="598" s="132" customFormat="1" ht="24" customHeight="1" spans="1:29">
      <c r="A598" s="150">
        <v>592</v>
      </c>
      <c r="B598" s="209" t="s">
        <v>4186</v>
      </c>
      <c r="C598" s="166" t="s">
        <v>3950</v>
      </c>
      <c r="D598" s="157" t="s">
        <v>2346</v>
      </c>
      <c r="E598" s="158" t="s">
        <v>3135</v>
      </c>
      <c r="F598" s="189" t="s">
        <v>4187</v>
      </c>
      <c r="G598" s="156" t="s">
        <v>4188</v>
      </c>
      <c r="H598" s="157" t="str">
        <f>IF(G598="","",VLOOKUP(G598,'附表8-合同明细采集底稿'!B:I,2,0))</f>
        <v>电缆（景观雾化使用）</v>
      </c>
      <c r="I598" s="165" t="str">
        <f>IF(G598="","",VLOOKUP(G598,'附表8-合同明细采集底稿'!B:I,3,0))</f>
        <v>其他合同</v>
      </c>
      <c r="J598" s="169" t="s">
        <v>4189</v>
      </c>
      <c r="K598" s="157" t="s">
        <v>2355</v>
      </c>
      <c r="L598" s="191">
        <v>6500212130</v>
      </c>
      <c r="M598" s="166" t="s">
        <v>4190</v>
      </c>
      <c r="N598" s="167">
        <v>193805.31</v>
      </c>
      <c r="O598" s="167">
        <v>219000</v>
      </c>
      <c r="P598" s="167">
        <v>193805.31</v>
      </c>
      <c r="Q598" s="167"/>
      <c r="R598" s="167">
        <f t="shared" si="62"/>
        <v>193805.31</v>
      </c>
      <c r="S598" s="178">
        <f>IFERROR(VLOOKUP(G598,'附表8-合同明细采集底稿'!B:N,12,0),100%)</f>
        <v>0.338555832480367</v>
      </c>
      <c r="T598" s="167">
        <f t="shared" si="68"/>
        <v>65613.92</v>
      </c>
      <c r="U598" s="157" t="s">
        <v>2318</v>
      </c>
      <c r="V598" s="179" t="s">
        <v>375</v>
      </c>
      <c r="W598" s="180">
        <f>IF('附表1-面积统计表'!$D$29=0,"",IF(AND(V598="共同成本费用",Z598="总建筑面积法"),ROUND(T598/'附表1-面积统计表'!$D$29*'附表1-面积统计表'!$D$5,2),IF(AND(V598="共同成本费用",Z598="可售建筑面积法"),ROUND(T598/'附表1-面积统计表'!$F$29*'附表1-面积统计表'!$F$5,2),"请手工填写")))</f>
        <v>31787.52</v>
      </c>
      <c r="X598" s="180">
        <f>IF(SUM('附表1-面积统计表'!$D$6)=0,"",SUM(T598)-SUM(W598)-SUM(Y598))</f>
        <v>21031.5</v>
      </c>
      <c r="Y598" s="180">
        <f>IF(SUM('附表1-面积统计表'!$D$6)=0,SUM(T598)-SUM(W598),IF('附表1-面积统计表'!$D$29=0,"",IF(AND(V598="共同成本费用",Z598="总建筑面积法"),ROUND(T598/'附表1-面积统计表'!$D$29*'附表1-面积统计表'!$D$7,2),IF(AND(V598="共同成本费用",Z598="可售建筑面积法"),ROUND(T598/'附表1-面积统计表'!$F$29*'附表1-面积统计表'!$F$7,2),"请手工填写"))))</f>
        <v>12794.9</v>
      </c>
      <c r="Z598" s="183" t="s">
        <v>351</v>
      </c>
      <c r="AA598" s="157"/>
      <c r="AB598" s="184" t="s">
        <v>2319</v>
      </c>
      <c r="AC598" s="132">
        <f t="shared" si="67"/>
        <v>0</v>
      </c>
    </row>
    <row r="599" s="132" customFormat="1" ht="24" customHeight="1" spans="1:29">
      <c r="A599" s="150">
        <v>593</v>
      </c>
      <c r="B599" s="209" t="s">
        <v>4191</v>
      </c>
      <c r="C599" s="166" t="s">
        <v>3156</v>
      </c>
      <c r="D599" s="157" t="s">
        <v>2331</v>
      </c>
      <c r="E599" s="158" t="s">
        <v>3544</v>
      </c>
      <c r="F599" s="189" t="s">
        <v>4192</v>
      </c>
      <c r="G599" s="156" t="s">
        <v>4166</v>
      </c>
      <c r="H599" s="157" t="str">
        <f>IF(G599="","",VLOOKUP(G599,'附表8-合同明细采集底稿'!B:I,2,0))</f>
        <v>沁春锦苑幼儿园大门、亮化、自行车棚工程合同</v>
      </c>
      <c r="I599" s="165" t="str">
        <f>IF(G599="","",VLOOKUP(G599,'附表8-合同明细采集底稿'!B:I,3,0))</f>
        <v>买卖合同</v>
      </c>
      <c r="J599" s="187" t="s">
        <v>4167</v>
      </c>
      <c r="K599" s="157" t="s">
        <v>2355</v>
      </c>
      <c r="L599" s="166">
        <v>6500213130</v>
      </c>
      <c r="M599" s="166" t="s">
        <v>4193</v>
      </c>
      <c r="N599" s="167">
        <v>17084.4</v>
      </c>
      <c r="O599" s="167">
        <v>18622</v>
      </c>
      <c r="P599" s="167">
        <v>17084.4</v>
      </c>
      <c r="Q599" s="167"/>
      <c r="R599" s="167">
        <f t="shared" si="62"/>
        <v>17084.4</v>
      </c>
      <c r="S599" s="178">
        <f>IFERROR(VLOOKUP(G599,'附表8-合同明细采集底稿'!B:N,12,0),100%)</f>
        <v>0.338555832480367</v>
      </c>
      <c r="T599" s="167">
        <f t="shared" si="68"/>
        <v>5784.02</v>
      </c>
      <c r="U599" s="157" t="s">
        <v>3678</v>
      </c>
      <c r="V599" s="179" t="s">
        <v>375</v>
      </c>
      <c r="W599" s="180">
        <f>IF('附表1-面积统计表'!$D$29=0,"",IF(AND(V599="共同成本费用",Z599="总建筑面积法"),ROUND(T599/'附表1-面积统计表'!$D$29*'附表1-面积统计表'!$D$5,2),IF(AND(V599="共同成本费用",Z599="可售建筑面积法"),ROUND(T599/'附表1-面积统计表'!$F$29*'附表1-面积统计表'!$F$5,2),"请手工填写")))</f>
        <v>2802.14</v>
      </c>
      <c r="X599" s="180">
        <f>IF(SUM('附表1-面积统计表'!$D$6)=0,"",SUM(T599)-SUM(W599)-SUM(Y599))</f>
        <v>1853.98</v>
      </c>
      <c r="Y599" s="180">
        <f>IF(SUM('附表1-面积统计表'!$D$6)=0,SUM(T599)-SUM(W599),IF('附表1-面积统计表'!$D$29=0,"",IF(AND(V599="共同成本费用",Z599="总建筑面积法"),ROUND(T599/'附表1-面积统计表'!$D$29*'附表1-面积统计表'!$D$7,2),IF(AND(V599="共同成本费用",Z599="可售建筑面积法"),ROUND(T599/'附表1-面积统计表'!$F$29*'附表1-面积统计表'!$F$7,2),"请手工填写"))))</f>
        <v>1127.9</v>
      </c>
      <c r="Z599" s="183" t="s">
        <v>351</v>
      </c>
      <c r="AA599" s="157"/>
      <c r="AB599" s="184" t="s">
        <v>2319</v>
      </c>
      <c r="AC599" s="132">
        <f t="shared" si="67"/>
        <v>0</v>
      </c>
    </row>
    <row r="600" s="132" customFormat="1" ht="24" customHeight="1" spans="1:29">
      <c r="A600" s="150">
        <v>594</v>
      </c>
      <c r="B600" s="209" t="s">
        <v>4194</v>
      </c>
      <c r="C600" s="166" t="s">
        <v>3140</v>
      </c>
      <c r="D600" s="157" t="s">
        <v>2346</v>
      </c>
      <c r="E600" s="158" t="s">
        <v>3135</v>
      </c>
      <c r="F600" s="189" t="s">
        <v>4195</v>
      </c>
      <c r="G600" s="156" t="s">
        <v>4146</v>
      </c>
      <c r="H600" s="157" t="str">
        <f>IF(G600="","",VLOOKUP(G600,'附表8-合同明细采集底稿'!B:I,2,0))</f>
        <v>沁春锦苑中水处理土建、挡墙、警卫室‘铺装工程</v>
      </c>
      <c r="I600" s="165" t="str">
        <f>IF(G600="","",VLOOKUP(G600,'附表8-合同明细采集底稿'!B:I,3,0))</f>
        <v>建设工程合同</v>
      </c>
      <c r="J600" s="169" t="s">
        <v>151</v>
      </c>
      <c r="K600" s="157" t="s">
        <v>2355</v>
      </c>
      <c r="L600" s="166">
        <v>6500221130</v>
      </c>
      <c r="M600" s="166" t="s">
        <v>4196</v>
      </c>
      <c r="N600" s="167">
        <v>211009.17</v>
      </c>
      <c r="O600" s="167">
        <v>230000</v>
      </c>
      <c r="P600" s="167">
        <v>211009.17</v>
      </c>
      <c r="Q600" s="167"/>
      <c r="R600" s="167">
        <f t="shared" si="62"/>
        <v>211009.17</v>
      </c>
      <c r="S600" s="178">
        <f>IFERROR(VLOOKUP(G600,'附表8-合同明细采集底稿'!B:N,12,0),100%)</f>
        <v>0.338555832480367</v>
      </c>
      <c r="T600" s="167">
        <f t="shared" si="68"/>
        <v>71438.39</v>
      </c>
      <c r="U600" s="157" t="s">
        <v>2318</v>
      </c>
      <c r="V600" s="179" t="s">
        <v>375</v>
      </c>
      <c r="W600" s="180">
        <f>IF('附表1-面积统计表'!$D$29=0,"",IF(AND(V600="共同成本费用",Z600="总建筑面积法"),ROUND(T600/'附表1-面积统计表'!$D$29*'附表1-面积统计表'!$D$5,2),IF(AND(V600="共同成本费用",Z600="可售建筑面积法"),ROUND(T600/'附表1-面积统计表'!$F$29*'附表1-面积统计表'!$F$5,2),"请手工填写")))</f>
        <v>34609.26</v>
      </c>
      <c r="X600" s="180">
        <f>IF(SUM('附表1-面积统计表'!$D$6)=0,"",SUM(T600)-SUM(W600)-SUM(Y600))</f>
        <v>22898.44</v>
      </c>
      <c r="Y600" s="180">
        <f>IF(SUM('附表1-面积统计表'!$D$6)=0,SUM(T600)-SUM(W600),IF('附表1-面积统计表'!$D$29=0,"",IF(AND(V600="共同成本费用",Z600="总建筑面积法"),ROUND(T600/'附表1-面积统计表'!$D$29*'附表1-面积统计表'!$D$7,2),IF(AND(V600="共同成本费用",Z600="可售建筑面积法"),ROUND(T600/'附表1-面积统计表'!$F$29*'附表1-面积统计表'!$F$7,2),"请手工填写"))))</f>
        <v>13930.69</v>
      </c>
      <c r="Z600" s="183" t="s">
        <v>351</v>
      </c>
      <c r="AA600" s="157"/>
      <c r="AB600" s="184" t="s">
        <v>2319</v>
      </c>
      <c r="AC600" s="132">
        <f t="shared" si="67"/>
        <v>0</v>
      </c>
    </row>
    <row r="601" s="132" customFormat="1" ht="24" customHeight="1" spans="1:29">
      <c r="A601" s="150">
        <v>595</v>
      </c>
      <c r="B601" s="209" t="s">
        <v>4194</v>
      </c>
      <c r="C601" s="166" t="s">
        <v>2893</v>
      </c>
      <c r="D601" s="157" t="s">
        <v>2331</v>
      </c>
      <c r="E601" s="158" t="s">
        <v>3111</v>
      </c>
      <c r="F601" s="189" t="s">
        <v>4197</v>
      </c>
      <c r="G601" s="156" t="s">
        <v>4162</v>
      </c>
      <c r="H601" s="157" t="str">
        <f>IF(G601="","",VLOOKUP(G601,'附表8-合同明细采集底稿'!B:I,2,0))</f>
        <v>沁春锦苑18#、21#、22#楼、37#社区、地下车库及人防部分建设工程（地下人防）</v>
      </c>
      <c r="I601" s="165" t="str">
        <f>IF(G601="","",VLOOKUP(G601,'附表8-合同明细采集底稿'!B:I,3,0))</f>
        <v>建设工程合同</v>
      </c>
      <c r="J601" s="187" t="s">
        <v>151</v>
      </c>
      <c r="K601" s="157" t="s">
        <v>2355</v>
      </c>
      <c r="L601" s="166">
        <v>6500221130</v>
      </c>
      <c r="M601" s="166" t="s">
        <v>4198</v>
      </c>
      <c r="N601" s="167">
        <v>1893110.09</v>
      </c>
      <c r="O601" s="167">
        <v>2063490</v>
      </c>
      <c r="P601" s="167">
        <v>1893110.09</v>
      </c>
      <c r="Q601" s="167"/>
      <c r="R601" s="167">
        <f t="shared" si="62"/>
        <v>1893110.09</v>
      </c>
      <c r="S601" s="178">
        <f>IFERROR(VLOOKUP(G601,'附表8-合同明细采集底稿'!B:N,12,0),100%)</f>
        <v>0.109829243890136</v>
      </c>
      <c r="T601" s="167">
        <f t="shared" si="68"/>
        <v>207918.85</v>
      </c>
      <c r="U601" s="157" t="s">
        <v>3116</v>
      </c>
      <c r="V601" s="179" t="s">
        <v>374</v>
      </c>
      <c r="W601" s="181">
        <f>ROUND(T601*0.8162,2)</f>
        <v>169703.37</v>
      </c>
      <c r="X601" s="181">
        <v>0</v>
      </c>
      <c r="Y601" s="181">
        <f>T601-W601</f>
        <v>38215.48</v>
      </c>
      <c r="Z601" s="183" t="s">
        <v>2406</v>
      </c>
      <c r="AA601" s="157"/>
      <c r="AB601" s="184" t="s">
        <v>2319</v>
      </c>
      <c r="AC601" s="132">
        <f t="shared" si="67"/>
        <v>0</v>
      </c>
    </row>
    <row r="602" s="132" customFormat="1" ht="24" customHeight="1" spans="1:29">
      <c r="A602" s="150">
        <v>596</v>
      </c>
      <c r="B602" s="166" t="s">
        <v>4194</v>
      </c>
      <c r="C602" s="166" t="s">
        <v>3514</v>
      </c>
      <c r="D602" s="157" t="s">
        <v>2533</v>
      </c>
      <c r="E602" s="158" t="s">
        <v>2564</v>
      </c>
      <c r="F602" s="189" t="s">
        <v>4199</v>
      </c>
      <c r="G602" s="156" t="s">
        <v>3679</v>
      </c>
      <c r="H602" s="157" t="str">
        <f>IF(G602="","",VLOOKUP(G602,'附表8-合同明细采集底稿'!B:I,2,0))</f>
        <v>建设工程施工合同12-15#楼38#楼、31#楼.36#幼儿园（36#楼）</v>
      </c>
      <c r="I602" s="165" t="str">
        <f>IF(G602="","",VLOOKUP(G602,'附表8-合同明细采集底稿'!B:I,3,0))</f>
        <v>建设工程合同</v>
      </c>
      <c r="J602" s="187" t="s">
        <v>151</v>
      </c>
      <c r="K602" s="157" t="s">
        <v>2355</v>
      </c>
      <c r="L602" s="166">
        <v>6500221130</v>
      </c>
      <c r="M602" s="166" t="s">
        <v>4200</v>
      </c>
      <c r="N602" s="167">
        <v>62555.24</v>
      </c>
      <c r="O602" s="167">
        <v>68185.21</v>
      </c>
      <c r="P602" s="167">
        <v>62555.24</v>
      </c>
      <c r="Q602" s="167">
        <v>-62555.24</v>
      </c>
      <c r="R602" s="167">
        <f t="shared" ref="R602:R665" si="71">P602+Q602</f>
        <v>0</v>
      </c>
      <c r="S602" s="178">
        <f>IFERROR(VLOOKUP(G602,'附表8-合同明细采集底稿'!B:N,12,0),100%)</f>
        <v>1</v>
      </c>
      <c r="T602" s="167">
        <f t="shared" si="68"/>
        <v>0</v>
      </c>
      <c r="U602" s="157" t="s">
        <v>3680</v>
      </c>
      <c r="V602" s="179" t="s">
        <v>374</v>
      </c>
      <c r="W602" s="181">
        <v>0</v>
      </c>
      <c r="X602" s="181">
        <v>0</v>
      </c>
      <c r="Y602" s="181">
        <v>0</v>
      </c>
      <c r="Z602" s="183" t="s">
        <v>2406</v>
      </c>
      <c r="AA602" s="157"/>
      <c r="AB602" s="184" t="s">
        <v>2319</v>
      </c>
      <c r="AC602" s="132">
        <f t="shared" si="67"/>
        <v>0</v>
      </c>
    </row>
    <row r="603" s="132" customFormat="1" ht="24" customHeight="1" spans="1:29">
      <c r="A603" s="150">
        <v>597</v>
      </c>
      <c r="B603" s="209" t="s">
        <v>4194</v>
      </c>
      <c r="C603" s="166" t="s">
        <v>3514</v>
      </c>
      <c r="D603" s="157" t="s">
        <v>2331</v>
      </c>
      <c r="E603" s="158" t="s">
        <v>3544</v>
      </c>
      <c r="F603" s="189" t="s">
        <v>4199</v>
      </c>
      <c r="G603" s="156" t="s">
        <v>3676</v>
      </c>
      <c r="H603" s="157" t="str">
        <f>IF(G603="","",VLOOKUP(G603,'附表8-合同明细采集底稿'!B:I,2,0))</f>
        <v>建设工程施工合同12-15#楼38#楼、31#楼幼儿园（幼儿园—）</v>
      </c>
      <c r="I603" s="165" t="str">
        <f>IF(G603="","",VLOOKUP(G603,'附表8-合同明细采集底稿'!B:I,3,0))</f>
        <v>建设工程合同</v>
      </c>
      <c r="J603" s="187" t="s">
        <v>151</v>
      </c>
      <c r="K603" s="157" t="s">
        <v>2355</v>
      </c>
      <c r="L603" s="166">
        <v>6500221130</v>
      </c>
      <c r="M603" s="166" t="s">
        <v>4200</v>
      </c>
      <c r="N603" s="167">
        <v>1174193.38</v>
      </c>
      <c r="O603" s="167">
        <v>1279870.78</v>
      </c>
      <c r="P603" s="167">
        <v>1174193.38</v>
      </c>
      <c r="Q603" s="167"/>
      <c r="R603" s="167">
        <f t="shared" si="71"/>
        <v>1174193.38</v>
      </c>
      <c r="S603" s="178">
        <f>IFERROR(VLOOKUP(G603,'附表8-合同明细采集底稿'!B:N,12,0),100%)</f>
        <v>0.338555832480367</v>
      </c>
      <c r="T603" s="167">
        <f t="shared" si="68"/>
        <v>397530.02</v>
      </c>
      <c r="U603" s="157" t="s">
        <v>3678</v>
      </c>
      <c r="V603" s="179" t="s">
        <v>375</v>
      </c>
      <c r="W603" s="180">
        <f>IF('附表1-面积统计表'!$D$29=0,"",IF(AND(V603="共同成本费用",Z603="总建筑面积法"),ROUND(T603/'附表1-面积统计表'!$D$29*'附表1-面积统计表'!$D$5,2),IF(AND(V603="共同成本费用",Z603="可售建筑面积法"),ROUND(T603/'附表1-面积统计表'!$F$29*'附表1-面积统计表'!$F$5,2),"请手工填写")))</f>
        <v>192588.61</v>
      </c>
      <c r="X603" s="180">
        <f>IF(SUM('附表1-面积统计表'!$D$6)=0,"",SUM(T603)-SUM(W603)-SUM(Y603))</f>
        <v>127421.94</v>
      </c>
      <c r="Y603" s="180">
        <f>IF(SUM('附表1-面积统计表'!$D$6)=0,SUM(T603)-SUM(W603),IF('附表1-面积统计表'!$D$29=0,"",IF(AND(V603="共同成本费用",Z603="总建筑面积法"),ROUND(T603/'附表1-面积统计表'!$D$29*'附表1-面积统计表'!$D$7,2),IF(AND(V603="共同成本费用",Z603="可售建筑面积法"),ROUND(T603/'附表1-面积统计表'!$F$29*'附表1-面积统计表'!$F$7,2),"请手工填写"))))</f>
        <v>77519.47</v>
      </c>
      <c r="Z603" s="183" t="s">
        <v>351</v>
      </c>
      <c r="AA603" s="157"/>
      <c r="AB603" s="184" t="s">
        <v>2319</v>
      </c>
      <c r="AC603" s="132">
        <f t="shared" si="67"/>
        <v>0</v>
      </c>
    </row>
    <row r="604" s="132" customFormat="1" ht="24" customHeight="1" spans="1:29">
      <c r="A604" s="150">
        <v>598</v>
      </c>
      <c r="B604" s="166" t="s">
        <v>4201</v>
      </c>
      <c r="C604" s="166" t="s">
        <v>3597</v>
      </c>
      <c r="D604" s="157" t="s">
        <v>2533</v>
      </c>
      <c r="E604" s="158" t="s">
        <v>2690</v>
      </c>
      <c r="F604" s="189" t="s">
        <v>4202</v>
      </c>
      <c r="G604" s="156" t="s">
        <v>2600</v>
      </c>
      <c r="H604" s="157" t="str">
        <f>IF(G604="","",VLOOKUP(G604,'附表8-合同明细采集底稿'!B:I,2,0))</f>
        <v>装饰装修工程承包合同</v>
      </c>
      <c r="I604" s="165" t="str">
        <f>IF(G604="","",VLOOKUP(G604,'附表8-合同明细采集底稿'!B:I,3,0))</f>
        <v>建设工程合同</v>
      </c>
      <c r="J604" s="187" t="s">
        <v>2601</v>
      </c>
      <c r="K604" s="157" t="s">
        <v>2355</v>
      </c>
      <c r="L604" s="191">
        <v>6500213130</v>
      </c>
      <c r="M604" s="166" t="s">
        <v>4203</v>
      </c>
      <c r="N604" s="167">
        <v>261467.88</v>
      </c>
      <c r="O604" s="167">
        <v>285000</v>
      </c>
      <c r="P604" s="167">
        <v>261467.88</v>
      </c>
      <c r="Q604" s="167">
        <v>-261467.88</v>
      </c>
      <c r="R604" s="167">
        <f t="shared" si="71"/>
        <v>0</v>
      </c>
      <c r="S604" s="178">
        <f>IFERROR(VLOOKUP(G604,'附表8-合同明细采集底稿'!B:N,12,0),100%)</f>
        <v>1</v>
      </c>
      <c r="T604" s="167">
        <f t="shared" si="68"/>
        <v>0</v>
      </c>
      <c r="U604" s="157" t="s">
        <v>2405</v>
      </c>
      <c r="V604" s="179" t="s">
        <v>374</v>
      </c>
      <c r="W604" s="181">
        <v>0</v>
      </c>
      <c r="X604" s="181">
        <v>0</v>
      </c>
      <c r="Y604" s="181">
        <v>0</v>
      </c>
      <c r="Z604" s="183" t="s">
        <v>2406</v>
      </c>
      <c r="AA604" s="157"/>
      <c r="AB604" s="184" t="s">
        <v>2319</v>
      </c>
      <c r="AC604" s="132">
        <f t="shared" si="67"/>
        <v>0</v>
      </c>
    </row>
    <row r="605" s="132" customFormat="1" ht="24" customHeight="1" spans="1:29">
      <c r="A605" s="150">
        <v>599</v>
      </c>
      <c r="B605" s="209" t="s">
        <v>4204</v>
      </c>
      <c r="C605" s="166" t="s">
        <v>3731</v>
      </c>
      <c r="D605" s="157" t="s">
        <v>2346</v>
      </c>
      <c r="E605" s="158" t="s">
        <v>4205</v>
      </c>
      <c r="F605" s="189" t="s">
        <v>4206</v>
      </c>
      <c r="G605" s="156" t="s">
        <v>4207</v>
      </c>
      <c r="H605" s="157" t="str">
        <f>IF(G605="","",VLOOKUP(G605,'附表8-合同明细采集底稿'!B:I,2,0))</f>
        <v>沁春锦苑升降横移类机械式停车设备销售合同</v>
      </c>
      <c r="I605" s="165" t="str">
        <f>IF(G605="","",VLOOKUP(G605,'附表8-合同明细采集底稿'!B:I,3,0))</f>
        <v>买卖合同</v>
      </c>
      <c r="J605" s="169" t="s">
        <v>4208</v>
      </c>
      <c r="K605" s="157" t="s">
        <v>2355</v>
      </c>
      <c r="L605" s="166">
        <v>1300214130</v>
      </c>
      <c r="M605" s="166" t="s">
        <v>4209</v>
      </c>
      <c r="N605" s="167">
        <v>175324.95</v>
      </c>
      <c r="O605" s="167">
        <v>198117.19</v>
      </c>
      <c r="P605" s="167">
        <v>175324.95</v>
      </c>
      <c r="Q605" s="167"/>
      <c r="R605" s="167">
        <f t="shared" si="71"/>
        <v>175324.95</v>
      </c>
      <c r="S605" s="178">
        <f>IFERROR(VLOOKUP(G605,'附表8-合同明细采集底稿'!B:N,12,0),100%)</f>
        <v>0.338555832480367</v>
      </c>
      <c r="T605" s="167">
        <f t="shared" si="68"/>
        <v>59357.28</v>
      </c>
      <c r="U605" s="157" t="s">
        <v>4210</v>
      </c>
      <c r="V605" s="179" t="s">
        <v>375</v>
      </c>
      <c r="W605" s="180">
        <f>IF('附表1-面积统计表'!$D$29=0,"",IF(AND(V605="共同成本费用",Z605="总建筑面积法"),ROUND(T605/'附表1-面积统计表'!$D$29*'附表1-面积统计表'!$D$5,2),IF(AND(V605="共同成本费用",Z605="可售建筑面积法"),ROUND(T605/'附表1-面积统计表'!$F$29*'附表1-面积统计表'!$F$5,2),"请手工填写")))</f>
        <v>28756.41</v>
      </c>
      <c r="X605" s="180">
        <f>IF(SUM('附表1-面积统计表'!$D$6)=0,"",SUM(T605)-SUM(W605)-SUM(Y605))</f>
        <v>19026.03</v>
      </c>
      <c r="Y605" s="180">
        <f>IF(SUM('附表1-面积统计表'!$D$6)=0,SUM(T605)-SUM(W605),IF('附表1-面积统计表'!$D$29=0,"",IF(AND(V605="共同成本费用",Z605="总建筑面积法"),ROUND(T605/'附表1-面积统计表'!$D$29*'附表1-面积统计表'!$D$7,2),IF(AND(V605="共同成本费用",Z605="可售建筑面积法"),ROUND(T605/'附表1-面积统计表'!$F$29*'附表1-面积统计表'!$F$7,2),"请手工填写"))))</f>
        <v>11574.84</v>
      </c>
      <c r="Z605" s="183" t="s">
        <v>351</v>
      </c>
      <c r="AA605" s="157"/>
      <c r="AB605" s="184" t="s">
        <v>2319</v>
      </c>
      <c r="AC605" s="132">
        <f t="shared" si="67"/>
        <v>0</v>
      </c>
    </row>
    <row r="606" s="132" customFormat="1" ht="24" customHeight="1" spans="1:29">
      <c r="A606" s="150">
        <v>600</v>
      </c>
      <c r="B606" s="166" t="s">
        <v>4211</v>
      </c>
      <c r="C606" s="166" t="s">
        <v>3883</v>
      </c>
      <c r="D606" s="157" t="s">
        <v>2533</v>
      </c>
      <c r="E606" s="158" t="s">
        <v>2564</v>
      </c>
      <c r="F606" s="189" t="s">
        <v>4212</v>
      </c>
      <c r="G606" s="156" t="s">
        <v>2900</v>
      </c>
      <c r="H606" s="157" t="str">
        <f>IF(G606="","",VLOOKUP(G606,'附表8-合同明细采集底稿'!B:I,2,0))</f>
        <v>沁春锦苑25、26、28#施工协议</v>
      </c>
      <c r="I606" s="165" t="str">
        <f>IF(G606="","",VLOOKUP(G606,'附表8-合同明细采集底稿'!B:I,3,0))</f>
        <v>建设工程合同</v>
      </c>
      <c r="J606" s="187" t="s">
        <v>144</v>
      </c>
      <c r="K606" s="157" t="s">
        <v>2355</v>
      </c>
      <c r="L606" s="166">
        <v>6500221130</v>
      </c>
      <c r="M606" s="166" t="s">
        <v>4213</v>
      </c>
      <c r="N606" s="167">
        <v>877942.2</v>
      </c>
      <c r="O606" s="167">
        <v>956957</v>
      </c>
      <c r="P606" s="167">
        <v>877942.2</v>
      </c>
      <c r="Q606" s="167"/>
      <c r="R606" s="167">
        <f t="shared" si="71"/>
        <v>877942.2</v>
      </c>
      <c r="S606" s="178">
        <f>IFERROR(VLOOKUP(G606,'附表8-合同明细采集底稿'!B:N,12,0),100%)</f>
        <v>1</v>
      </c>
      <c r="T606" s="167">
        <f t="shared" si="68"/>
        <v>877942.2</v>
      </c>
      <c r="U606" s="157" t="s">
        <v>2405</v>
      </c>
      <c r="V606" s="179" t="s">
        <v>374</v>
      </c>
      <c r="W606" s="182">
        <v>0</v>
      </c>
      <c r="X606" s="182">
        <v>0</v>
      </c>
      <c r="Y606" s="182">
        <v>877942.2</v>
      </c>
      <c r="Z606" s="183" t="s">
        <v>2406</v>
      </c>
      <c r="AA606" s="157"/>
      <c r="AB606" s="184" t="s">
        <v>2319</v>
      </c>
      <c r="AC606" s="132">
        <f t="shared" si="67"/>
        <v>0</v>
      </c>
    </row>
    <row r="607" s="132" customFormat="1" ht="24" customHeight="1" spans="1:29">
      <c r="A607" s="150">
        <v>601</v>
      </c>
      <c r="B607" s="166" t="s">
        <v>230</v>
      </c>
      <c r="C607" s="166" t="s">
        <v>3029</v>
      </c>
      <c r="D607" s="157" t="s">
        <v>2533</v>
      </c>
      <c r="E607" s="158" t="s">
        <v>2690</v>
      </c>
      <c r="F607" s="189" t="s">
        <v>4214</v>
      </c>
      <c r="G607" s="156" t="s">
        <v>2600</v>
      </c>
      <c r="H607" s="157" t="str">
        <f>IF(G607="","",VLOOKUP(G607,'附表8-合同明细采集底稿'!B:I,2,0))</f>
        <v>装饰装修工程承包合同</v>
      </c>
      <c r="I607" s="165" t="str">
        <f>IF(G607="","",VLOOKUP(G607,'附表8-合同明细采集底稿'!B:I,3,0))</f>
        <v>建设工程合同</v>
      </c>
      <c r="J607" s="187" t="s">
        <v>2601</v>
      </c>
      <c r="K607" s="157" t="s">
        <v>2355</v>
      </c>
      <c r="L607" s="191">
        <v>6500221130</v>
      </c>
      <c r="M607" s="166" t="s">
        <v>4215</v>
      </c>
      <c r="N607" s="167">
        <v>209221.04</v>
      </c>
      <c r="O607" s="167">
        <v>228050.94</v>
      </c>
      <c r="P607" s="167">
        <v>209221.04</v>
      </c>
      <c r="Q607" s="167">
        <v>-209221.04</v>
      </c>
      <c r="R607" s="167">
        <f t="shared" si="71"/>
        <v>0</v>
      </c>
      <c r="S607" s="178">
        <f>IFERROR(VLOOKUP(G607,'附表8-合同明细采集底稿'!B:N,12,0),100%)</f>
        <v>1</v>
      </c>
      <c r="T607" s="167">
        <f t="shared" si="68"/>
        <v>0</v>
      </c>
      <c r="U607" s="157" t="s">
        <v>2405</v>
      </c>
      <c r="V607" s="179" t="s">
        <v>374</v>
      </c>
      <c r="W607" s="181">
        <v>0</v>
      </c>
      <c r="X607" s="181">
        <v>0</v>
      </c>
      <c r="Y607" s="181">
        <v>0</v>
      </c>
      <c r="Z607" s="183" t="s">
        <v>2406</v>
      </c>
      <c r="AA607" s="157"/>
      <c r="AB607" s="184" t="s">
        <v>2319</v>
      </c>
      <c r="AC607" s="132">
        <f t="shared" si="67"/>
        <v>0</v>
      </c>
    </row>
    <row r="608" s="132" customFormat="1" ht="24" customHeight="1" spans="1:29">
      <c r="A608" s="150">
        <v>602</v>
      </c>
      <c r="B608" s="209" t="s">
        <v>4216</v>
      </c>
      <c r="C608" s="166" t="s">
        <v>3126</v>
      </c>
      <c r="D608" s="157" t="s">
        <v>2331</v>
      </c>
      <c r="E608" s="158" t="s">
        <v>3111</v>
      </c>
      <c r="F608" s="189" t="s">
        <v>4217</v>
      </c>
      <c r="G608" s="156" t="s">
        <v>4162</v>
      </c>
      <c r="H608" s="157" t="str">
        <f>IF(G608="","",VLOOKUP(G608,'附表8-合同明细采集底稿'!B:I,2,0))</f>
        <v>沁春锦苑18#、21#、22#楼、37#社区、地下车库及人防部分建设工程（地下人防）</v>
      </c>
      <c r="I608" s="165" t="str">
        <f>IF(G608="","",VLOOKUP(G608,'附表8-合同明细采集底稿'!B:I,3,0))</f>
        <v>建设工程合同</v>
      </c>
      <c r="J608" s="187" t="s">
        <v>151</v>
      </c>
      <c r="K608" s="157" t="s">
        <v>2355</v>
      </c>
      <c r="L608" s="166">
        <v>6500221130</v>
      </c>
      <c r="M608" s="166" t="s">
        <v>4218</v>
      </c>
      <c r="N608" s="167">
        <v>2092529.36</v>
      </c>
      <c r="O608" s="167">
        <v>2280857</v>
      </c>
      <c r="P608" s="167">
        <v>2092529.36</v>
      </c>
      <c r="Q608" s="167"/>
      <c r="R608" s="167">
        <f t="shared" si="71"/>
        <v>2092529.36</v>
      </c>
      <c r="S608" s="178">
        <f>IFERROR(VLOOKUP(G608,'附表8-合同明细采集底稿'!B:N,12,0),100%)</f>
        <v>0.109829243890136</v>
      </c>
      <c r="T608" s="167">
        <f t="shared" si="68"/>
        <v>229820.92</v>
      </c>
      <c r="U608" s="157" t="s">
        <v>3116</v>
      </c>
      <c r="V608" s="179" t="s">
        <v>374</v>
      </c>
      <c r="W608" s="181">
        <f t="shared" ref="W608:W612" si="72">ROUND(T608*0.8162,2)</f>
        <v>187579.83</v>
      </c>
      <c r="X608" s="181">
        <v>0</v>
      </c>
      <c r="Y608" s="181">
        <f t="shared" ref="Y608:Y612" si="73">T608-W608</f>
        <v>42241.09</v>
      </c>
      <c r="Z608" s="183" t="s">
        <v>2406</v>
      </c>
      <c r="AA608" s="157"/>
      <c r="AB608" s="184" t="s">
        <v>2319</v>
      </c>
      <c r="AC608" s="132">
        <f t="shared" si="67"/>
        <v>0</v>
      </c>
    </row>
    <row r="609" s="132" customFormat="1" ht="24" customHeight="1" spans="1:29">
      <c r="A609" s="150">
        <v>603</v>
      </c>
      <c r="B609" s="209" t="s">
        <v>4219</v>
      </c>
      <c r="C609" s="166" t="s">
        <v>3710</v>
      </c>
      <c r="D609" s="157" t="s">
        <v>2346</v>
      </c>
      <c r="E609" s="158" t="s">
        <v>2418</v>
      </c>
      <c r="F609" s="189" t="s">
        <v>4220</v>
      </c>
      <c r="G609" s="156" t="s">
        <v>4221</v>
      </c>
      <c r="H609" s="157" t="str">
        <f>IF(G609="","",VLOOKUP(G609,'附表8-合同明细采集底稿'!B:I,2,0))</f>
        <v>沁春锦苑小区商业新增亮化工程</v>
      </c>
      <c r="I609" s="165" t="str">
        <f>IF(G609="","",VLOOKUP(G609,'附表8-合同明细采集底稿'!B:I,3,0))</f>
        <v>其他合同</v>
      </c>
      <c r="J609" s="165" t="s">
        <v>3129</v>
      </c>
      <c r="K609" s="157" t="s">
        <v>2355</v>
      </c>
      <c r="L609" s="166">
        <v>6500201160</v>
      </c>
      <c r="M609" s="166" t="s">
        <v>4222</v>
      </c>
      <c r="N609" s="167">
        <v>27087.38</v>
      </c>
      <c r="O609" s="167">
        <v>27900</v>
      </c>
      <c r="P609" s="167">
        <v>27087.38</v>
      </c>
      <c r="Q609" s="167">
        <v>-27087.38</v>
      </c>
      <c r="R609" s="167">
        <f t="shared" si="71"/>
        <v>0</v>
      </c>
      <c r="S609" s="178">
        <f>IFERROR(VLOOKUP(G609,'附表8-合同明细采集底稿'!B:N,12,0),100%)</f>
        <v>0.338555832480367</v>
      </c>
      <c r="T609" s="167">
        <f t="shared" si="68"/>
        <v>0</v>
      </c>
      <c r="U609" s="157" t="s">
        <v>2318</v>
      </c>
      <c r="V609" s="179" t="s">
        <v>375</v>
      </c>
      <c r="W609" s="180">
        <f>IF('附表1-面积统计表'!$D$29=0,"",IF(AND(V609="共同成本费用",Z609="总建筑面积法"),ROUND(T609/'附表1-面积统计表'!$D$29*'附表1-面积统计表'!$D$5,2),IF(AND(V609="共同成本费用",Z609="可售建筑面积法"),ROUND(T609/'附表1-面积统计表'!$F$29*'附表1-面积统计表'!$F$5,2),"请手工填写")))</f>
        <v>0</v>
      </c>
      <c r="X609" s="180">
        <f>IF(SUM('附表1-面积统计表'!$D$6)=0,"",SUM(T609)-SUM(W609)-SUM(Y609))</f>
        <v>0</v>
      </c>
      <c r="Y609" s="180">
        <f>IF(SUM('附表1-面积统计表'!$D$6)=0,SUM(T609)-SUM(W609),IF('附表1-面积统计表'!$D$29=0,"",IF(AND(V609="共同成本费用",Z609="总建筑面积法"),ROUND(T609/'附表1-面积统计表'!$D$29*'附表1-面积统计表'!$D$7,2),IF(AND(V609="共同成本费用",Z609="可售建筑面积法"),ROUND(T609/'附表1-面积统计表'!$F$29*'附表1-面积统计表'!$F$7,2),"请手工填写"))))</f>
        <v>0</v>
      </c>
      <c r="Z609" s="183" t="s">
        <v>351</v>
      </c>
      <c r="AA609" s="157"/>
      <c r="AB609" s="184" t="s">
        <v>2319</v>
      </c>
      <c r="AC609" s="132">
        <f t="shared" si="67"/>
        <v>0</v>
      </c>
    </row>
    <row r="610" s="132" customFormat="1" ht="24" customHeight="1" spans="1:29">
      <c r="A610" s="150">
        <v>604</v>
      </c>
      <c r="B610" s="209" t="s">
        <v>4223</v>
      </c>
      <c r="C610" s="166" t="s">
        <v>4224</v>
      </c>
      <c r="D610" s="157" t="s">
        <v>2331</v>
      </c>
      <c r="E610" s="158" t="s">
        <v>3994</v>
      </c>
      <c r="F610" s="189" t="s">
        <v>4225</v>
      </c>
      <c r="G610" s="156" t="s">
        <v>4226</v>
      </c>
      <c r="H610" s="157" t="str">
        <f>IF(G610="","",VLOOKUP(G610,'附表8-合同明细采集底稿'!B:I,2,0))</f>
        <v>37#楼社区用房</v>
      </c>
      <c r="I610" s="165" t="str">
        <f>IF(G610="","",VLOOKUP(G610,'附表8-合同明细采集底稿'!B:I,3,0))</f>
        <v>其他合同</v>
      </c>
      <c r="J610" s="187" t="s">
        <v>144</v>
      </c>
      <c r="K610" s="157" t="s">
        <v>2355</v>
      </c>
      <c r="L610" s="166">
        <v>6500221130</v>
      </c>
      <c r="M610" s="166" t="s">
        <v>4227</v>
      </c>
      <c r="N610" s="167">
        <v>55045.87</v>
      </c>
      <c r="O610" s="167">
        <v>60000</v>
      </c>
      <c r="P610" s="167">
        <v>55045.87</v>
      </c>
      <c r="Q610" s="167"/>
      <c r="R610" s="167">
        <f t="shared" si="71"/>
        <v>55045.87</v>
      </c>
      <c r="S610" s="178">
        <f>IFERROR(VLOOKUP(G610,'附表8-合同明细采集底稿'!B:N,12,0),100%)</f>
        <v>0.338555832480367</v>
      </c>
      <c r="T610" s="167">
        <f t="shared" si="68"/>
        <v>18636.1</v>
      </c>
      <c r="U610" s="157" t="s">
        <v>3999</v>
      </c>
      <c r="V610" s="179" t="s">
        <v>375</v>
      </c>
      <c r="W610" s="182">
        <f>IF('附表1-面积统计表'!$D$29=0,"",IF(AND(V610="共同成本费用",Z610="总建筑面积法"),ROUND(T610/'附表1-面积统计表'!$D$29*'附表1-面积统计表'!$D$5,2),IF(AND(V610="共同成本费用",Z610="可售建筑面积法"),ROUND(T610/'附表1-面积统计表'!$F$29*'附表1-面积统计表'!$F$5,2),"请手工填写")))</f>
        <v>9028.5</v>
      </c>
      <c r="X610" s="182">
        <f>IF(SUM('附表1-面积统计表'!$D$6)=0,"",SUM(T610)-SUM(W610)-SUM(Y610))</f>
        <v>5973.51</v>
      </c>
      <c r="Y610" s="182">
        <f>IF(SUM('附表1-面积统计表'!$D$6)=0,SUM(T610)-SUM(W610),IF('附表1-面积统计表'!$D$29=0,"",IF(AND(V610="共同成本费用",Z610="总建筑面积法"),ROUND(T610/'附表1-面积统计表'!$D$29*'附表1-面积统计表'!$D$7,2),IF(AND(V610="共同成本费用",Z610="可售建筑面积法"),ROUND(T610/'附表1-面积统计表'!$F$29*'附表1-面积统计表'!$F$7,2),"请手工填写"))))</f>
        <v>3634.09</v>
      </c>
      <c r="Z610" s="183" t="s">
        <v>351</v>
      </c>
      <c r="AA610" s="157"/>
      <c r="AB610" s="184" t="s">
        <v>2319</v>
      </c>
      <c r="AC610" s="132">
        <f t="shared" si="67"/>
        <v>0</v>
      </c>
    </row>
    <row r="611" s="132" customFormat="1" ht="24" customHeight="1" spans="1:29">
      <c r="A611" s="150">
        <v>605</v>
      </c>
      <c r="B611" s="209" t="s">
        <v>4228</v>
      </c>
      <c r="C611" s="166" t="s">
        <v>4229</v>
      </c>
      <c r="D611" s="157" t="s">
        <v>2331</v>
      </c>
      <c r="E611" s="158" t="s">
        <v>3111</v>
      </c>
      <c r="F611" s="189" t="s">
        <v>4230</v>
      </c>
      <c r="G611" s="156" t="s">
        <v>4231</v>
      </c>
      <c r="H611" s="157" t="str">
        <f>IF(G611="","",VLOOKUP(G611,'附表8-合同明细采集底稿'!B:I,2,0))</f>
        <v>二期、三期给排水、消防工程施工合同-人防</v>
      </c>
      <c r="I611" s="165" t="str">
        <f>IF(G611="","",VLOOKUP(G611,'附表8-合同明细采集底稿'!B:I,3,0))</f>
        <v>建设工程合同</v>
      </c>
      <c r="J611" s="187" t="s">
        <v>4143</v>
      </c>
      <c r="K611" s="157" t="s">
        <v>2355</v>
      </c>
      <c r="L611" s="168">
        <v>6500174130</v>
      </c>
      <c r="M611" s="155" t="s">
        <v>4232</v>
      </c>
      <c r="N611" s="167">
        <v>1064146.8</v>
      </c>
      <c r="O611" s="167">
        <v>1159920</v>
      </c>
      <c r="P611" s="167">
        <v>1064146.8</v>
      </c>
      <c r="Q611" s="167"/>
      <c r="R611" s="167">
        <f t="shared" si="71"/>
        <v>1064146.8</v>
      </c>
      <c r="S611" s="178">
        <f>IFERROR(VLOOKUP(G611,'附表8-合同明细采集底稿'!B:N,12,0),100%)</f>
        <v>0.109829243890136</v>
      </c>
      <c r="T611" s="167">
        <f t="shared" si="68"/>
        <v>116874.44</v>
      </c>
      <c r="U611" s="157" t="s">
        <v>3116</v>
      </c>
      <c r="V611" s="179" t="s">
        <v>374</v>
      </c>
      <c r="W611" s="181">
        <f t="shared" si="72"/>
        <v>95392.92</v>
      </c>
      <c r="X611" s="181">
        <v>0</v>
      </c>
      <c r="Y611" s="181">
        <f t="shared" si="73"/>
        <v>21481.52</v>
      </c>
      <c r="Z611" s="183" t="s">
        <v>2406</v>
      </c>
      <c r="AA611" s="157"/>
      <c r="AB611" s="184" t="s">
        <v>2319</v>
      </c>
      <c r="AC611" s="132">
        <f t="shared" si="67"/>
        <v>0</v>
      </c>
    </row>
    <row r="612" s="132" customFormat="1" ht="24" customHeight="1" spans="1:29">
      <c r="A612" s="150">
        <v>606</v>
      </c>
      <c r="B612" s="209" t="s">
        <v>4228</v>
      </c>
      <c r="C612" s="166" t="s">
        <v>4233</v>
      </c>
      <c r="D612" s="157" t="s">
        <v>2331</v>
      </c>
      <c r="E612" s="158" t="s">
        <v>3111</v>
      </c>
      <c r="F612" s="189" t="s">
        <v>4234</v>
      </c>
      <c r="G612" s="156" t="s">
        <v>4162</v>
      </c>
      <c r="H612" s="157" t="str">
        <f>IF(G612="","",VLOOKUP(G612,'附表8-合同明细采集底稿'!B:I,2,0))</f>
        <v>沁春锦苑18#、21#、22#楼、37#社区、地下车库及人防部分建设工程（地下人防）</v>
      </c>
      <c r="I612" s="165" t="str">
        <f>IF(G612="","",VLOOKUP(G612,'附表8-合同明细采集底稿'!B:I,3,0))</f>
        <v>建设工程合同</v>
      </c>
      <c r="J612" s="187" t="s">
        <v>151</v>
      </c>
      <c r="K612" s="157" t="s">
        <v>2355</v>
      </c>
      <c r="L612" s="166">
        <v>6500221130</v>
      </c>
      <c r="M612" s="166" t="s">
        <v>4235</v>
      </c>
      <c r="N612" s="167">
        <v>2752293.58</v>
      </c>
      <c r="O612" s="167">
        <v>3000000</v>
      </c>
      <c r="P612" s="167">
        <v>2752293.58</v>
      </c>
      <c r="Q612" s="167">
        <v>1292415.59330275</v>
      </c>
      <c r="R612" s="167">
        <f t="shared" si="71"/>
        <v>4044709.17330275</v>
      </c>
      <c r="S612" s="178">
        <f>IFERROR(VLOOKUP(G612,'附表8-合同明细采集底稿'!B:N,12,0),100%)</f>
        <v>0.109829243890136</v>
      </c>
      <c r="T612" s="167">
        <f t="shared" si="68"/>
        <v>444227.35</v>
      </c>
      <c r="U612" s="157" t="s">
        <v>3116</v>
      </c>
      <c r="V612" s="179" t="s">
        <v>374</v>
      </c>
      <c r="W612" s="181">
        <f t="shared" si="72"/>
        <v>362578.36</v>
      </c>
      <c r="X612" s="181">
        <v>0</v>
      </c>
      <c r="Y612" s="181">
        <f t="shared" si="73"/>
        <v>81648.99</v>
      </c>
      <c r="Z612" s="183" t="s">
        <v>2406</v>
      </c>
      <c r="AA612" s="157"/>
      <c r="AB612" s="184" t="s">
        <v>2319</v>
      </c>
      <c r="AC612" s="132">
        <f t="shared" si="67"/>
        <v>0</v>
      </c>
    </row>
    <row r="613" s="132" customFormat="1" ht="24" customHeight="1" spans="1:29">
      <c r="A613" s="150">
        <v>607</v>
      </c>
      <c r="B613" s="209" t="s">
        <v>4236</v>
      </c>
      <c r="C613" s="166">
        <v>75</v>
      </c>
      <c r="D613" s="157" t="s">
        <v>2346</v>
      </c>
      <c r="E613" s="158" t="s">
        <v>2418</v>
      </c>
      <c r="F613" s="189" t="s">
        <v>4237</v>
      </c>
      <c r="G613" s="156" t="s">
        <v>4238</v>
      </c>
      <c r="H613" s="157" t="str">
        <f>IF(G613="","",VLOOKUP(G613,'附表8-合同明细采集底稿'!B:I,2,0))</f>
        <v>沁春锦苑大字制作合同</v>
      </c>
      <c r="I613" s="165" t="str">
        <f>IF(G613="","",VLOOKUP(G613,'附表8-合同明细采集底稿'!B:I,3,0))</f>
        <v>其他合同</v>
      </c>
      <c r="J613" s="169" t="s">
        <v>2420</v>
      </c>
      <c r="K613" s="157" t="s">
        <v>2355</v>
      </c>
      <c r="L613" s="166">
        <v>6500221130</v>
      </c>
      <c r="M613" s="166" t="s">
        <v>4239</v>
      </c>
      <c r="N613" s="167">
        <v>41747.57</v>
      </c>
      <c r="O613" s="167">
        <v>43000</v>
      </c>
      <c r="P613" s="167">
        <v>41747.57</v>
      </c>
      <c r="Q613" s="167"/>
      <c r="R613" s="167">
        <f t="shared" si="71"/>
        <v>41747.57</v>
      </c>
      <c r="S613" s="178">
        <f>IFERROR(VLOOKUP(G613,'附表8-合同明细采集底稿'!B:N,12,0),100%)</f>
        <v>0.338555832480367</v>
      </c>
      <c r="T613" s="167">
        <f t="shared" si="68"/>
        <v>14133.88</v>
      </c>
      <c r="U613" s="157" t="s">
        <v>2318</v>
      </c>
      <c r="V613" s="179" t="s">
        <v>375</v>
      </c>
      <c r="W613" s="180">
        <f>IF('附表1-面积统计表'!$D$29=0,"",IF(AND(V613="共同成本费用",Z613="总建筑面积法"),ROUND(T613/'附表1-面积统计表'!$D$29*'附表1-面积统计表'!$D$5,2),IF(AND(V613="共同成本费用",Z613="可售建筑面积法"),ROUND(T613/'附表1-面积统计表'!$F$29*'附表1-面积统计表'!$F$5,2),"请手工填写")))</f>
        <v>6847.34</v>
      </c>
      <c r="X613" s="180">
        <f>IF(SUM('附表1-面积统计表'!$D$6)=0,"",SUM(T613)-SUM(W613)-SUM(Y613))</f>
        <v>4530.39</v>
      </c>
      <c r="Y613" s="180">
        <f>IF(SUM('附表1-面积统计表'!$D$6)=0,SUM(T613)-SUM(W613),IF('附表1-面积统计表'!$D$29=0,"",IF(AND(V613="共同成本费用",Z613="总建筑面积法"),ROUND(T613/'附表1-面积统计表'!$D$29*'附表1-面积统计表'!$D$7,2),IF(AND(V613="共同成本费用",Z613="可售建筑面积法"),ROUND(T613/'附表1-面积统计表'!$F$29*'附表1-面积统计表'!$F$7,2),"请手工填写"))))</f>
        <v>2756.15</v>
      </c>
      <c r="Z613" s="183" t="s">
        <v>351</v>
      </c>
      <c r="AA613" s="157"/>
      <c r="AB613" s="184" t="s">
        <v>2319</v>
      </c>
      <c r="AC613" s="132">
        <f t="shared" si="67"/>
        <v>0</v>
      </c>
    </row>
    <row r="614" s="132" customFormat="1" ht="24" customHeight="1" spans="1:29">
      <c r="A614" s="150">
        <v>608</v>
      </c>
      <c r="B614" s="187" t="s">
        <v>4240</v>
      </c>
      <c r="C614" s="212" t="s">
        <v>4241</v>
      </c>
      <c r="D614" s="157" t="s">
        <v>2533</v>
      </c>
      <c r="E614" s="158" t="s">
        <v>2690</v>
      </c>
      <c r="F614" s="154" t="s">
        <v>4242</v>
      </c>
      <c r="G614" s="156" t="s">
        <v>4243</v>
      </c>
      <c r="H614" s="157" t="str">
        <f>IF(G614="","",VLOOKUP(G614,'附表8-合同明细采集底稿'!B:I,2,0))</f>
        <v>一期、二期、三期住宅楼电梯刷卡设备安装改造合同</v>
      </c>
      <c r="I614" s="165" t="str">
        <f>IF(G614="","",VLOOKUP(G614,'附表8-合同明细采集底稿'!B:I,3,0))</f>
        <v>其他合同</v>
      </c>
      <c r="J614" s="187" t="s">
        <v>2999</v>
      </c>
      <c r="K614" s="157" t="s">
        <v>2355</v>
      </c>
      <c r="L614" s="166">
        <v>6500223130</v>
      </c>
      <c r="M614" s="166" t="s">
        <v>4244</v>
      </c>
      <c r="N614" s="167">
        <v>15575.22</v>
      </c>
      <c r="O614" s="167">
        <v>17600</v>
      </c>
      <c r="P614" s="167">
        <v>15575.22</v>
      </c>
      <c r="Q614" s="167"/>
      <c r="R614" s="167">
        <f t="shared" si="71"/>
        <v>15575.22</v>
      </c>
      <c r="S614" s="178">
        <f>IFERROR(VLOOKUP(G614,'附表8-合同明细采集底稿'!B:N,12,0),100%)</f>
        <v>1</v>
      </c>
      <c r="T614" s="167">
        <f t="shared" si="68"/>
        <v>15575.22</v>
      </c>
      <c r="U614" s="157" t="s">
        <v>2416</v>
      </c>
      <c r="V614" s="179" t="s">
        <v>374</v>
      </c>
      <c r="W614" s="182">
        <f>ROUND(T614*成本分摊比例!$G$13/(成本分摊比例!$G$13+成本分摊比例!$H$13+成本分摊比例!$I$13),2)</f>
        <v>8415.32</v>
      </c>
      <c r="X614" s="182">
        <f>ROUND(T614*成本分摊比例!$H$13/(成本分摊比例!$G$13+成本分摊比例!$H$13+成本分摊比例!$I$13),2)</f>
        <v>5567.81</v>
      </c>
      <c r="Y614" s="182">
        <f t="shared" ref="Y614:Y618" si="74">T614-W614-X614</f>
        <v>1592.09</v>
      </c>
      <c r="Z614" s="183" t="s">
        <v>2406</v>
      </c>
      <c r="AA614" s="157"/>
      <c r="AB614" s="184" t="s">
        <v>2319</v>
      </c>
      <c r="AC614" s="132">
        <f t="shared" si="67"/>
        <v>0</v>
      </c>
    </row>
    <row r="615" s="132" customFormat="1" ht="24" customHeight="1" spans="1:29">
      <c r="A615" s="150">
        <v>609</v>
      </c>
      <c r="B615" s="187" t="s">
        <v>4245</v>
      </c>
      <c r="C615" s="212" t="s">
        <v>4246</v>
      </c>
      <c r="D615" s="157" t="s">
        <v>2339</v>
      </c>
      <c r="E615" s="158" t="s">
        <v>2340</v>
      </c>
      <c r="F615" s="154" t="s">
        <v>4247</v>
      </c>
      <c r="G615" s="156"/>
      <c r="H615" s="157" t="str">
        <f>IF(G615="","",VLOOKUP(G615,'附表8-合同明细采集底稿'!B:I,2,0))</f>
        <v/>
      </c>
      <c r="I615" s="165" t="str">
        <f>IF(G615="","",VLOOKUP(G615,'附表8-合同明细采集底稿'!B:I,3,0))</f>
        <v/>
      </c>
      <c r="J615" s="187" t="s">
        <v>4248</v>
      </c>
      <c r="K615" s="157" t="s">
        <v>2483</v>
      </c>
      <c r="L615" s="166"/>
      <c r="M615" s="166" t="s">
        <v>4249</v>
      </c>
      <c r="N615" s="167">
        <v>1229398.83</v>
      </c>
      <c r="O615" s="167">
        <v>1229398.83</v>
      </c>
      <c r="P615" s="167">
        <v>1229398.83</v>
      </c>
      <c r="Q615" s="167">
        <v>9985.17</v>
      </c>
      <c r="R615" s="167">
        <f t="shared" si="71"/>
        <v>1239384</v>
      </c>
      <c r="S615" s="178">
        <v>1</v>
      </c>
      <c r="T615" s="167">
        <f t="shared" si="68"/>
        <v>1239384</v>
      </c>
      <c r="U615" s="157" t="s">
        <v>2416</v>
      </c>
      <c r="V615" s="179" t="s">
        <v>374</v>
      </c>
      <c r="W615" s="182">
        <f>ROUND(T615*成本分摊比例!$G$13/(成本分摊比例!$G$13+成本分摊比例!$H$13+成本分摊比例!$I$13),2)</f>
        <v>669641.38</v>
      </c>
      <c r="X615" s="182">
        <f>ROUND(T615*成本分摊比例!$H$13/(成本分摊比例!$G$13+成本分摊比例!$H$13+成本分摊比例!$I$13),2)</f>
        <v>443053.18</v>
      </c>
      <c r="Y615" s="182">
        <f t="shared" si="74"/>
        <v>126689.44</v>
      </c>
      <c r="Z615" s="183" t="s">
        <v>2406</v>
      </c>
      <c r="AA615" s="157"/>
      <c r="AB615" s="184" t="s">
        <v>2319</v>
      </c>
      <c r="AC615" s="132">
        <f t="shared" si="67"/>
        <v>0</v>
      </c>
    </row>
    <row r="616" s="132" customFormat="1" ht="24" customHeight="1" spans="1:29">
      <c r="A616" s="150">
        <v>610</v>
      </c>
      <c r="B616" s="187" t="s">
        <v>4245</v>
      </c>
      <c r="C616" s="212" t="s">
        <v>4246</v>
      </c>
      <c r="D616" s="157" t="s">
        <v>2339</v>
      </c>
      <c r="E616" s="158" t="s">
        <v>2340</v>
      </c>
      <c r="F616" s="154" t="s">
        <v>4247</v>
      </c>
      <c r="G616" s="156"/>
      <c r="H616" s="157" t="str">
        <f>IF(G616="","",VLOOKUP(G616,'附表8-合同明细采集底稿'!B:I,2,0))</f>
        <v/>
      </c>
      <c r="I616" s="165" t="str">
        <f>IF(G616="","",VLOOKUP(G616,'附表8-合同明细采集底稿'!B:I,3,0))</f>
        <v/>
      </c>
      <c r="J616" s="187" t="s">
        <v>4248</v>
      </c>
      <c r="K616" s="157" t="s">
        <v>2483</v>
      </c>
      <c r="L616" s="166"/>
      <c r="M616" s="166" t="s">
        <v>4249</v>
      </c>
      <c r="N616" s="167">
        <v>74087.99</v>
      </c>
      <c r="O616" s="167">
        <v>74087.99</v>
      </c>
      <c r="P616" s="167">
        <v>74087.99</v>
      </c>
      <c r="Q616" s="167">
        <v>-7653.69</v>
      </c>
      <c r="R616" s="167">
        <f t="shared" si="71"/>
        <v>66434.3</v>
      </c>
      <c r="S616" s="178">
        <v>1</v>
      </c>
      <c r="T616" s="167">
        <f t="shared" si="68"/>
        <v>66434.3</v>
      </c>
      <c r="U616" s="157" t="s">
        <v>2405</v>
      </c>
      <c r="V616" s="179" t="s">
        <v>374</v>
      </c>
      <c r="W616" s="181">
        <v>0</v>
      </c>
      <c r="X616" s="181">
        <v>0</v>
      </c>
      <c r="Y616" s="181">
        <v>66434.3</v>
      </c>
      <c r="Z616" s="183" t="s">
        <v>2406</v>
      </c>
      <c r="AA616" s="157"/>
      <c r="AB616" s="184" t="s">
        <v>2319</v>
      </c>
      <c r="AC616" s="132">
        <f t="shared" si="67"/>
        <v>0</v>
      </c>
    </row>
    <row r="617" s="132" customFormat="1" ht="24" customHeight="1" spans="1:29">
      <c r="A617" s="150">
        <v>611</v>
      </c>
      <c r="B617" s="187" t="s">
        <v>4245</v>
      </c>
      <c r="C617" s="212" t="s">
        <v>4246</v>
      </c>
      <c r="D617" s="157" t="s">
        <v>2339</v>
      </c>
      <c r="E617" s="158" t="s">
        <v>2340</v>
      </c>
      <c r="F617" s="154" t="s">
        <v>4247</v>
      </c>
      <c r="G617" s="156"/>
      <c r="H617" s="157" t="str">
        <f>IF(G617="","",VLOOKUP(G617,'附表8-合同明细采集底稿'!B:I,2,0))</f>
        <v/>
      </c>
      <c r="I617" s="165" t="str">
        <f>IF(G617="","",VLOOKUP(G617,'附表8-合同明细采集底稿'!B:I,3,0))</f>
        <v/>
      </c>
      <c r="J617" s="187" t="s">
        <v>4248</v>
      </c>
      <c r="K617" s="157" t="s">
        <v>2483</v>
      </c>
      <c r="L617" s="166"/>
      <c r="M617" s="166" t="s">
        <v>4249</v>
      </c>
      <c r="N617" s="167">
        <v>76412.21</v>
      </c>
      <c r="O617" s="167">
        <v>76412.21</v>
      </c>
      <c r="P617" s="167">
        <v>76412.21</v>
      </c>
      <c r="Q617" s="167"/>
      <c r="R617" s="167">
        <f t="shared" si="71"/>
        <v>76412.21</v>
      </c>
      <c r="S617" s="178">
        <v>1</v>
      </c>
      <c r="T617" s="167">
        <f t="shared" si="68"/>
        <v>76412.21</v>
      </c>
      <c r="U617" s="157" t="s">
        <v>2405</v>
      </c>
      <c r="V617" s="179" t="s">
        <v>374</v>
      </c>
      <c r="W617" s="181">
        <v>0</v>
      </c>
      <c r="X617" s="181">
        <v>0</v>
      </c>
      <c r="Y617" s="181">
        <v>76412.21</v>
      </c>
      <c r="Z617" s="183" t="s">
        <v>2406</v>
      </c>
      <c r="AA617" s="157"/>
      <c r="AB617" s="184" t="s">
        <v>2319</v>
      </c>
      <c r="AC617" s="132">
        <f t="shared" si="67"/>
        <v>0</v>
      </c>
    </row>
    <row r="618" s="132" customFormat="1" ht="24" customHeight="1" spans="1:29">
      <c r="A618" s="150">
        <v>612</v>
      </c>
      <c r="B618" s="187" t="s">
        <v>4245</v>
      </c>
      <c r="C618" s="212" t="s">
        <v>4246</v>
      </c>
      <c r="D618" s="157" t="s">
        <v>2339</v>
      </c>
      <c r="E618" s="158" t="s">
        <v>2340</v>
      </c>
      <c r="F618" s="154" t="s">
        <v>4247</v>
      </c>
      <c r="G618" s="156"/>
      <c r="H618" s="157" t="str">
        <f>IF(G618="","",VLOOKUP(G618,'附表8-合同明细采集底稿'!B:I,2,0))</f>
        <v/>
      </c>
      <c r="I618" s="165" t="str">
        <f>IF(G618="","",VLOOKUP(G618,'附表8-合同明细采集底稿'!B:I,3,0))</f>
        <v/>
      </c>
      <c r="J618" s="187" t="s">
        <v>4248</v>
      </c>
      <c r="K618" s="157" t="s">
        <v>2483</v>
      </c>
      <c r="L618" s="166"/>
      <c r="M618" s="166" t="s">
        <v>4249</v>
      </c>
      <c r="N618" s="167">
        <v>1455194.61</v>
      </c>
      <c r="O618" s="167">
        <v>1455194.61</v>
      </c>
      <c r="P618" s="167">
        <v>1455194.61</v>
      </c>
      <c r="Q618" s="167"/>
      <c r="R618" s="167">
        <f t="shared" si="71"/>
        <v>1455194.61</v>
      </c>
      <c r="S618" s="178">
        <v>1</v>
      </c>
      <c r="T618" s="167">
        <f t="shared" si="68"/>
        <v>1455194.61</v>
      </c>
      <c r="U618" s="157" t="s">
        <v>2416</v>
      </c>
      <c r="V618" s="179" t="s">
        <v>374</v>
      </c>
      <c r="W618" s="182">
        <f>ROUND(T618*成本分摊比例!$G$13/(成本分摊比例!$G$13+成本分摊比例!$H$13+成本分摊比例!$I$13),2)</f>
        <v>786244.23</v>
      </c>
      <c r="X618" s="182">
        <f>ROUND(T618*成本分摊比例!$H$13/(成本分摊比例!$G$13+成本分摊比例!$H$13+成本分摊比例!$I$13),2)</f>
        <v>520200.84</v>
      </c>
      <c r="Y618" s="182">
        <f t="shared" si="74"/>
        <v>148749.54</v>
      </c>
      <c r="Z618" s="183" t="s">
        <v>2406</v>
      </c>
      <c r="AA618" s="157"/>
      <c r="AB618" s="184" t="s">
        <v>2319</v>
      </c>
      <c r="AC618" s="132">
        <f t="shared" si="67"/>
        <v>0</v>
      </c>
    </row>
    <row r="619" s="132" customFormat="1" ht="24" customHeight="1" spans="1:29">
      <c r="A619" s="150">
        <v>613</v>
      </c>
      <c r="B619" s="187" t="s">
        <v>4245</v>
      </c>
      <c r="C619" s="212" t="s">
        <v>4246</v>
      </c>
      <c r="D619" s="157" t="s">
        <v>2339</v>
      </c>
      <c r="E619" s="158" t="s">
        <v>2340</v>
      </c>
      <c r="F619" s="154" t="s">
        <v>4247</v>
      </c>
      <c r="G619" s="156"/>
      <c r="H619" s="157" t="str">
        <f>IF(G619="","",VLOOKUP(G619,'附表8-合同明细采集底稿'!B:I,2,0))</f>
        <v/>
      </c>
      <c r="I619" s="165" t="str">
        <f>IF(G619="","",VLOOKUP(G619,'附表8-合同明细采集底稿'!B:I,3,0))</f>
        <v/>
      </c>
      <c r="J619" s="187" t="s">
        <v>4248</v>
      </c>
      <c r="K619" s="157" t="s">
        <v>2483</v>
      </c>
      <c r="L619" s="166"/>
      <c r="M619" s="166" t="s">
        <v>4249</v>
      </c>
      <c r="N619" s="167">
        <v>165637.06</v>
      </c>
      <c r="O619" s="167">
        <v>165637.06</v>
      </c>
      <c r="P619" s="167">
        <v>165637.06</v>
      </c>
      <c r="Q619" s="167"/>
      <c r="R619" s="167">
        <f t="shared" si="71"/>
        <v>165637.06</v>
      </c>
      <c r="S619" s="178">
        <v>1</v>
      </c>
      <c r="T619" s="167">
        <f t="shared" si="68"/>
        <v>165637.06</v>
      </c>
      <c r="U619" s="157" t="s">
        <v>2405</v>
      </c>
      <c r="V619" s="179" t="s">
        <v>374</v>
      </c>
      <c r="W619" s="181">
        <v>0</v>
      </c>
      <c r="X619" s="181">
        <v>0</v>
      </c>
      <c r="Y619" s="181">
        <v>165637.06</v>
      </c>
      <c r="Z619" s="183" t="s">
        <v>2406</v>
      </c>
      <c r="AA619" s="157"/>
      <c r="AB619" s="184" t="s">
        <v>2319</v>
      </c>
      <c r="AC619" s="132">
        <f t="shared" si="67"/>
        <v>0</v>
      </c>
    </row>
    <row r="620" s="132" customFormat="1" ht="24" customHeight="1" spans="1:29">
      <c r="A620" s="150">
        <v>614</v>
      </c>
      <c r="B620" s="187" t="s">
        <v>4250</v>
      </c>
      <c r="C620" s="212" t="s">
        <v>4251</v>
      </c>
      <c r="D620" s="157" t="s">
        <v>2346</v>
      </c>
      <c r="E620" s="158" t="s">
        <v>2453</v>
      </c>
      <c r="F620" s="154" t="s">
        <v>4252</v>
      </c>
      <c r="G620" s="156" t="s">
        <v>3863</v>
      </c>
      <c r="H620" s="157" t="str">
        <f>IF(G620="","",VLOOKUP(G620,'附表8-合同明细采集底稿'!B:I,2,0))</f>
        <v>沁春锦苑一期园林硬质景观施工合同（19-24、32/33.34)</v>
      </c>
      <c r="I620" s="165" t="str">
        <f>IF(G620="","",VLOOKUP(G620,'附表8-合同明细采集底稿'!B:I,3,0))</f>
        <v>建设工程合同</v>
      </c>
      <c r="J620" s="169" t="s">
        <v>2498</v>
      </c>
      <c r="K620" s="157" t="s">
        <v>2355</v>
      </c>
      <c r="L620" s="166">
        <v>6500223130</v>
      </c>
      <c r="M620" s="166" t="s">
        <v>4253</v>
      </c>
      <c r="N620" s="167">
        <v>329353.52</v>
      </c>
      <c r="O620" s="167">
        <v>358995.33</v>
      </c>
      <c r="P620" s="167">
        <v>329353.52</v>
      </c>
      <c r="Q620" s="167"/>
      <c r="R620" s="167">
        <f t="shared" si="71"/>
        <v>329353.52</v>
      </c>
      <c r="S620" s="178">
        <f>IFERROR(VLOOKUP(G620,'附表8-合同明细采集底稿'!B:N,12,0),100%)</f>
        <v>1</v>
      </c>
      <c r="T620" s="167">
        <f t="shared" si="68"/>
        <v>329353.52</v>
      </c>
      <c r="U620" s="157" t="s">
        <v>2344</v>
      </c>
      <c r="V620" s="179" t="s">
        <v>375</v>
      </c>
      <c r="W620" s="180">
        <f>IF('附表1-面积统计表'!$D$29=0,"",IF(AND(V620="共同成本费用",Z620="总建筑面积法"),ROUND(T620/'附表1-面积统计表'!$D$29*'附表1-面积统计表'!$D$5,2),IF(AND(V620="共同成本费用",Z620="可售建筑面积法"),ROUND(T620/'附表1-面积统计表'!$F$29*'附表1-面积统计表'!$F$5,2),"请手工填写")))</f>
        <v>159559.62</v>
      </c>
      <c r="X620" s="180">
        <f>IF(SUM('附表1-面积统计表'!$D$6)=0,"",SUM(T620)-SUM(W620)-SUM(Y620))</f>
        <v>105569.04</v>
      </c>
      <c r="Y620" s="180">
        <f>IF(SUM('附表1-面积统计表'!$D$6)=0,SUM(T620)-SUM(W620),IF('附表1-面积统计表'!$D$29=0,"",IF(AND(V620="共同成本费用",Z620="总建筑面积法"),ROUND(T620/'附表1-面积统计表'!$D$29*'附表1-面积统计表'!$D$7,2),IF(AND(V620="共同成本费用",Z620="可售建筑面积法"),ROUND(T620/'附表1-面积统计表'!$F$29*'附表1-面积统计表'!$F$7,2),"请手工填写"))))</f>
        <v>64224.86</v>
      </c>
      <c r="Z620" s="183" t="s">
        <v>351</v>
      </c>
      <c r="AA620" s="157"/>
      <c r="AB620" s="184" t="s">
        <v>2319</v>
      </c>
      <c r="AC620" s="132">
        <f t="shared" si="67"/>
        <v>0</v>
      </c>
    </row>
    <row r="621" s="132" customFormat="1" ht="24" customHeight="1" spans="1:29">
      <c r="A621" s="150">
        <v>615</v>
      </c>
      <c r="B621" s="187" t="s">
        <v>4254</v>
      </c>
      <c r="C621" s="212" t="s">
        <v>4255</v>
      </c>
      <c r="D621" s="157" t="s">
        <v>2533</v>
      </c>
      <c r="E621" s="158" t="s">
        <v>2564</v>
      </c>
      <c r="F621" s="154" t="s">
        <v>4256</v>
      </c>
      <c r="G621" s="156" t="s">
        <v>2672</v>
      </c>
      <c r="H621" s="157" t="str">
        <f>IF(G621="","",VLOOKUP(G621,'附表8-合同明细采集底稿'!B:I,2,0))</f>
        <v>沁春锦苑楼19#20#23#24#施工协议</v>
      </c>
      <c r="I621" s="165" t="str">
        <f>IF(G621="","",VLOOKUP(G621,'附表8-合同明细采集底稿'!B:I,3,0))</f>
        <v>建设工程合同</v>
      </c>
      <c r="J621" s="187" t="s">
        <v>144</v>
      </c>
      <c r="K621" s="157" t="s">
        <v>2355</v>
      </c>
      <c r="L621" s="166">
        <v>6500231130</v>
      </c>
      <c r="M621" s="166" t="s">
        <v>4257</v>
      </c>
      <c r="N621" s="167">
        <v>723117.34</v>
      </c>
      <c r="O621" s="167">
        <v>788197.9</v>
      </c>
      <c r="P621" s="167">
        <v>723117.34</v>
      </c>
      <c r="Q621" s="167"/>
      <c r="R621" s="167">
        <f t="shared" si="71"/>
        <v>723117.34</v>
      </c>
      <c r="S621" s="178">
        <f>IFERROR(VLOOKUP(G621,'附表8-合同明细采集底稿'!B:N,12,0),100%)</f>
        <v>1</v>
      </c>
      <c r="T621" s="167">
        <f t="shared" si="68"/>
        <v>723117.34</v>
      </c>
      <c r="U621" s="157" t="s">
        <v>2416</v>
      </c>
      <c r="V621" s="179" t="s">
        <v>374</v>
      </c>
      <c r="W621" s="182">
        <f>ROUND(T621*成本分摊比例!$G$13/(成本分摊比例!$G$13+成本分摊比例!$H$13+成本分摊比例!$I$13),2)</f>
        <v>390701.58</v>
      </c>
      <c r="X621" s="182">
        <f>ROUND(T621*成本分摊比例!$H$13/(成本分摊比例!$G$13+成本分摊比例!$H$13+成本分摊比例!$I$13),2)</f>
        <v>258498.93</v>
      </c>
      <c r="Y621" s="182">
        <f>T621-W621-X621</f>
        <v>73916.83</v>
      </c>
      <c r="Z621" s="183" t="s">
        <v>2406</v>
      </c>
      <c r="AA621" s="157"/>
      <c r="AB621" s="184" t="s">
        <v>2319</v>
      </c>
      <c r="AC621" s="132">
        <f t="shared" si="67"/>
        <v>0</v>
      </c>
    </row>
    <row r="622" s="132" customFormat="1" ht="24" customHeight="1" spans="1:29">
      <c r="A622" s="150">
        <v>616</v>
      </c>
      <c r="B622" s="187" t="s">
        <v>4250</v>
      </c>
      <c r="C622" s="212" t="s">
        <v>4251</v>
      </c>
      <c r="D622" s="157" t="s">
        <v>2346</v>
      </c>
      <c r="E622" s="158" t="s">
        <v>2453</v>
      </c>
      <c r="F622" s="154" t="s">
        <v>4252</v>
      </c>
      <c r="G622" s="156" t="s">
        <v>3863</v>
      </c>
      <c r="H622" s="157" t="str">
        <f>IF(G622="","",VLOOKUP(G622,'附表8-合同明细采集底稿'!B:I,2,0))</f>
        <v>沁春锦苑一期园林硬质景观施工合同（19-24、32/33.34)</v>
      </c>
      <c r="I622" s="165" t="str">
        <f>IF(G622="","",VLOOKUP(G622,'附表8-合同明细采集底稿'!B:I,3,0))</f>
        <v>建设工程合同</v>
      </c>
      <c r="J622" s="169" t="s">
        <v>2498</v>
      </c>
      <c r="K622" s="157" t="s">
        <v>2355</v>
      </c>
      <c r="L622" s="166">
        <v>6500223130</v>
      </c>
      <c r="M622" s="166" t="s">
        <v>4253</v>
      </c>
      <c r="N622" s="167">
        <v>189092.69</v>
      </c>
      <c r="O622" s="167">
        <v>206111.03</v>
      </c>
      <c r="P622" s="167">
        <v>189092.69</v>
      </c>
      <c r="Q622" s="167"/>
      <c r="R622" s="167">
        <f t="shared" si="71"/>
        <v>189092.69</v>
      </c>
      <c r="S622" s="178">
        <f>IFERROR(VLOOKUP(G622,'附表8-合同明细采集底稿'!B:N,12,0),100%)</f>
        <v>1</v>
      </c>
      <c r="T622" s="167">
        <f t="shared" si="68"/>
        <v>189092.69</v>
      </c>
      <c r="U622" s="157" t="s">
        <v>2344</v>
      </c>
      <c r="V622" s="179" t="s">
        <v>375</v>
      </c>
      <c r="W622" s="180">
        <f>IF('附表1-面积统计表'!$D$29=0,"",IF(AND(V622="共同成本费用",Z622="总建筑面积法"),ROUND(T622/'附表1-面积统计表'!$D$29*'附表1-面积统计表'!$D$5,2),IF(AND(V622="共同成本费用",Z622="可售建筑面积法"),ROUND(T622/'附表1-面积统计表'!$F$29*'附表1-面积统计表'!$F$5,2),"请手工填写")))</f>
        <v>91608.43</v>
      </c>
      <c r="X622" s="180">
        <f>IF(SUM('附表1-面积统计表'!$D$6)=0,"",SUM(T622)-SUM(W622)-SUM(Y622))</f>
        <v>60610.65</v>
      </c>
      <c r="Y622" s="180">
        <f>IF(SUM('附表1-面积统计表'!$D$6)=0,SUM(T622)-SUM(W622),IF('附表1-面积统计表'!$D$29=0,"",IF(AND(V622="共同成本费用",Z622="总建筑面积法"),ROUND(T622/'附表1-面积统计表'!$D$29*'附表1-面积统计表'!$D$7,2),IF(AND(V622="共同成本费用",Z622="可售建筑面积法"),ROUND(T622/'附表1-面积统计表'!$F$29*'附表1-面积统计表'!$F$7,2),"请手工填写"))))</f>
        <v>36873.61</v>
      </c>
      <c r="Z622" s="183" t="s">
        <v>351</v>
      </c>
      <c r="AA622" s="157"/>
      <c r="AB622" s="184" t="s">
        <v>2319</v>
      </c>
      <c r="AC622" s="132">
        <f t="shared" si="67"/>
        <v>0</v>
      </c>
    </row>
    <row r="623" s="132" customFormat="1" ht="24" customHeight="1" spans="1:29">
      <c r="A623" s="150">
        <v>617</v>
      </c>
      <c r="B623" s="187" t="s">
        <v>4258</v>
      </c>
      <c r="C623" s="212" t="s">
        <v>4259</v>
      </c>
      <c r="D623" s="157" t="s">
        <v>2533</v>
      </c>
      <c r="E623" s="158" t="s">
        <v>2564</v>
      </c>
      <c r="F623" s="154" t="s">
        <v>4260</v>
      </c>
      <c r="G623" s="186" t="s">
        <v>2614</v>
      </c>
      <c r="H623" s="157" t="str">
        <f>IF(G623="","",VLOOKUP(G623,'附表8-合同明细采集底稿'!B:I,2,0))</f>
        <v>沁春锦苑1#35#、大门楼施工协议（1#.35#）</v>
      </c>
      <c r="I623" s="165" t="str">
        <f>IF(G623="","",VLOOKUP(G623,'附表8-合同明细采集底稿'!B:I,3,0))</f>
        <v>建设工程合同</v>
      </c>
      <c r="J623" s="187" t="s">
        <v>151</v>
      </c>
      <c r="K623" s="157" t="s">
        <v>2355</v>
      </c>
      <c r="L623" s="166">
        <v>6500223130</v>
      </c>
      <c r="M623" s="166" t="s">
        <v>4261</v>
      </c>
      <c r="N623" s="167">
        <v>259357.8</v>
      </c>
      <c r="O623" s="167">
        <v>282700</v>
      </c>
      <c r="P623" s="167">
        <v>259357.8</v>
      </c>
      <c r="Q623" s="167"/>
      <c r="R623" s="167">
        <f t="shared" si="71"/>
        <v>259357.8</v>
      </c>
      <c r="S623" s="178">
        <f>IFERROR(VLOOKUP(G623,'附表8-合同明细采集底稿'!B:N,12,0),100%)</f>
        <v>1</v>
      </c>
      <c r="T623" s="167">
        <f t="shared" si="68"/>
        <v>259357.8</v>
      </c>
      <c r="U623" s="157" t="s">
        <v>2405</v>
      </c>
      <c r="V623" s="179" t="s">
        <v>374</v>
      </c>
      <c r="W623" s="181">
        <v>0</v>
      </c>
      <c r="X623" s="181">
        <v>0</v>
      </c>
      <c r="Y623" s="181">
        <v>259357.8</v>
      </c>
      <c r="Z623" s="183" t="s">
        <v>2406</v>
      </c>
      <c r="AA623" s="157"/>
      <c r="AB623" s="184" t="s">
        <v>2319</v>
      </c>
      <c r="AC623" s="132">
        <f t="shared" si="67"/>
        <v>0</v>
      </c>
    </row>
    <row r="624" s="132" customFormat="1" ht="24" customHeight="1" spans="1:29">
      <c r="A624" s="150">
        <v>618</v>
      </c>
      <c r="B624" s="187" t="s">
        <v>4250</v>
      </c>
      <c r="C624" s="212" t="s">
        <v>4251</v>
      </c>
      <c r="D624" s="157" t="s">
        <v>2346</v>
      </c>
      <c r="E624" s="158" t="s">
        <v>2453</v>
      </c>
      <c r="F624" s="154" t="s">
        <v>4252</v>
      </c>
      <c r="G624" s="156" t="s">
        <v>3863</v>
      </c>
      <c r="H624" s="157" t="str">
        <f>IF(G624="","",VLOOKUP(G624,'附表8-合同明细采集底稿'!B:I,2,0))</f>
        <v>沁春锦苑一期园林硬质景观施工合同（19-24、32/33.34)</v>
      </c>
      <c r="I624" s="165" t="str">
        <f>IF(G624="","",VLOOKUP(G624,'附表8-合同明细采集底稿'!B:I,3,0))</f>
        <v>建设工程合同</v>
      </c>
      <c r="J624" s="169" t="s">
        <v>2498</v>
      </c>
      <c r="K624" s="157" t="s">
        <v>2355</v>
      </c>
      <c r="L624" s="166">
        <v>6500223130</v>
      </c>
      <c r="M624" s="166" t="s">
        <v>4253</v>
      </c>
      <c r="N624" s="167">
        <v>215498.75</v>
      </c>
      <c r="O624" s="167">
        <v>234893.64</v>
      </c>
      <c r="P624" s="167">
        <v>215498.75</v>
      </c>
      <c r="Q624" s="167"/>
      <c r="R624" s="167">
        <f t="shared" si="71"/>
        <v>215498.75</v>
      </c>
      <c r="S624" s="178">
        <f>IFERROR(VLOOKUP(G624,'附表8-合同明细采集底稿'!B:N,12,0),100%)</f>
        <v>1</v>
      </c>
      <c r="T624" s="167">
        <f t="shared" si="68"/>
        <v>215498.75</v>
      </c>
      <c r="U624" s="157" t="s">
        <v>2344</v>
      </c>
      <c r="V624" s="179" t="s">
        <v>375</v>
      </c>
      <c r="W624" s="180">
        <f>IF('附表1-面积统计表'!$D$29=0,"",IF(AND(V624="共同成本费用",Z624="总建筑面积法"),ROUND(T624/'附表1-面积统计表'!$D$29*'附表1-面积统计表'!$D$5,2),IF(AND(V624="共同成本费用",Z624="可售建筑面积法"),ROUND(T624/'附表1-面积统计表'!$F$29*'附表1-面积统计表'!$F$5,2),"请手工填写")))</f>
        <v>104401.19</v>
      </c>
      <c r="X624" s="180">
        <f>IF(SUM('附表1-面积统计表'!$D$6)=0,"",SUM(T624)-SUM(W624)-SUM(Y624))</f>
        <v>69074.7</v>
      </c>
      <c r="Y624" s="180">
        <f>IF(SUM('附表1-面积统计表'!$D$6)=0,SUM(T624)-SUM(W624),IF('附表1-面积统计表'!$D$29=0,"",IF(AND(V624="共同成本费用",Z624="总建筑面积法"),ROUND(T624/'附表1-面积统计表'!$D$29*'附表1-面积统计表'!$D$7,2),IF(AND(V624="共同成本费用",Z624="可售建筑面积法"),ROUND(T624/'附表1-面积统计表'!$F$29*'附表1-面积统计表'!$F$7,2),"请手工填写"))))</f>
        <v>42022.86</v>
      </c>
      <c r="Z624" s="183" t="s">
        <v>351</v>
      </c>
      <c r="AA624" s="157"/>
      <c r="AB624" s="184" t="s">
        <v>2319</v>
      </c>
      <c r="AC624" s="132">
        <f t="shared" si="67"/>
        <v>0</v>
      </c>
    </row>
    <row r="625" s="132" customFormat="1" ht="24" customHeight="1" spans="1:29">
      <c r="A625" s="150">
        <v>619</v>
      </c>
      <c r="B625" s="187" t="s">
        <v>4262</v>
      </c>
      <c r="C625" s="212" t="s">
        <v>4263</v>
      </c>
      <c r="D625" s="157" t="s">
        <v>2533</v>
      </c>
      <c r="E625" s="158" t="s">
        <v>2564</v>
      </c>
      <c r="F625" s="154" t="s">
        <v>4264</v>
      </c>
      <c r="G625" s="186" t="s">
        <v>2614</v>
      </c>
      <c r="H625" s="157" t="str">
        <f>IF(G625="","",VLOOKUP(G625,'附表8-合同明细采集底稿'!B:I,2,0))</f>
        <v>沁春锦苑1#35#、大门楼施工协议（1#.35#）</v>
      </c>
      <c r="I625" s="165" t="str">
        <f>IF(G625="","",VLOOKUP(G625,'附表8-合同明细采集底稿'!B:I,3,0))</f>
        <v>建设工程合同</v>
      </c>
      <c r="J625" s="187" t="s">
        <v>151</v>
      </c>
      <c r="K625" s="157" t="s">
        <v>2355</v>
      </c>
      <c r="L625" s="166">
        <v>6500231130</v>
      </c>
      <c r="M625" s="166" t="s">
        <v>4265</v>
      </c>
      <c r="N625" s="167">
        <v>407420.71</v>
      </c>
      <c r="O625" s="167">
        <v>444088.58</v>
      </c>
      <c r="P625" s="167">
        <v>407420.71</v>
      </c>
      <c r="Q625" s="167">
        <v>56710.752293578</v>
      </c>
      <c r="R625" s="167">
        <f t="shared" si="71"/>
        <v>464131.462293578</v>
      </c>
      <c r="S625" s="178">
        <f>IFERROR(VLOOKUP(G625,'附表8-合同明细采集底稿'!B:N,12,0),100%)</f>
        <v>1</v>
      </c>
      <c r="T625" s="167">
        <f t="shared" si="68"/>
        <v>464131.46</v>
      </c>
      <c r="U625" s="157" t="s">
        <v>2405</v>
      </c>
      <c r="V625" s="179" t="s">
        <v>374</v>
      </c>
      <c r="W625" s="181">
        <v>0</v>
      </c>
      <c r="X625" s="181">
        <v>0</v>
      </c>
      <c r="Y625" s="181">
        <v>464131.46</v>
      </c>
      <c r="Z625" s="183" t="s">
        <v>2406</v>
      </c>
      <c r="AA625" s="157"/>
      <c r="AB625" s="184" t="s">
        <v>2319</v>
      </c>
      <c r="AC625" s="132">
        <f t="shared" si="67"/>
        <v>0</v>
      </c>
    </row>
    <row r="626" s="132" customFormat="1" ht="24" customHeight="1" spans="1:29">
      <c r="A626" s="150">
        <v>620</v>
      </c>
      <c r="B626" s="187" t="s">
        <v>4240</v>
      </c>
      <c r="C626" s="212" t="s">
        <v>4241</v>
      </c>
      <c r="D626" s="157" t="s">
        <v>2533</v>
      </c>
      <c r="E626" s="158" t="s">
        <v>2690</v>
      </c>
      <c r="F626" s="154" t="s">
        <v>4242</v>
      </c>
      <c r="G626" s="156" t="s">
        <v>4266</v>
      </c>
      <c r="H626" s="157" t="str">
        <f>IF(G626="","",VLOOKUP(G626,'附表8-合同明细采集底稿'!B:I,2,0))</f>
        <v>一期、二期、三期住宅楼电梯刷卡设备安装改造合同</v>
      </c>
      <c r="I626" s="165" t="str">
        <f>IF(G626="","",VLOOKUP(G626,'附表8-合同明细采集底稿'!B:I,3,0))</f>
        <v>其他合同</v>
      </c>
      <c r="J626" s="187" t="s">
        <v>2999</v>
      </c>
      <c r="K626" s="157" t="s">
        <v>2355</v>
      </c>
      <c r="L626" s="166">
        <v>6500223130</v>
      </c>
      <c r="M626" s="166" t="s">
        <v>4244</v>
      </c>
      <c r="N626" s="167">
        <v>23716.81</v>
      </c>
      <c r="O626" s="167">
        <v>26800</v>
      </c>
      <c r="P626" s="167">
        <v>23716.81</v>
      </c>
      <c r="Q626" s="167"/>
      <c r="R626" s="167">
        <f t="shared" si="71"/>
        <v>23716.81</v>
      </c>
      <c r="S626" s="178">
        <f>IFERROR(VLOOKUP(G626,'附表8-合同明细采集底稿'!B:N,12,0),100%)</f>
        <v>1</v>
      </c>
      <c r="T626" s="167">
        <f t="shared" si="68"/>
        <v>23716.81</v>
      </c>
      <c r="U626" s="157" t="s">
        <v>2416</v>
      </c>
      <c r="V626" s="179" t="s">
        <v>374</v>
      </c>
      <c r="W626" s="182">
        <f>ROUND(T626*成本分摊比例!$G$13/(成本分摊比例!$G$13+成本分摊比例!$H$13+成本分摊比例!$I$13),2)</f>
        <v>12814.23</v>
      </c>
      <c r="X626" s="182">
        <f>ROUND(T626*成本分摊比例!$H$13/(成本分摊比例!$G$13+成本分摊比例!$H$13+成本分摊比例!$I$13),2)</f>
        <v>8478.25</v>
      </c>
      <c r="Y626" s="182">
        <f>T626-W626-X626</f>
        <v>2424.33</v>
      </c>
      <c r="Z626" s="183" t="s">
        <v>2406</v>
      </c>
      <c r="AA626" s="157"/>
      <c r="AB626" s="184" t="s">
        <v>2319</v>
      </c>
      <c r="AC626" s="132">
        <f t="shared" si="67"/>
        <v>0</v>
      </c>
    </row>
    <row r="627" s="132" customFormat="1" ht="24" customHeight="1" spans="1:29">
      <c r="A627" s="150">
        <v>621</v>
      </c>
      <c r="B627" s="187" t="s">
        <v>4267</v>
      </c>
      <c r="C627" s="212" t="s">
        <v>4268</v>
      </c>
      <c r="D627" s="157" t="s">
        <v>2533</v>
      </c>
      <c r="E627" s="158" t="s">
        <v>2534</v>
      </c>
      <c r="F627" s="154" t="s">
        <v>4269</v>
      </c>
      <c r="G627" s="156" t="s">
        <v>3230</v>
      </c>
      <c r="H627" s="157" t="str">
        <f>IF(G627="","",VLOOKUP(G627,'附表8-合同明细采集底稿'!B:I,2,0))</f>
        <v>沁春锦苑26#28#30#楼门斗装修</v>
      </c>
      <c r="I627" s="165" t="str">
        <f>IF(G627="","",VLOOKUP(G627,'附表8-合同明细采集底稿'!B:I,3,0))</f>
        <v>建设工程合同</v>
      </c>
      <c r="J627" s="187" t="s">
        <v>3231</v>
      </c>
      <c r="K627" s="157" t="s">
        <v>2355</v>
      </c>
      <c r="L627" s="166">
        <v>6500203130</v>
      </c>
      <c r="M627" s="166" t="s">
        <v>4270</v>
      </c>
      <c r="N627" s="167">
        <v>4967.57</v>
      </c>
      <c r="O627" s="167">
        <v>5414.65</v>
      </c>
      <c r="P627" s="167">
        <v>4967.57</v>
      </c>
      <c r="Q627" s="167"/>
      <c r="R627" s="167">
        <f t="shared" si="71"/>
        <v>4967.57</v>
      </c>
      <c r="S627" s="178">
        <f>IFERROR(VLOOKUP(G627,'附表8-合同明细采集底稿'!B:N,12,0),100%)</f>
        <v>1</v>
      </c>
      <c r="T627" s="167">
        <f t="shared" si="68"/>
        <v>4967.57</v>
      </c>
      <c r="U627" s="157" t="s">
        <v>2416</v>
      </c>
      <c r="V627" s="179" t="s">
        <v>374</v>
      </c>
      <c r="W627" s="182">
        <f>ROUND(T627*成本分摊比例!$G$13/(成本分摊比例!$G$13+成本分摊比例!$H$13+成本分摊比例!$I$13),2)</f>
        <v>2683.99</v>
      </c>
      <c r="X627" s="182">
        <f>ROUND(T627*成本分摊比例!$H$13/(成本分摊比例!$G$13+成本分摊比例!$H$13+成本分摊比例!$I$13),2)</f>
        <v>1775.8</v>
      </c>
      <c r="Y627" s="182">
        <f>T627-W627-X627</f>
        <v>507.78</v>
      </c>
      <c r="Z627" s="183" t="s">
        <v>2406</v>
      </c>
      <c r="AA627" s="157"/>
      <c r="AB627" s="184" t="s">
        <v>2319</v>
      </c>
      <c r="AC627" s="132">
        <f t="shared" si="67"/>
        <v>0</v>
      </c>
    </row>
    <row r="628" s="132" customFormat="1" ht="24" customHeight="1" spans="1:29">
      <c r="A628" s="150">
        <v>622</v>
      </c>
      <c r="B628" s="187" t="s">
        <v>4254</v>
      </c>
      <c r="C628" s="212" t="s">
        <v>4255</v>
      </c>
      <c r="D628" s="157" t="s">
        <v>2533</v>
      </c>
      <c r="E628" s="158" t="s">
        <v>2564</v>
      </c>
      <c r="F628" s="154" t="s">
        <v>4256</v>
      </c>
      <c r="G628" s="156" t="s">
        <v>2900</v>
      </c>
      <c r="H628" s="157" t="str">
        <f>IF(G628="","",VLOOKUP(G628,'附表8-合同明细采集底稿'!B:I,2,0))</f>
        <v>沁春锦苑25、26、28#施工协议</v>
      </c>
      <c r="I628" s="165" t="str">
        <f>IF(G628="","",VLOOKUP(G628,'附表8-合同明细采集底稿'!B:I,3,0))</f>
        <v>建设工程合同</v>
      </c>
      <c r="J628" s="187" t="s">
        <v>144</v>
      </c>
      <c r="K628" s="157" t="s">
        <v>2355</v>
      </c>
      <c r="L628" s="166">
        <v>6500231130</v>
      </c>
      <c r="M628" s="166" t="s">
        <v>4271</v>
      </c>
      <c r="N628" s="167">
        <v>694239.03</v>
      </c>
      <c r="O628" s="167">
        <v>756720.54</v>
      </c>
      <c r="P628" s="167">
        <v>694239.03</v>
      </c>
      <c r="Q628" s="167"/>
      <c r="R628" s="167">
        <f t="shared" si="71"/>
        <v>694239.03</v>
      </c>
      <c r="S628" s="178">
        <f>IFERROR(VLOOKUP(G628,'附表8-合同明细采集底稿'!B:N,12,0),100%)</f>
        <v>1</v>
      </c>
      <c r="T628" s="167">
        <f t="shared" si="68"/>
        <v>694239.03</v>
      </c>
      <c r="U628" s="157" t="s">
        <v>2416</v>
      </c>
      <c r="V628" s="179" t="s">
        <v>374</v>
      </c>
      <c r="W628" s="182">
        <f>ROUND(T628*成本分摊比例!$G$13/(成本分摊比例!$G$13+成本分摊比例!$H$13+成本分摊比例!$I$13),2)</f>
        <v>375098.58</v>
      </c>
      <c r="X628" s="182">
        <f>ROUND(T628*成本分摊比例!$H$13/(成本分摊比例!$G$13+成本分摊比例!$H$13+成本分摊比例!$I$13),2)</f>
        <v>248175.55</v>
      </c>
      <c r="Y628" s="182">
        <f t="shared" ref="Y628:Y633" si="75">T628-W628-X628</f>
        <v>70964.9</v>
      </c>
      <c r="Z628" s="183" t="s">
        <v>2406</v>
      </c>
      <c r="AA628" s="157"/>
      <c r="AB628" s="184" t="s">
        <v>2319</v>
      </c>
      <c r="AC628" s="132">
        <f t="shared" si="67"/>
        <v>0</v>
      </c>
    </row>
    <row r="629" s="132" customFormat="1" ht="24" customHeight="1" spans="1:29">
      <c r="A629" s="150">
        <v>623</v>
      </c>
      <c r="B629" s="187" t="s">
        <v>4272</v>
      </c>
      <c r="C629" s="212" t="s">
        <v>4273</v>
      </c>
      <c r="D629" s="157" t="s">
        <v>2346</v>
      </c>
      <c r="E629" s="158" t="s">
        <v>2453</v>
      </c>
      <c r="F629" s="154" t="s">
        <v>4274</v>
      </c>
      <c r="G629" s="156" t="s">
        <v>4275</v>
      </c>
      <c r="H629" s="157" t="str">
        <f>IF(G629="","",VLOOKUP(G629,'附表8-合同明细采集底稿'!B:I,2,0))</f>
        <v>沁春锦苑一期管网施工合同（19-24、32/33.34)</v>
      </c>
      <c r="I629" s="165" t="str">
        <f>IF(G629="","",VLOOKUP(G629,'附表8-合同明细采集底稿'!B:I,3,0))</f>
        <v>建设工程合同</v>
      </c>
      <c r="J629" s="169" t="s">
        <v>2498</v>
      </c>
      <c r="K629" s="157" t="s">
        <v>2355</v>
      </c>
      <c r="L629" s="166">
        <v>6500231130</v>
      </c>
      <c r="M629" s="166" t="s">
        <v>4276</v>
      </c>
      <c r="N629" s="167">
        <v>654788.28</v>
      </c>
      <c r="O629" s="167">
        <v>713719.23</v>
      </c>
      <c r="P629" s="167">
        <v>654788.28</v>
      </c>
      <c r="Q629" s="167"/>
      <c r="R629" s="167">
        <f t="shared" si="71"/>
        <v>654788.28</v>
      </c>
      <c r="S629" s="178">
        <f>IFERROR(VLOOKUP(G629,'附表8-合同明细采集底稿'!B:N,12,0),100%)</f>
        <v>1</v>
      </c>
      <c r="T629" s="167">
        <f t="shared" si="68"/>
        <v>654788.28</v>
      </c>
      <c r="U629" s="157" t="s">
        <v>2344</v>
      </c>
      <c r="V629" s="179" t="s">
        <v>375</v>
      </c>
      <c r="W629" s="180">
        <f>IF('附表1-面积统计表'!$D$29=0,"",IF(AND(V629="共同成本费用",Z629="总建筑面积法"),ROUND(T629/'附表1-面积统计表'!$D$29*'附表1-面积统计表'!$D$5,2),IF(AND(V629="共同成本费用",Z629="可售建筑面积法"),ROUND(T629/'附表1-面积统计表'!$F$29*'附表1-面积统计表'!$F$5,2),"请手工填写")))</f>
        <v>317220.74</v>
      </c>
      <c r="X629" s="180">
        <f>IF(SUM('附表1-面积统计表'!$D$6)=0,"",SUM(T629)-SUM(W629)-SUM(Y629))</f>
        <v>209881.98</v>
      </c>
      <c r="Y629" s="180">
        <f>IF(SUM('附表1-面积统计表'!$D$6)=0,SUM(T629)-SUM(W629),IF('附表1-面积统计表'!$D$29=0,"",IF(AND(V629="共同成本费用",Z629="总建筑面积法"),ROUND(T629/'附表1-面积统计表'!$D$29*'附表1-面积统计表'!$D$7,2),IF(AND(V629="共同成本费用",Z629="可售建筑面积法"),ROUND(T629/'附表1-面积统计表'!$F$29*'附表1-面积统计表'!$F$7,2),"请手工填写"))))</f>
        <v>127685.56</v>
      </c>
      <c r="Z629" s="183" t="s">
        <v>351</v>
      </c>
      <c r="AA629" s="157"/>
      <c r="AB629" s="184" t="s">
        <v>2319</v>
      </c>
      <c r="AC629" s="132">
        <f t="shared" si="67"/>
        <v>0</v>
      </c>
    </row>
    <row r="630" s="132" customFormat="1" ht="24" customHeight="1" spans="1:29">
      <c r="A630" s="150">
        <v>624</v>
      </c>
      <c r="B630" s="187" t="s">
        <v>4277</v>
      </c>
      <c r="C630" s="212" t="s">
        <v>4278</v>
      </c>
      <c r="D630" s="157" t="s">
        <v>2346</v>
      </c>
      <c r="E630" s="158" t="s">
        <v>2453</v>
      </c>
      <c r="F630" s="154" t="s">
        <v>4279</v>
      </c>
      <c r="G630" s="156" t="s">
        <v>3246</v>
      </c>
      <c r="H630" s="157" t="str">
        <f>IF(G630="","",VLOOKUP(G630,'附表8-合同明细采集底稿'!B:I,2,0))</f>
        <v>沁春锦苑一期二批次景观绿化（25-30#）+提升附属合同</v>
      </c>
      <c r="I630" s="165" t="str">
        <f>IF(G630="","",VLOOKUP(G630,'附表8-合同明细采集底稿'!B:I,3,0))</f>
        <v>其他合同</v>
      </c>
      <c r="J630" s="169" t="s">
        <v>2498</v>
      </c>
      <c r="K630" s="157" t="s">
        <v>2355</v>
      </c>
      <c r="L630" s="166">
        <v>6500212130</v>
      </c>
      <c r="M630" s="166" t="s">
        <v>4280</v>
      </c>
      <c r="N630" s="167">
        <v>91743.12</v>
      </c>
      <c r="O630" s="167">
        <v>100000</v>
      </c>
      <c r="P630" s="167">
        <v>91743.12</v>
      </c>
      <c r="Q630" s="167"/>
      <c r="R630" s="167">
        <f t="shared" si="71"/>
        <v>91743.12</v>
      </c>
      <c r="S630" s="178">
        <f>IFERROR(VLOOKUP(G630,'附表8-合同明细采集底稿'!B:N,12,0),100%)</f>
        <v>1</v>
      </c>
      <c r="T630" s="167">
        <f t="shared" si="68"/>
        <v>91743.12</v>
      </c>
      <c r="U630" s="157" t="s">
        <v>2344</v>
      </c>
      <c r="V630" s="179" t="s">
        <v>375</v>
      </c>
      <c r="W630" s="180">
        <f>IF('附表1-面积统计表'!$D$29=0,"",IF(AND(V630="共同成本费用",Z630="总建筑面积法"),ROUND(T630/'附表1-面积统计表'!$D$29*'附表1-面积统计表'!$D$5,2),IF(AND(V630="共同成本费用",Z630="可售建筑面积法"),ROUND(T630/'附表1-面积统计表'!$F$29*'附表1-面积统计表'!$F$5,2),"请手工填写")))</f>
        <v>44446.15</v>
      </c>
      <c r="X630" s="180">
        <f>IF(SUM('附表1-面积统计表'!$D$6)=0,"",SUM(T630)-SUM(W630)-SUM(Y630))</f>
        <v>29406.8</v>
      </c>
      <c r="Y630" s="180">
        <f>IF(SUM('附表1-面积统计表'!$D$6)=0,SUM(T630)-SUM(W630),IF('附表1-面积统计表'!$D$29=0,"",IF(AND(V630="共同成本费用",Z630="总建筑面积法"),ROUND(T630/'附表1-面积统计表'!$D$29*'附表1-面积统计表'!$D$7,2),IF(AND(V630="共同成本费用",Z630="可售建筑面积法"),ROUND(T630/'附表1-面积统计表'!$F$29*'附表1-面积统计表'!$F$7,2),"请手工填写"))))</f>
        <v>17890.17</v>
      </c>
      <c r="Z630" s="183" t="s">
        <v>351</v>
      </c>
      <c r="AA630" s="157"/>
      <c r="AB630" s="184" t="s">
        <v>2319</v>
      </c>
      <c r="AC630" s="132">
        <f t="shared" si="67"/>
        <v>0</v>
      </c>
    </row>
    <row r="631" s="132" customFormat="1" ht="24" customHeight="1" spans="1:29">
      <c r="A631" s="150">
        <v>625</v>
      </c>
      <c r="B631" s="187" t="s">
        <v>4250</v>
      </c>
      <c r="C631" s="212" t="s">
        <v>4281</v>
      </c>
      <c r="D631" s="157" t="s">
        <v>2346</v>
      </c>
      <c r="E631" s="158" t="s">
        <v>2453</v>
      </c>
      <c r="F631" s="154" t="s">
        <v>4282</v>
      </c>
      <c r="G631" s="156" t="s">
        <v>3246</v>
      </c>
      <c r="H631" s="157" t="str">
        <f>IF(G631="","",VLOOKUP(G631,'附表8-合同明细采集底稿'!B:I,2,0))</f>
        <v>沁春锦苑一期二批次景观绿化（25-30#）+提升附属合同</v>
      </c>
      <c r="I631" s="165" t="str">
        <f>IF(G631="","",VLOOKUP(G631,'附表8-合同明细采集底稿'!B:I,3,0))</f>
        <v>其他合同</v>
      </c>
      <c r="J631" s="169" t="s">
        <v>2498</v>
      </c>
      <c r="K631" s="157" t="s">
        <v>2355</v>
      </c>
      <c r="L631" s="166">
        <v>6500223130</v>
      </c>
      <c r="M631" s="166" t="s">
        <v>4283</v>
      </c>
      <c r="N631" s="167">
        <v>72348.62</v>
      </c>
      <c r="O631" s="167">
        <v>78860</v>
      </c>
      <c r="P631" s="167">
        <v>72348.62</v>
      </c>
      <c r="Q631" s="167"/>
      <c r="R631" s="167">
        <f t="shared" si="71"/>
        <v>72348.62</v>
      </c>
      <c r="S631" s="178">
        <f>IFERROR(VLOOKUP(G631,'附表8-合同明细采集底稿'!B:N,12,0),100%)</f>
        <v>1</v>
      </c>
      <c r="T631" s="167">
        <f t="shared" si="68"/>
        <v>72348.62</v>
      </c>
      <c r="U631" s="157" t="s">
        <v>2344</v>
      </c>
      <c r="V631" s="179" t="s">
        <v>375</v>
      </c>
      <c r="W631" s="180">
        <f>IF('附表1-面积统计表'!$D$29=0,"",IF(AND(V631="共同成本费用",Z631="总建筑面积法"),ROUND(T631/'附表1-面积统计表'!$D$29*'附表1-面积统计表'!$D$5,2),IF(AND(V631="共同成本费用",Z631="可售建筑面积法"),ROUND(T631/'附表1-面积统计表'!$F$29*'附表1-面积统计表'!$F$5,2),"请手工填写")))</f>
        <v>35050.23</v>
      </c>
      <c r="X631" s="180">
        <f>IF(SUM('附表1-面积统计表'!$D$6)=0,"",SUM(T631)-SUM(W631)-SUM(Y631))</f>
        <v>23190.21</v>
      </c>
      <c r="Y631" s="180">
        <f>IF(SUM('附表1-面积统计表'!$D$6)=0,SUM(T631)-SUM(W631),IF('附表1-面积统计表'!$D$29=0,"",IF(AND(V631="共同成本费用",Z631="总建筑面积法"),ROUND(T631/'附表1-面积统计表'!$D$29*'附表1-面积统计表'!$D$7,2),IF(AND(V631="共同成本费用",Z631="可售建筑面积法"),ROUND(T631/'附表1-面积统计表'!$F$29*'附表1-面积统计表'!$F$7,2),"请手工填写"))))</f>
        <v>14108.18</v>
      </c>
      <c r="Z631" s="183" t="s">
        <v>351</v>
      </c>
      <c r="AA631" s="157"/>
      <c r="AB631" s="184" t="s">
        <v>2319</v>
      </c>
      <c r="AC631" s="132">
        <f t="shared" si="67"/>
        <v>0</v>
      </c>
    </row>
    <row r="632" s="132" customFormat="1" ht="24" customHeight="1" spans="1:29">
      <c r="A632" s="150">
        <v>626</v>
      </c>
      <c r="B632" s="187" t="s">
        <v>4254</v>
      </c>
      <c r="C632" s="212" t="s">
        <v>4278</v>
      </c>
      <c r="D632" s="157" t="s">
        <v>2533</v>
      </c>
      <c r="E632" s="158" t="s">
        <v>2564</v>
      </c>
      <c r="F632" s="154" t="s">
        <v>4284</v>
      </c>
      <c r="G632" s="156" t="s">
        <v>2900</v>
      </c>
      <c r="H632" s="157" t="str">
        <f>IF(G632="","",VLOOKUP(G632,'附表8-合同明细采集底稿'!B:I,2,0))</f>
        <v>沁春锦苑25、26、28#施工协议</v>
      </c>
      <c r="I632" s="165" t="str">
        <f>IF(G632="","",VLOOKUP(G632,'附表8-合同明细采集底稿'!B:I,3,0))</f>
        <v>建设工程合同</v>
      </c>
      <c r="J632" s="187" t="s">
        <v>144</v>
      </c>
      <c r="K632" s="157" t="s">
        <v>2355</v>
      </c>
      <c r="L632" s="166">
        <v>6500231130</v>
      </c>
      <c r="M632" s="166" t="s">
        <v>4285</v>
      </c>
      <c r="N632" s="167">
        <v>1558195.95</v>
      </c>
      <c r="O632" s="167">
        <v>1698433.59</v>
      </c>
      <c r="P632" s="167">
        <v>1558195.95</v>
      </c>
      <c r="Q632" s="167"/>
      <c r="R632" s="167">
        <f t="shared" si="71"/>
        <v>1558195.95</v>
      </c>
      <c r="S632" s="178">
        <f>IFERROR(VLOOKUP(G632,'附表8-合同明细采集底稿'!B:N,12,0),100%)</f>
        <v>1</v>
      </c>
      <c r="T632" s="167">
        <f t="shared" si="68"/>
        <v>1558195.95</v>
      </c>
      <c r="U632" s="157" t="s">
        <v>2416</v>
      </c>
      <c r="V632" s="179" t="s">
        <v>374</v>
      </c>
      <c r="W632" s="182">
        <f>ROUND(T632*成本分摊比例!$G$13/(成本分摊比例!$G$13+成本分摊比例!$H$13+成本分摊比例!$I$13),2)</f>
        <v>841896.04</v>
      </c>
      <c r="X632" s="182">
        <f>ROUND(T632*成本分摊比例!$H$13/(成本分摊比例!$G$13+成本分摊比例!$H$13+成本分摊比例!$I$13),2)</f>
        <v>557021.61</v>
      </c>
      <c r="Y632" s="182">
        <f t="shared" si="75"/>
        <v>159278.3</v>
      </c>
      <c r="Z632" s="183" t="s">
        <v>2406</v>
      </c>
      <c r="AA632" s="157"/>
      <c r="AB632" s="184" t="s">
        <v>2319</v>
      </c>
      <c r="AC632" s="132">
        <f t="shared" si="67"/>
        <v>0</v>
      </c>
    </row>
    <row r="633" s="132" customFormat="1" ht="24" customHeight="1" spans="1:29">
      <c r="A633" s="150">
        <v>627</v>
      </c>
      <c r="B633" s="187" t="s">
        <v>4254</v>
      </c>
      <c r="C633" s="212" t="s">
        <v>4255</v>
      </c>
      <c r="D633" s="157" t="s">
        <v>2533</v>
      </c>
      <c r="E633" s="158" t="s">
        <v>2564</v>
      </c>
      <c r="F633" s="154" t="s">
        <v>4256</v>
      </c>
      <c r="G633" s="156" t="s">
        <v>2900</v>
      </c>
      <c r="H633" s="157" t="str">
        <f>IF(G633="","",VLOOKUP(G633,'附表8-合同明细采集底稿'!B:I,2,0))</f>
        <v>沁春锦苑25、26、28#施工协议</v>
      </c>
      <c r="I633" s="165" t="str">
        <f>IF(G633="","",VLOOKUP(G633,'附表8-合同明细采集底稿'!B:I,3,0))</f>
        <v>建设工程合同</v>
      </c>
      <c r="J633" s="187" t="s">
        <v>144</v>
      </c>
      <c r="K633" s="157" t="s">
        <v>2355</v>
      </c>
      <c r="L633" s="166">
        <v>6500231130</v>
      </c>
      <c r="M633" s="166" t="s">
        <v>4271</v>
      </c>
      <c r="N633" s="167">
        <v>15333.36</v>
      </c>
      <c r="O633" s="167">
        <v>16713.36</v>
      </c>
      <c r="P633" s="167">
        <v>15333.36</v>
      </c>
      <c r="Q633" s="167"/>
      <c r="R633" s="167">
        <f t="shared" si="71"/>
        <v>15333.36</v>
      </c>
      <c r="S633" s="178">
        <f>IFERROR(VLOOKUP(G633,'附表8-合同明细采集底稿'!B:N,12,0),100%)</f>
        <v>1</v>
      </c>
      <c r="T633" s="167">
        <f t="shared" si="68"/>
        <v>15333.36</v>
      </c>
      <c r="U633" s="157" t="s">
        <v>2416</v>
      </c>
      <c r="V633" s="179" t="s">
        <v>374</v>
      </c>
      <c r="W633" s="182">
        <f>ROUND(T633*成本分摊比例!$G$13/(成本分摊比例!$G$13+成本分摊比例!$H$13+成本分摊比例!$I$13),2)</f>
        <v>8284.64</v>
      </c>
      <c r="X633" s="182">
        <f>ROUND(T633*成本分摊比例!$H$13/(成本分摊比例!$G$13+成本分摊比例!$H$13+成本分摊比例!$I$13),2)</f>
        <v>5481.35</v>
      </c>
      <c r="Y633" s="182">
        <f t="shared" si="75"/>
        <v>1567.37</v>
      </c>
      <c r="Z633" s="183" t="s">
        <v>2406</v>
      </c>
      <c r="AA633" s="157"/>
      <c r="AB633" s="184" t="s">
        <v>2319</v>
      </c>
      <c r="AC633" s="132">
        <f t="shared" si="67"/>
        <v>0</v>
      </c>
    </row>
    <row r="634" s="132" customFormat="1" ht="24" customHeight="1" spans="1:29">
      <c r="A634" s="150">
        <v>628</v>
      </c>
      <c r="B634" s="187" t="s">
        <v>4272</v>
      </c>
      <c r="C634" s="212" t="s">
        <v>4273</v>
      </c>
      <c r="D634" s="157" t="s">
        <v>2346</v>
      </c>
      <c r="E634" s="158" t="s">
        <v>2453</v>
      </c>
      <c r="F634" s="154" t="s">
        <v>4274</v>
      </c>
      <c r="G634" s="156" t="s">
        <v>4275</v>
      </c>
      <c r="H634" s="157" t="str">
        <f>IF(G634="","",VLOOKUP(G634,'附表8-合同明细采集底稿'!B:I,2,0))</f>
        <v>沁春锦苑一期管网施工合同（19-24、32/33.34)</v>
      </c>
      <c r="I634" s="165" t="str">
        <f>IF(G634="","",VLOOKUP(G634,'附表8-合同明细采集底稿'!B:I,3,0))</f>
        <v>建设工程合同</v>
      </c>
      <c r="J634" s="169" t="s">
        <v>2498</v>
      </c>
      <c r="K634" s="157" t="s">
        <v>2355</v>
      </c>
      <c r="L634" s="166">
        <v>6500231130</v>
      </c>
      <c r="M634" s="166" t="s">
        <v>4276</v>
      </c>
      <c r="N634" s="167">
        <v>184070.79</v>
      </c>
      <c r="O634" s="167">
        <v>200637.16</v>
      </c>
      <c r="P634" s="167">
        <v>184070.79</v>
      </c>
      <c r="Q634" s="167"/>
      <c r="R634" s="167">
        <f t="shared" si="71"/>
        <v>184070.79</v>
      </c>
      <c r="S634" s="178">
        <f>IFERROR(VLOOKUP(G634,'附表8-合同明细采集底稿'!B:N,12,0),100%)</f>
        <v>1</v>
      </c>
      <c r="T634" s="167">
        <f t="shared" si="68"/>
        <v>184070.79</v>
      </c>
      <c r="U634" s="157" t="s">
        <v>2344</v>
      </c>
      <c r="V634" s="179" t="s">
        <v>375</v>
      </c>
      <c r="W634" s="180">
        <f>IF('附表1-面积统计表'!$D$29=0,"",IF(AND(V634="共同成本费用",Z634="总建筑面积法"),ROUND(T634/'附表1-面积统计表'!$D$29*'附表1-面积统计表'!$D$5,2),IF(AND(V634="共同成本费用",Z634="可售建筑面积法"),ROUND(T634/'附表1-面积统计表'!$F$29*'附表1-面积统计表'!$F$5,2),"请手工填写")))</f>
        <v>89175.5</v>
      </c>
      <c r="X634" s="180">
        <f>IF(SUM('附表1-面积统计表'!$D$6)=0,"",SUM(T634)-SUM(W634)-SUM(Y634))</f>
        <v>59000.97</v>
      </c>
      <c r="Y634" s="180">
        <f>IF(SUM('附表1-面积统计表'!$D$6)=0,SUM(T634)-SUM(W634),IF('附表1-面积统计表'!$D$29=0,"",IF(AND(V634="共同成本费用",Z634="总建筑面积法"),ROUND(T634/'附表1-面积统计表'!$D$29*'附表1-面积统计表'!$D$7,2),IF(AND(V634="共同成本费用",Z634="可售建筑面积法"),ROUND(T634/'附表1-面积统计表'!$F$29*'附表1-面积统计表'!$F$7,2),"请手工填写"))))</f>
        <v>35894.32</v>
      </c>
      <c r="Z634" s="183" t="s">
        <v>351</v>
      </c>
      <c r="AA634" s="157"/>
      <c r="AB634" s="184" t="s">
        <v>2319</v>
      </c>
      <c r="AC634" s="132">
        <f t="shared" si="67"/>
        <v>0</v>
      </c>
    </row>
    <row r="635" s="132" customFormat="1" ht="24" customHeight="1" spans="1:29">
      <c r="A635" s="150">
        <v>629</v>
      </c>
      <c r="B635" s="187" t="s">
        <v>4286</v>
      </c>
      <c r="C635" s="212" t="s">
        <v>4287</v>
      </c>
      <c r="D635" s="157" t="s">
        <v>2533</v>
      </c>
      <c r="E635" s="158" t="s">
        <v>2564</v>
      </c>
      <c r="F635" s="154" t="s">
        <v>4288</v>
      </c>
      <c r="G635" s="156" t="s">
        <v>4289</v>
      </c>
      <c r="H635" s="157" t="str">
        <f>IF(G635="","",VLOOKUP(G635,'附表8-合同明细采集底稿'!B:I,2,0))</f>
        <v>二期、三期给排水、消防工程施工合同--36#</v>
      </c>
      <c r="I635" s="165" t="str">
        <f>IF(G635="","",VLOOKUP(G635,'附表8-合同明细采集底稿'!B:I,3,0))</f>
        <v>建设工程合同</v>
      </c>
      <c r="J635" s="187" t="s">
        <v>4143</v>
      </c>
      <c r="K635" s="157" t="s">
        <v>2355</v>
      </c>
      <c r="L635" s="166">
        <v>6500223130</v>
      </c>
      <c r="M635" s="166" t="s">
        <v>4290</v>
      </c>
      <c r="N635" s="167">
        <v>27151.37</v>
      </c>
      <c r="O635" s="167">
        <v>29594.99</v>
      </c>
      <c r="P635" s="167">
        <v>27151.37</v>
      </c>
      <c r="Q635" s="167">
        <v>-27151.37</v>
      </c>
      <c r="R635" s="167">
        <f t="shared" si="71"/>
        <v>0</v>
      </c>
      <c r="S635" s="178">
        <f>IFERROR(VLOOKUP(G635,'附表8-合同明细采集底稿'!B:N,12,0),100%)</f>
        <v>1</v>
      </c>
      <c r="T635" s="167">
        <f t="shared" si="68"/>
        <v>0</v>
      </c>
      <c r="U635" s="157" t="s">
        <v>3680</v>
      </c>
      <c r="V635" s="179" t="s">
        <v>374</v>
      </c>
      <c r="W635" s="181">
        <v>0</v>
      </c>
      <c r="X635" s="181">
        <v>0</v>
      </c>
      <c r="Y635" s="181">
        <v>0</v>
      </c>
      <c r="Z635" s="183" t="s">
        <v>2406</v>
      </c>
      <c r="AA635" s="157"/>
      <c r="AB635" s="184" t="s">
        <v>2319</v>
      </c>
      <c r="AC635" s="132">
        <f t="shared" si="67"/>
        <v>0</v>
      </c>
    </row>
    <row r="636" s="132" customFormat="1" ht="24" customHeight="1" spans="1:29">
      <c r="A636" s="150">
        <v>630</v>
      </c>
      <c r="B636" s="187" t="s">
        <v>4258</v>
      </c>
      <c r="C636" s="212" t="s">
        <v>4291</v>
      </c>
      <c r="D636" s="157" t="s">
        <v>2533</v>
      </c>
      <c r="E636" s="158" t="s">
        <v>2564</v>
      </c>
      <c r="F636" s="154" t="s">
        <v>4292</v>
      </c>
      <c r="G636" s="156" t="s">
        <v>3679</v>
      </c>
      <c r="H636" s="157" t="str">
        <f>IF(G636="","",VLOOKUP(G636,'附表8-合同明细采集底稿'!B:I,2,0))</f>
        <v>建设工程施工合同12-15#楼38#楼、31#楼.36#幼儿园（36#楼）</v>
      </c>
      <c r="I636" s="165" t="str">
        <f>IF(G636="","",VLOOKUP(G636,'附表8-合同明细采集底稿'!B:I,3,0))</f>
        <v>建设工程合同</v>
      </c>
      <c r="J636" s="187" t="s">
        <v>151</v>
      </c>
      <c r="K636" s="157" t="s">
        <v>2355</v>
      </c>
      <c r="L636" s="166">
        <v>6500223130</v>
      </c>
      <c r="M636" s="166" t="s">
        <v>4293</v>
      </c>
      <c r="N636" s="167">
        <v>417936.06</v>
      </c>
      <c r="O636" s="167">
        <v>455550.31</v>
      </c>
      <c r="P636" s="167">
        <v>417936.06</v>
      </c>
      <c r="Q636" s="167">
        <v>-417936.06</v>
      </c>
      <c r="R636" s="167">
        <f t="shared" si="71"/>
        <v>0</v>
      </c>
      <c r="S636" s="178">
        <f>IFERROR(VLOOKUP(G636,'附表8-合同明细采集底稿'!B:N,12,0),100%)</f>
        <v>1</v>
      </c>
      <c r="T636" s="167">
        <f t="shared" si="68"/>
        <v>0</v>
      </c>
      <c r="U636" s="157" t="s">
        <v>3680</v>
      </c>
      <c r="V636" s="179" t="s">
        <v>374</v>
      </c>
      <c r="W636" s="181">
        <v>0</v>
      </c>
      <c r="X636" s="181">
        <v>0</v>
      </c>
      <c r="Y636" s="181">
        <v>0</v>
      </c>
      <c r="Z636" s="183" t="s">
        <v>2406</v>
      </c>
      <c r="AA636" s="157"/>
      <c r="AB636" s="184" t="s">
        <v>2319</v>
      </c>
      <c r="AC636" s="132">
        <f t="shared" si="67"/>
        <v>0</v>
      </c>
    </row>
    <row r="637" s="132" customFormat="1" ht="24" customHeight="1" spans="1:29">
      <c r="A637" s="150">
        <v>631</v>
      </c>
      <c r="B637" s="187" t="s">
        <v>4294</v>
      </c>
      <c r="C637" s="212" t="s">
        <v>4291</v>
      </c>
      <c r="D637" s="157" t="s">
        <v>2346</v>
      </c>
      <c r="E637" s="158" t="s">
        <v>3135</v>
      </c>
      <c r="F637" s="154" t="s">
        <v>4295</v>
      </c>
      <c r="G637" s="156" t="s">
        <v>4296</v>
      </c>
      <c r="H637" s="157" t="str">
        <f>IF(G637="","",VLOOKUP(G637,'附表8-合同明细采集底稿'!B:I,2,0))</f>
        <v>逸航折叠方采购合同</v>
      </c>
      <c r="I637" s="165" t="str">
        <f>IF(G637="","",VLOOKUP(G637,'附表8-合同明细采集底稿'!B:I,3,0))</f>
        <v>其他合同</v>
      </c>
      <c r="J637" s="169" t="s">
        <v>4297</v>
      </c>
      <c r="K637" s="157" t="s">
        <v>2355</v>
      </c>
      <c r="L637" s="166">
        <v>1300224130</v>
      </c>
      <c r="M637" s="166" t="s">
        <v>4298</v>
      </c>
      <c r="N637" s="167">
        <v>9734.51</v>
      </c>
      <c r="O637" s="167">
        <v>11000</v>
      </c>
      <c r="P637" s="167">
        <v>9734.51</v>
      </c>
      <c r="Q637" s="167">
        <v>-9734.51</v>
      </c>
      <c r="R637" s="167">
        <f t="shared" si="71"/>
        <v>0</v>
      </c>
      <c r="S637" s="178">
        <f>IFERROR(VLOOKUP(G637,'附表8-合同明细采集底稿'!B:N,12,0),100%)</f>
        <v>0.338555832480367</v>
      </c>
      <c r="T637" s="167">
        <f t="shared" ref="T637:T643" si="76">ROUND(SUM(R637)*SUM(S637),2)</f>
        <v>0</v>
      </c>
      <c r="U637" s="157" t="s">
        <v>2318</v>
      </c>
      <c r="V637" s="179" t="s">
        <v>375</v>
      </c>
      <c r="W637" s="180">
        <f>IF('附表1-面积统计表'!$D$29=0,"",IF(AND(V637="共同成本费用",Z637="总建筑面积法"),ROUND(T637/'附表1-面积统计表'!$D$29*'附表1-面积统计表'!$D$5,2),IF(AND(V637="共同成本费用",Z637="可售建筑面积法"),ROUND(T637/'附表1-面积统计表'!$F$29*'附表1-面积统计表'!$F$5,2),"请手工填写")))</f>
        <v>0</v>
      </c>
      <c r="X637" s="180">
        <f>IF(SUM('附表1-面积统计表'!$D$6)=0,"",SUM(T637)-SUM(W637)-SUM(Y637))</f>
        <v>0</v>
      </c>
      <c r="Y637" s="180">
        <f>IF(SUM('附表1-面积统计表'!$D$6)=0,SUM(T637)-SUM(W637),IF('附表1-面积统计表'!$D$29=0,"",IF(AND(V637="共同成本费用",Z637="总建筑面积法"),ROUND(T637/'附表1-面积统计表'!$D$29*'附表1-面积统计表'!$D$7,2),IF(AND(V637="共同成本费用",Z637="可售建筑面积法"),ROUND(T637/'附表1-面积统计表'!$F$29*'附表1-面积统计表'!$F$7,2),"请手工填写"))))</f>
        <v>0</v>
      </c>
      <c r="Z637" s="183" t="s">
        <v>351</v>
      </c>
      <c r="AA637" s="157"/>
      <c r="AB637" s="184" t="s">
        <v>2319</v>
      </c>
      <c r="AC637" s="132">
        <f t="shared" si="67"/>
        <v>0</v>
      </c>
    </row>
    <row r="638" s="132" customFormat="1" ht="24" customHeight="1" spans="1:29">
      <c r="A638" s="150">
        <v>632</v>
      </c>
      <c r="B638" s="187" t="s">
        <v>4245</v>
      </c>
      <c r="C638" s="212" t="s">
        <v>4246</v>
      </c>
      <c r="D638" s="157" t="s">
        <v>2339</v>
      </c>
      <c r="E638" s="158" t="s">
        <v>2340</v>
      </c>
      <c r="F638" s="154" t="s">
        <v>4247</v>
      </c>
      <c r="G638" s="156"/>
      <c r="H638" s="157" t="str">
        <f>IF(G638="","",VLOOKUP(G638,'附表8-合同明细采集底稿'!B:I,2,0))</f>
        <v/>
      </c>
      <c r="I638" s="165" t="str">
        <f>IF(G638="","",VLOOKUP(G638,'附表8-合同明细采集底稿'!B:I,3,0))</f>
        <v/>
      </c>
      <c r="J638" s="187" t="s">
        <v>4248</v>
      </c>
      <c r="K638" s="157" t="s">
        <v>2483</v>
      </c>
      <c r="L638" s="166"/>
      <c r="M638" s="166" t="s">
        <v>4249</v>
      </c>
      <c r="N638" s="167">
        <v>5531.57</v>
      </c>
      <c r="O638" s="167">
        <v>5531.57</v>
      </c>
      <c r="P638" s="167">
        <v>5531.57</v>
      </c>
      <c r="Q638" s="167">
        <v>-2331.46</v>
      </c>
      <c r="R638" s="167">
        <f t="shared" si="71"/>
        <v>3200.11</v>
      </c>
      <c r="S638" s="178">
        <v>0.338555832480367</v>
      </c>
      <c r="T638" s="167">
        <f t="shared" si="76"/>
        <v>1083.42</v>
      </c>
      <c r="U638" s="157" t="s">
        <v>3301</v>
      </c>
      <c r="V638" s="179" t="s">
        <v>375</v>
      </c>
      <c r="W638" s="180">
        <f>IF('附表1-面积统计表'!$D$29=0,"",IF(AND(V638="共同成本费用",Z638="总建筑面积法"),ROUND(T638/'附表1-面积统计表'!$D$29*'附表1-面积统计表'!$D$5,2),IF(AND(V638="共同成本费用",Z638="可售建筑面积法"),ROUND(T638/'附表1-面积统计表'!$F$29*'附表1-面积统计表'!$F$5,2),"请手工填写")))</f>
        <v>524.88</v>
      </c>
      <c r="X638" s="180">
        <f>IF(SUM('附表1-面积统计表'!$D$6)=0,"",SUM(T638)-SUM(W638)-SUM(Y638))</f>
        <v>347.27</v>
      </c>
      <c r="Y638" s="180">
        <f>IF(SUM('附表1-面积统计表'!$D$6)=0,SUM(T638)-SUM(W638),IF('附表1-面积统计表'!$D$29=0,"",IF(AND(V638="共同成本费用",Z638="总建筑面积法"),ROUND(T638/'附表1-面积统计表'!$D$29*'附表1-面积统计表'!$D$7,2),IF(AND(V638="共同成本费用",Z638="可售建筑面积法"),ROUND(T638/'附表1-面积统计表'!$F$29*'附表1-面积统计表'!$F$7,2),"请手工填写"))))</f>
        <v>211.27</v>
      </c>
      <c r="Z638" s="183" t="s">
        <v>351</v>
      </c>
      <c r="AA638" s="157"/>
      <c r="AB638" s="184" t="s">
        <v>2319</v>
      </c>
      <c r="AC638" s="132">
        <f t="shared" si="67"/>
        <v>0</v>
      </c>
    </row>
    <row r="639" s="132" customFormat="1" ht="24" customHeight="1" spans="1:29">
      <c r="A639" s="150">
        <v>633</v>
      </c>
      <c r="B639" s="187" t="s">
        <v>4299</v>
      </c>
      <c r="C639" s="212" t="s">
        <v>4300</v>
      </c>
      <c r="D639" s="157" t="s">
        <v>2346</v>
      </c>
      <c r="E639" s="158" t="s">
        <v>4205</v>
      </c>
      <c r="F639" s="154" t="s">
        <v>4301</v>
      </c>
      <c r="G639" s="156" t="s">
        <v>4302</v>
      </c>
      <c r="H639" s="157" t="str">
        <f>IF(G639="","",VLOOKUP(G639,'附表8-合同明细采集底稿'!B:I,2,0))</f>
        <v>沁春锦苑驻车器</v>
      </c>
      <c r="I639" s="165" t="str">
        <f>IF(G639="","",VLOOKUP(G639,'附表8-合同明细采集底稿'!B:I,3,0))</f>
        <v>其他合同</v>
      </c>
      <c r="J639" s="169" t="s">
        <v>2420</v>
      </c>
      <c r="K639" s="157" t="s">
        <v>2355</v>
      </c>
      <c r="L639" s="166">
        <v>6500221130</v>
      </c>
      <c r="M639" s="166" t="s">
        <v>4303</v>
      </c>
      <c r="N639" s="167">
        <v>6679.61</v>
      </c>
      <c r="O639" s="167">
        <v>6880</v>
      </c>
      <c r="P639" s="167">
        <v>6679.61</v>
      </c>
      <c r="Q639" s="167"/>
      <c r="R639" s="167">
        <f t="shared" si="71"/>
        <v>6679.61</v>
      </c>
      <c r="S639" s="178">
        <f>IFERROR(VLOOKUP(G639,'附表8-合同明细采集底稿'!B:N,12,0),100%)</f>
        <v>0.338555832480367</v>
      </c>
      <c r="T639" s="167">
        <f t="shared" si="76"/>
        <v>2261.42</v>
      </c>
      <c r="U639" s="157" t="s">
        <v>4210</v>
      </c>
      <c r="V639" s="179" t="s">
        <v>375</v>
      </c>
      <c r="W639" s="180">
        <f>IF('附表1-面积统计表'!$D$29=0,"",IF(AND(V639="共同成本费用",Z639="总建筑面积法"),ROUND(T639/'附表1-面积统计表'!$D$29*'附表1-面积统计表'!$D$5,2),IF(AND(V639="共同成本费用",Z639="可售建筑面积法"),ROUND(T639/'附表1-面积统计表'!$F$29*'附表1-面积统计表'!$F$5,2),"请手工填写")))</f>
        <v>1095.57</v>
      </c>
      <c r="X639" s="180">
        <f>IF(SUM('附表1-面积统计表'!$D$6)=0,"",SUM(T639)-SUM(W639)-SUM(Y639))</f>
        <v>724.87</v>
      </c>
      <c r="Y639" s="180">
        <f>IF(SUM('附表1-面积统计表'!$D$6)=0,SUM(T639)-SUM(W639),IF('附表1-面积统计表'!$D$29=0,"",IF(AND(V639="共同成本费用",Z639="总建筑面积法"),ROUND(T639/'附表1-面积统计表'!$D$29*'附表1-面积统计表'!$D$7,2),IF(AND(V639="共同成本费用",Z639="可售建筑面积法"),ROUND(T639/'附表1-面积统计表'!$F$29*'附表1-面积统计表'!$F$7,2),"请手工填写"))))</f>
        <v>440.98</v>
      </c>
      <c r="Z639" s="183" t="s">
        <v>351</v>
      </c>
      <c r="AA639" s="157"/>
      <c r="AB639" s="184" t="s">
        <v>2319</v>
      </c>
      <c r="AC639" s="132">
        <f t="shared" si="67"/>
        <v>0</v>
      </c>
    </row>
    <row r="640" s="132" customFormat="1" ht="24" customHeight="1" spans="1:29">
      <c r="A640" s="150">
        <v>634</v>
      </c>
      <c r="B640" s="187" t="s">
        <v>4304</v>
      </c>
      <c r="C640" s="212" t="s">
        <v>4305</v>
      </c>
      <c r="D640" s="157" t="s">
        <v>2331</v>
      </c>
      <c r="E640" s="158" t="s">
        <v>3544</v>
      </c>
      <c r="F640" s="154" t="s">
        <v>4306</v>
      </c>
      <c r="G640" s="156" t="s">
        <v>4142</v>
      </c>
      <c r="H640" s="157" t="str">
        <f>IF(G640="","",VLOOKUP(G640,'附表8-合同明细采集底稿'!B:I,2,0))</f>
        <v>二期、三期给排水、消防工程施工合同-幼儿园</v>
      </c>
      <c r="I640" s="165" t="str">
        <f>IF(G640="","",VLOOKUP(G640,'附表8-合同明细采集底稿'!B:I,3,0))</f>
        <v>建设工程合同</v>
      </c>
      <c r="J640" s="187" t="s">
        <v>4143</v>
      </c>
      <c r="K640" s="157" t="s">
        <v>2355</v>
      </c>
      <c r="L640" s="166">
        <v>6500223130</v>
      </c>
      <c r="M640" s="166" t="s">
        <v>4307</v>
      </c>
      <c r="N640" s="167">
        <v>100644.2</v>
      </c>
      <c r="O640" s="167">
        <v>109702.18</v>
      </c>
      <c r="P640" s="167">
        <v>100644.2</v>
      </c>
      <c r="Q640" s="167"/>
      <c r="R640" s="167">
        <f t="shared" si="71"/>
        <v>100644.2</v>
      </c>
      <c r="S640" s="178">
        <f>IFERROR(VLOOKUP(G640,'附表8-合同明细采集底稿'!B:N,12,0),100%)</f>
        <v>0.338555832480367</v>
      </c>
      <c r="T640" s="167">
        <f t="shared" si="76"/>
        <v>34073.68</v>
      </c>
      <c r="U640" s="157" t="s">
        <v>3678</v>
      </c>
      <c r="V640" s="179" t="s">
        <v>375</v>
      </c>
      <c r="W640" s="180">
        <f>IF('附表1-面积统计表'!$D$29=0,"",IF(AND(V640="共同成本费用",Z640="总建筑面积法"),ROUND(T640/'附表1-面积统计表'!$D$29*'附表1-面积统计表'!$D$5,2),IF(AND(V640="共同成本费用",Z640="可售建筑面积法"),ROUND(T640/'附表1-面积统计表'!$F$29*'附表1-面积统计表'!$F$5,2),"请手工填写")))</f>
        <v>16507.44</v>
      </c>
      <c r="X640" s="180">
        <f>IF(SUM('附表1-面积统计表'!$D$6)=0,"",SUM(T640)-SUM(W640)-SUM(Y640))</f>
        <v>10921.78</v>
      </c>
      <c r="Y640" s="180">
        <f>IF(SUM('附表1-面积统计表'!$D$6)=0,SUM(T640)-SUM(W640),IF('附表1-面积统计表'!$D$29=0,"",IF(AND(V640="共同成本费用",Z640="总建筑面积法"),ROUND(T640/'附表1-面积统计表'!$D$29*'附表1-面积统计表'!$D$7,2),IF(AND(V640="共同成本费用",Z640="可售建筑面积法"),ROUND(T640/'附表1-面积统计表'!$F$29*'附表1-面积统计表'!$F$7,2),"请手工填写"))))</f>
        <v>6644.46</v>
      </c>
      <c r="Z640" s="183" t="s">
        <v>351</v>
      </c>
      <c r="AA640" s="157"/>
      <c r="AB640" s="184" t="s">
        <v>2319</v>
      </c>
      <c r="AC640" s="132">
        <f t="shared" si="67"/>
        <v>0</v>
      </c>
    </row>
    <row r="641" s="132" customFormat="1" ht="24" customHeight="1" spans="1:29">
      <c r="A641" s="150">
        <v>635</v>
      </c>
      <c r="B641" s="187" t="s">
        <v>4304</v>
      </c>
      <c r="C641" s="212" t="s">
        <v>4259</v>
      </c>
      <c r="D641" s="157" t="s">
        <v>2331</v>
      </c>
      <c r="E641" s="158" t="s">
        <v>3544</v>
      </c>
      <c r="F641" s="154" t="s">
        <v>4308</v>
      </c>
      <c r="G641" s="156" t="s">
        <v>4309</v>
      </c>
      <c r="H641" s="157" t="str">
        <f>IF(G641="","",VLOOKUP(G641,'附表8-合同明细采集底稿'!B:I,2,0))</f>
        <v>沁春锦苑4#6#8#11#16#31#、36#楼铝合金门窗-幼儿园</v>
      </c>
      <c r="I641" s="165" t="str">
        <f>IF(G641="","",VLOOKUP(G641,'附表8-合同明细采集底稿'!B:I,3,0))</f>
        <v>买卖合同</v>
      </c>
      <c r="J641" s="187" t="s">
        <v>2556</v>
      </c>
      <c r="K641" s="157" t="s">
        <v>2355</v>
      </c>
      <c r="L641" s="166">
        <v>6500223130</v>
      </c>
      <c r="M641" s="166" t="s">
        <v>4310</v>
      </c>
      <c r="N641" s="167">
        <v>124450.54</v>
      </c>
      <c r="O641" s="167">
        <v>140629.1</v>
      </c>
      <c r="P641" s="167">
        <v>124450.54</v>
      </c>
      <c r="Q641" s="167"/>
      <c r="R641" s="167">
        <f t="shared" si="71"/>
        <v>124450.54</v>
      </c>
      <c r="S641" s="178">
        <f>IFERROR(VLOOKUP(G641,'附表8-合同明细采集底稿'!B:N,12,0),100%)</f>
        <v>0.338555832480367</v>
      </c>
      <c r="T641" s="167">
        <f t="shared" si="76"/>
        <v>42133.46</v>
      </c>
      <c r="U641" s="157" t="s">
        <v>3678</v>
      </c>
      <c r="V641" s="179" t="s">
        <v>375</v>
      </c>
      <c r="W641" s="180">
        <f>IF('附表1-面积统计表'!$D$29=0,"",IF(AND(V641="共同成本费用",Z641="总建筑面积法"),ROUND(T641/'附表1-面积统计表'!$D$29*'附表1-面积统计表'!$D$5,2),IF(AND(V641="共同成本费用",Z641="可售建筑面积法"),ROUND(T641/'附表1-面积统计表'!$F$29*'附表1-面积统计表'!$F$5,2),"请手工填写")))</f>
        <v>20412.11</v>
      </c>
      <c r="X641" s="180">
        <f>IF(SUM('附表1-面积统计表'!$D$6)=0,"",SUM(T641)-SUM(W641)-SUM(Y641))</f>
        <v>13505.21</v>
      </c>
      <c r="Y641" s="180">
        <f>IF(SUM('附表1-面积统计表'!$D$6)=0,SUM(T641)-SUM(W641),IF('附表1-面积统计表'!$D$29=0,"",IF(AND(V641="共同成本费用",Z641="总建筑面积法"),ROUND(T641/'附表1-面积统计表'!$D$29*'附表1-面积统计表'!$D$7,2),IF(AND(V641="共同成本费用",Z641="可售建筑面积法"),ROUND(T641/'附表1-面积统计表'!$F$29*'附表1-面积统计表'!$F$7,2),"请手工填写"))))</f>
        <v>8216.14</v>
      </c>
      <c r="Z641" s="183" t="s">
        <v>351</v>
      </c>
      <c r="AA641" s="157"/>
      <c r="AB641" s="184" t="s">
        <v>2319</v>
      </c>
      <c r="AC641" s="132">
        <f t="shared" si="67"/>
        <v>0</v>
      </c>
    </row>
    <row r="642" s="132" customFormat="1" ht="24" customHeight="1" spans="1:29">
      <c r="A642" s="150">
        <v>636</v>
      </c>
      <c r="B642" s="187" t="s">
        <v>4262</v>
      </c>
      <c r="C642" s="212" t="s">
        <v>4311</v>
      </c>
      <c r="D642" s="157" t="s">
        <v>2331</v>
      </c>
      <c r="E642" s="158" t="s">
        <v>3994</v>
      </c>
      <c r="F642" s="154" t="s">
        <v>4312</v>
      </c>
      <c r="G642" s="156" t="s">
        <v>4313</v>
      </c>
      <c r="H642" s="157" t="str">
        <f>IF(G642="","",VLOOKUP(G642,'附表8-合同明细采集底稿'!B:I,2,0))</f>
        <v>沁春锦苑18#、21#、22#楼、37#社区、地下车库及人防部分建设工程（37#社区）</v>
      </c>
      <c r="I642" s="165" t="str">
        <f>IF(G642="","",VLOOKUP(G642,'附表8-合同明细采集底稿'!B:I,3,0))</f>
        <v>建设工程合同</v>
      </c>
      <c r="J642" s="187" t="s">
        <v>151</v>
      </c>
      <c r="K642" s="157" t="s">
        <v>2355</v>
      </c>
      <c r="L642" s="166">
        <v>6500231130</v>
      </c>
      <c r="M642" s="166" t="s">
        <v>4314</v>
      </c>
      <c r="N642" s="167">
        <v>543528.44</v>
      </c>
      <c r="O642" s="167">
        <v>592446</v>
      </c>
      <c r="P642" s="167">
        <v>543528.44</v>
      </c>
      <c r="Q642" s="167"/>
      <c r="R642" s="167">
        <f t="shared" si="71"/>
        <v>543528.44</v>
      </c>
      <c r="S642" s="178">
        <f>IFERROR(VLOOKUP(G642,'附表8-合同明细采集底稿'!B:N,12,0),100%)</f>
        <v>0.338555832480367</v>
      </c>
      <c r="T642" s="167">
        <f t="shared" si="76"/>
        <v>184014.72</v>
      </c>
      <c r="U642" s="157" t="s">
        <v>3999</v>
      </c>
      <c r="V642" s="179" t="s">
        <v>375</v>
      </c>
      <c r="W642" s="180">
        <f>IF('附表1-面积统计表'!$D$29=0,"",IF(AND(V642="共同成本费用",Z642="总建筑面积法"),ROUND(T642/'附表1-面积统计表'!$D$29*'附表1-面积统计表'!$D$5,2),IF(AND(V642="共同成本费用",Z642="可售建筑面积法"),ROUND(T642/'附表1-面积统计表'!$F$29*'附表1-面积统计表'!$F$5,2),"请手工填写")))</f>
        <v>89148.34</v>
      </c>
      <c r="X642" s="180">
        <f>IF(SUM('附表1-面积统计表'!$D$6)=0,"",SUM(T642)-SUM(W642)-SUM(Y642))</f>
        <v>58982.99</v>
      </c>
      <c r="Y642" s="180">
        <f>IF(SUM('附表1-面积统计表'!$D$6)=0,SUM(T642)-SUM(W642),IF('附表1-面积统计表'!$D$29=0,"",IF(AND(V642="共同成本费用",Z642="总建筑面积法"),ROUND(T642/'附表1-面积统计表'!$D$29*'附表1-面积统计表'!$D$7,2),IF(AND(V642="共同成本费用",Z642="可售建筑面积法"),ROUND(T642/'附表1-面积统计表'!$F$29*'附表1-面积统计表'!$F$7,2),"请手工填写"))))</f>
        <v>35883.39</v>
      </c>
      <c r="Z642" s="183" t="s">
        <v>351</v>
      </c>
      <c r="AA642" s="157"/>
      <c r="AB642" s="184" t="s">
        <v>2319</v>
      </c>
      <c r="AC642" s="132">
        <f t="shared" si="67"/>
        <v>0</v>
      </c>
    </row>
    <row r="643" s="132" customFormat="1" ht="24" customHeight="1" spans="1:29">
      <c r="A643" s="150">
        <v>637</v>
      </c>
      <c r="B643" s="187" t="s">
        <v>4315</v>
      </c>
      <c r="C643" s="212" t="s">
        <v>4316</v>
      </c>
      <c r="D643" s="157" t="s">
        <v>2331</v>
      </c>
      <c r="E643" s="158" t="s">
        <v>3994</v>
      </c>
      <c r="F643" s="154" t="s">
        <v>4317</v>
      </c>
      <c r="G643" s="156"/>
      <c r="H643" s="157" t="str">
        <f>IF(G643="","",VLOOKUP(G643,'附表8-合同明细采集底稿'!B:I,2,0))</f>
        <v/>
      </c>
      <c r="I643" s="165" t="str">
        <f>IF(G643="","",VLOOKUP(G643,'附表8-合同明细采集底稿'!B:I,3,0))</f>
        <v/>
      </c>
      <c r="J643" s="187" t="s">
        <v>2999</v>
      </c>
      <c r="K643" s="157" t="s">
        <v>2355</v>
      </c>
      <c r="L643" s="166">
        <v>6500231130</v>
      </c>
      <c r="M643" s="166" t="s">
        <v>4318</v>
      </c>
      <c r="N643" s="167">
        <v>70796.46</v>
      </c>
      <c r="O643" s="167">
        <v>80000</v>
      </c>
      <c r="P643" s="167">
        <v>70796.46</v>
      </c>
      <c r="Q643" s="167"/>
      <c r="R643" s="167">
        <f t="shared" si="71"/>
        <v>70796.46</v>
      </c>
      <c r="S643" s="178">
        <v>0.338555832480367</v>
      </c>
      <c r="T643" s="167">
        <f t="shared" si="76"/>
        <v>23968.55</v>
      </c>
      <c r="U643" s="157" t="s">
        <v>3999</v>
      </c>
      <c r="V643" s="179" t="s">
        <v>375</v>
      </c>
      <c r="W643" s="180">
        <f>IF('附表1-面积统计表'!$D$29=0,"",IF(AND(V643="共同成本费用",Z643="总建筑面积法"),ROUND(T643/'附表1-面积统计表'!$D$29*'附表1-面积统计表'!$D$5,2),IF(AND(V643="共同成本费用",Z643="可售建筑面积法"),ROUND(T643/'附表1-面积统计表'!$F$29*'附表1-面积统计表'!$F$5,2),"请手工填写")))</f>
        <v>11611.88</v>
      </c>
      <c r="X643" s="180">
        <f>IF(SUM('附表1-面积统计表'!$D$6)=0,"",SUM(T643)-SUM(W643)-SUM(Y643))</f>
        <v>7682.74</v>
      </c>
      <c r="Y643" s="180">
        <f>IF(SUM('附表1-面积统计表'!$D$6)=0,SUM(T643)-SUM(W643),IF('附表1-面积统计表'!$D$29=0,"",IF(AND(V643="共同成本费用",Z643="总建筑面积法"),ROUND(T643/'附表1-面积统计表'!$D$29*'附表1-面积统计表'!$D$7,2),IF(AND(V643="共同成本费用",Z643="可售建筑面积法"),ROUND(T643/'附表1-面积统计表'!$F$29*'附表1-面积统计表'!$F$7,2),"请手工填写"))))</f>
        <v>4673.93</v>
      </c>
      <c r="Z643" s="183" t="s">
        <v>351</v>
      </c>
      <c r="AA643" s="157"/>
      <c r="AB643" s="184" t="s">
        <v>2319</v>
      </c>
      <c r="AC643" s="132">
        <f t="shared" si="67"/>
        <v>0</v>
      </c>
    </row>
    <row r="644" s="132" customFormat="1" ht="24" customHeight="1" spans="1:29">
      <c r="A644" s="150">
        <v>638</v>
      </c>
      <c r="B644" s="187" t="s">
        <v>4286</v>
      </c>
      <c r="C644" s="212" t="s">
        <v>4287</v>
      </c>
      <c r="D644" s="157" t="s">
        <v>2331</v>
      </c>
      <c r="E644" s="158" t="s">
        <v>3111</v>
      </c>
      <c r="F644" s="154" t="s">
        <v>4288</v>
      </c>
      <c r="G644" s="156" t="s">
        <v>4231</v>
      </c>
      <c r="H644" s="157" t="str">
        <f>IF(G644="","",VLOOKUP(G644,'附表8-合同明细采集底稿'!B:I,2,0))</f>
        <v>二期、三期给排水、消防工程施工合同-人防</v>
      </c>
      <c r="I644" s="165" t="str">
        <f>IF(G644="","",VLOOKUP(G644,'附表8-合同明细采集底稿'!B:I,3,0))</f>
        <v>建设工程合同</v>
      </c>
      <c r="J644" s="187" t="s">
        <v>4143</v>
      </c>
      <c r="K644" s="157" t="s">
        <v>2355</v>
      </c>
      <c r="L644" s="166">
        <v>6500223130</v>
      </c>
      <c r="M644" s="166" t="s">
        <v>4290</v>
      </c>
      <c r="N644" s="167">
        <v>38449.5</v>
      </c>
      <c r="O644" s="167">
        <v>41909.95</v>
      </c>
      <c r="P644" s="167">
        <v>38449.5</v>
      </c>
      <c r="Q644" s="167"/>
      <c r="R644" s="167">
        <f t="shared" si="71"/>
        <v>38449.5</v>
      </c>
      <c r="S644" s="178">
        <f>IFERROR(VLOOKUP(G644,'附表8-合同明细采集底稿'!B:N,12,0),100%)</f>
        <v>0.109829243890136</v>
      </c>
      <c r="T644" s="167">
        <f t="shared" si="68"/>
        <v>4222.88</v>
      </c>
      <c r="U644" s="157" t="s">
        <v>3116</v>
      </c>
      <c r="V644" s="179" t="s">
        <v>374</v>
      </c>
      <c r="W644" s="181">
        <f t="shared" ref="W644:W647" si="77">ROUND(T644*0.8162,2)</f>
        <v>3446.71</v>
      </c>
      <c r="X644" s="181">
        <v>0</v>
      </c>
      <c r="Y644" s="181">
        <f t="shared" ref="Y644:Y647" si="78">T644-W644</f>
        <v>776.17</v>
      </c>
      <c r="Z644" s="183" t="s">
        <v>2406</v>
      </c>
      <c r="AA644" s="157"/>
      <c r="AB644" s="184" t="s">
        <v>2319</v>
      </c>
      <c r="AC644" s="132">
        <f t="shared" si="67"/>
        <v>0</v>
      </c>
    </row>
    <row r="645" s="132" customFormat="1" ht="24" customHeight="1" spans="1:29">
      <c r="A645" s="150">
        <v>639</v>
      </c>
      <c r="B645" s="187" t="s">
        <v>4304</v>
      </c>
      <c r="C645" s="212" t="s">
        <v>4305</v>
      </c>
      <c r="D645" s="157" t="s">
        <v>2331</v>
      </c>
      <c r="E645" s="158" t="s">
        <v>3111</v>
      </c>
      <c r="F645" s="154" t="s">
        <v>4306</v>
      </c>
      <c r="G645" s="156" t="s">
        <v>4231</v>
      </c>
      <c r="H645" s="157" t="str">
        <f>IF(G645="","",VLOOKUP(G645,'附表8-合同明细采集底稿'!B:I,2,0))</f>
        <v>二期、三期给排水、消防工程施工合同-人防</v>
      </c>
      <c r="I645" s="165" t="str">
        <f>IF(G645="","",VLOOKUP(G645,'附表8-合同明细采集底稿'!B:I,3,0))</f>
        <v>建设工程合同</v>
      </c>
      <c r="J645" s="187" t="s">
        <v>4143</v>
      </c>
      <c r="K645" s="157" t="s">
        <v>2355</v>
      </c>
      <c r="L645" s="166">
        <v>6500223130</v>
      </c>
      <c r="M645" s="166" t="s">
        <v>4307</v>
      </c>
      <c r="N645" s="167">
        <v>28310.2</v>
      </c>
      <c r="O645" s="167">
        <v>30858.12</v>
      </c>
      <c r="P645" s="167">
        <v>28310.2</v>
      </c>
      <c r="Q645" s="167"/>
      <c r="R645" s="167">
        <f t="shared" si="71"/>
        <v>28310.2</v>
      </c>
      <c r="S645" s="178">
        <f>IFERROR(VLOOKUP(G645,'附表8-合同明细采集底稿'!B:N,12,0),100%)</f>
        <v>0.109829243890136</v>
      </c>
      <c r="T645" s="167">
        <f t="shared" si="68"/>
        <v>3109.29</v>
      </c>
      <c r="U645" s="157" t="s">
        <v>3116</v>
      </c>
      <c r="V645" s="179" t="s">
        <v>374</v>
      </c>
      <c r="W645" s="181">
        <f t="shared" si="77"/>
        <v>2537.8</v>
      </c>
      <c r="X645" s="181">
        <v>0</v>
      </c>
      <c r="Y645" s="181">
        <f t="shared" si="78"/>
        <v>571.49</v>
      </c>
      <c r="Z645" s="183" t="s">
        <v>2406</v>
      </c>
      <c r="AA645" s="157"/>
      <c r="AB645" s="184" t="s">
        <v>2319</v>
      </c>
      <c r="AC645" s="132">
        <f t="shared" si="67"/>
        <v>0</v>
      </c>
    </row>
    <row r="646" s="132" customFormat="1" ht="24" customHeight="1" spans="1:29">
      <c r="A646" s="150">
        <v>640</v>
      </c>
      <c r="B646" s="187" t="s">
        <v>4319</v>
      </c>
      <c r="C646" s="212" t="s">
        <v>4320</v>
      </c>
      <c r="D646" s="157" t="s">
        <v>2331</v>
      </c>
      <c r="E646" s="158" t="s">
        <v>3111</v>
      </c>
      <c r="F646" s="154" t="s">
        <v>4321</v>
      </c>
      <c r="G646" s="156" t="s">
        <v>4322</v>
      </c>
      <c r="H646" s="157" t="str">
        <f>IF(G646="","",VLOOKUP(G646,'附表8-合同明细采集底稿'!B:I,2,0))</f>
        <v>沁春景苑人防室外线缆采购合同</v>
      </c>
      <c r="I646" s="165" t="str">
        <f>IF(G646="","",VLOOKUP(G646,'附表8-合同明细采集底稿'!B:I,3,0))</f>
        <v>其他合同</v>
      </c>
      <c r="J646" s="187" t="s">
        <v>4323</v>
      </c>
      <c r="K646" s="157" t="s">
        <v>2355</v>
      </c>
      <c r="L646" s="166">
        <v>6500223130</v>
      </c>
      <c r="M646" s="166" t="s">
        <v>4324</v>
      </c>
      <c r="N646" s="167">
        <v>299026.54</v>
      </c>
      <c r="O646" s="167">
        <v>337900</v>
      </c>
      <c r="P646" s="167">
        <v>299026.54</v>
      </c>
      <c r="Q646" s="167"/>
      <c r="R646" s="167">
        <f t="shared" si="71"/>
        <v>299026.54</v>
      </c>
      <c r="S646" s="178">
        <f>IFERROR(VLOOKUP(G646,'附表8-合同明细采集底稿'!B:N,12,0),100%)</f>
        <v>0.109829243890136</v>
      </c>
      <c r="T646" s="167">
        <f t="shared" si="68"/>
        <v>32841.86</v>
      </c>
      <c r="U646" s="157" t="s">
        <v>3116</v>
      </c>
      <c r="V646" s="179" t="s">
        <v>374</v>
      </c>
      <c r="W646" s="181">
        <f t="shared" si="77"/>
        <v>26805.53</v>
      </c>
      <c r="X646" s="181">
        <v>0</v>
      </c>
      <c r="Y646" s="181">
        <f t="shared" si="78"/>
        <v>6036.33</v>
      </c>
      <c r="Z646" s="183" t="s">
        <v>2406</v>
      </c>
      <c r="AA646" s="157"/>
      <c r="AB646" s="184" t="s">
        <v>2319</v>
      </c>
      <c r="AC646" s="132">
        <f t="shared" si="67"/>
        <v>0</v>
      </c>
    </row>
    <row r="647" s="132" customFormat="1" ht="24" customHeight="1" spans="1:29">
      <c r="A647" s="150">
        <v>641</v>
      </c>
      <c r="B647" s="187" t="s">
        <v>4245</v>
      </c>
      <c r="C647" s="212" t="s">
        <v>4325</v>
      </c>
      <c r="D647" s="157" t="s">
        <v>2331</v>
      </c>
      <c r="E647" s="158" t="s">
        <v>3111</v>
      </c>
      <c r="F647" s="154" t="s">
        <v>4326</v>
      </c>
      <c r="G647" s="156" t="s">
        <v>3724</v>
      </c>
      <c r="H647" s="157" t="str">
        <f>IF(G647="","",VLOOKUP(G647,'附表8-合同明细采集底稿'!B:I,2,0))</f>
        <v>沁春锦苑项目人防门购置18#-21#</v>
      </c>
      <c r="I647" s="165" t="str">
        <f>IF(G647="","",VLOOKUP(G647,'附表8-合同明细采集底稿'!B:I,3,0))</f>
        <v>买卖合同</v>
      </c>
      <c r="J647" s="187" t="s">
        <v>3725</v>
      </c>
      <c r="K647" s="157" t="s">
        <v>2355</v>
      </c>
      <c r="L647" s="166">
        <v>6500223130</v>
      </c>
      <c r="M647" s="166" t="s">
        <v>4327</v>
      </c>
      <c r="N647" s="167">
        <v>332020.12</v>
      </c>
      <c r="O647" s="167">
        <v>370000</v>
      </c>
      <c r="P647" s="167">
        <v>332020.12</v>
      </c>
      <c r="Q647" s="167"/>
      <c r="R647" s="167">
        <f t="shared" si="71"/>
        <v>332020.12</v>
      </c>
      <c r="S647" s="178">
        <f>IFERROR(VLOOKUP(G647,'附表8-合同明细采集底稿'!B:N,12,0),100%)</f>
        <v>0.109829243890136</v>
      </c>
      <c r="T647" s="167">
        <f t="shared" si="68"/>
        <v>36465.52</v>
      </c>
      <c r="U647" s="157" t="s">
        <v>3116</v>
      </c>
      <c r="V647" s="179" t="s">
        <v>374</v>
      </c>
      <c r="W647" s="181">
        <f t="shared" si="77"/>
        <v>29763.16</v>
      </c>
      <c r="X647" s="181">
        <v>0</v>
      </c>
      <c r="Y647" s="181">
        <f t="shared" si="78"/>
        <v>6702.36</v>
      </c>
      <c r="Z647" s="183" t="s">
        <v>2406</v>
      </c>
      <c r="AA647" s="157"/>
      <c r="AB647" s="184" t="s">
        <v>2319</v>
      </c>
      <c r="AC647" s="132">
        <f t="shared" si="67"/>
        <v>0</v>
      </c>
    </row>
    <row r="648" s="132" customFormat="1" ht="24" customHeight="1" spans="1:29">
      <c r="A648" s="150">
        <v>642</v>
      </c>
      <c r="B648" s="187" t="s">
        <v>4258</v>
      </c>
      <c r="C648" s="212" t="s">
        <v>4328</v>
      </c>
      <c r="D648" s="157" t="s">
        <v>2346</v>
      </c>
      <c r="E648" s="158" t="s">
        <v>3135</v>
      </c>
      <c r="F648" s="154" t="s">
        <v>4329</v>
      </c>
      <c r="G648" s="156" t="s">
        <v>4146</v>
      </c>
      <c r="H648" s="157" t="str">
        <f>IF(G648="","",VLOOKUP(G648,'附表8-合同明细采集底稿'!B:I,2,0))</f>
        <v>沁春锦苑中水处理土建、挡墙、警卫室‘铺装工程</v>
      </c>
      <c r="I648" s="165" t="str">
        <f>IF(G648="","",VLOOKUP(G648,'附表8-合同明细采集底稿'!B:I,3,0))</f>
        <v>建设工程合同</v>
      </c>
      <c r="J648" s="169" t="s">
        <v>151</v>
      </c>
      <c r="K648" s="157" t="s">
        <v>2355</v>
      </c>
      <c r="L648" s="166">
        <v>6500223130</v>
      </c>
      <c r="M648" s="166" t="s">
        <v>4330</v>
      </c>
      <c r="N648" s="167">
        <v>183486.24</v>
      </c>
      <c r="O648" s="167">
        <v>200000</v>
      </c>
      <c r="P648" s="167">
        <v>183486.24</v>
      </c>
      <c r="Q648" s="167">
        <v>165137.614678899</v>
      </c>
      <c r="R648" s="167">
        <f t="shared" si="71"/>
        <v>348623.854678899</v>
      </c>
      <c r="S648" s="178">
        <f>IFERROR(VLOOKUP(G648,'附表8-合同明细采集底稿'!B:N,12,0),100%)</f>
        <v>0.338555832480367</v>
      </c>
      <c r="T648" s="167">
        <f t="shared" si="68"/>
        <v>118028.64</v>
      </c>
      <c r="U648" s="157" t="s">
        <v>2318</v>
      </c>
      <c r="V648" s="179" t="s">
        <v>375</v>
      </c>
      <c r="W648" s="180">
        <f>IF('附表1-面积统计表'!$D$29=0,"",IF(AND(V648="共同成本费用",Z648="总建筑面积法"),ROUND(T648/'附表1-面积统计表'!$D$29*'附表1-面积统计表'!$D$5,2),IF(AND(V648="共同成本费用",Z648="可售建筑面积法"),ROUND(T648/'附表1-面积统计表'!$F$29*'附表1-面积统计表'!$F$5,2),"请手工填写")))</f>
        <v>57180.52</v>
      </c>
      <c r="X648" s="180">
        <f>IF(SUM('附表1-面积统计表'!$D$6)=0,"",SUM(T648)-SUM(W648)-SUM(Y648))</f>
        <v>37832.2</v>
      </c>
      <c r="Y648" s="180">
        <f>IF(SUM('附表1-面积统计表'!$D$6)=0,SUM(T648)-SUM(W648),IF('附表1-面积统计表'!$D$29=0,"",IF(AND(V648="共同成本费用",Z648="总建筑面积法"),ROUND(T648/'附表1-面积统计表'!$D$29*'附表1-面积统计表'!$D$7,2),IF(AND(V648="共同成本费用",Z648="可售建筑面积法"),ROUND(T648/'附表1-面积统计表'!$F$29*'附表1-面积统计表'!$F$7,2),"请手工填写"))))</f>
        <v>23015.92</v>
      </c>
      <c r="Z648" s="183" t="s">
        <v>351</v>
      </c>
      <c r="AA648" s="157"/>
      <c r="AB648" s="184" t="s">
        <v>2319</v>
      </c>
      <c r="AC648" s="132">
        <f t="shared" ref="AC648:AC711" si="79">T648-W648-X648-Y648</f>
        <v>0</v>
      </c>
    </row>
    <row r="649" s="132" customFormat="1" ht="24" customHeight="1" spans="1:29">
      <c r="A649" s="150">
        <v>643</v>
      </c>
      <c r="B649" s="187" t="s">
        <v>4254</v>
      </c>
      <c r="C649" s="212" t="s">
        <v>4331</v>
      </c>
      <c r="D649" s="157" t="s">
        <v>2346</v>
      </c>
      <c r="E649" s="158" t="s">
        <v>4205</v>
      </c>
      <c r="F649" s="213" t="s">
        <v>4332</v>
      </c>
      <c r="G649" s="156" t="s">
        <v>4207</v>
      </c>
      <c r="H649" s="157" t="str">
        <f>IF(G649="","",VLOOKUP(G649,'附表8-合同明细采集底稿'!B:I,2,0))</f>
        <v>沁春锦苑升降横移类机械式停车设备销售合同</v>
      </c>
      <c r="I649" s="165" t="str">
        <f>IF(G649="","",VLOOKUP(G649,'附表8-合同明细采集底稿'!B:I,3,0))</f>
        <v>买卖合同</v>
      </c>
      <c r="J649" s="169" t="s">
        <v>4208</v>
      </c>
      <c r="K649" s="157" t="s">
        <v>2355</v>
      </c>
      <c r="L649" s="217">
        <v>1300224130</v>
      </c>
      <c r="M649" s="211">
        <v>21262928</v>
      </c>
      <c r="N649" s="167">
        <v>420188.05</v>
      </c>
      <c r="O649" s="167">
        <v>474812.5</v>
      </c>
      <c r="P649" s="167">
        <v>420188.05</v>
      </c>
      <c r="Q649" s="167"/>
      <c r="R649" s="167">
        <f t="shared" si="71"/>
        <v>420188.05</v>
      </c>
      <c r="S649" s="178">
        <f>IFERROR(VLOOKUP(G649,'附表8-合同明细采集底稿'!B:N,12,0),100%)</f>
        <v>0.338555832480367</v>
      </c>
      <c r="T649" s="167">
        <f t="shared" si="68"/>
        <v>142257.12</v>
      </c>
      <c r="U649" s="157" t="s">
        <v>4210</v>
      </c>
      <c r="V649" s="179" t="s">
        <v>375</v>
      </c>
      <c r="W649" s="180">
        <f>IF('附表1-面积统计表'!$D$29=0,"",IF(AND(V649="共同成本费用",Z649="总建筑面积法"),ROUND(T649/'附表1-面积统计表'!$D$29*'附表1-面积统计表'!$D$5,2),IF(AND(V649="共同成本费用",Z649="可售建筑面积法"),ROUND(T649/'附表1-面积统计表'!$F$29*'附表1-面积统计表'!$F$5,2),"请手工填写")))</f>
        <v>68918.32</v>
      </c>
      <c r="X649" s="180">
        <f>IF(SUM('附表1-面积统计表'!$D$6)=0,"",SUM(T649)-SUM(W649)-SUM(Y649))</f>
        <v>45598.26</v>
      </c>
      <c r="Y649" s="180">
        <f>IF(SUM('附表1-面积统计表'!$D$6)=0,SUM(T649)-SUM(W649),IF('附表1-面积统计表'!$D$29=0,"",IF(AND(V649="共同成本费用",Z649="总建筑面积法"),ROUND(T649/'附表1-面积统计表'!$D$29*'附表1-面积统计表'!$D$7,2),IF(AND(V649="共同成本费用",Z649="可售建筑面积法"),ROUND(T649/'附表1-面积统计表'!$F$29*'附表1-面积统计表'!$F$7,2),"请手工填写"))))</f>
        <v>27740.54</v>
      </c>
      <c r="Z649" s="183" t="s">
        <v>351</v>
      </c>
      <c r="AA649" s="157"/>
      <c r="AB649" s="184" t="s">
        <v>2319</v>
      </c>
      <c r="AC649" s="132">
        <f t="shared" si="79"/>
        <v>0</v>
      </c>
    </row>
    <row r="650" s="132" customFormat="1" ht="24" customHeight="1" spans="1:29">
      <c r="A650" s="150">
        <v>644</v>
      </c>
      <c r="B650" s="187" t="s">
        <v>4262</v>
      </c>
      <c r="C650" s="212" t="s">
        <v>4263</v>
      </c>
      <c r="D650" s="157" t="s">
        <v>2331</v>
      </c>
      <c r="E650" s="154" t="s">
        <v>3095</v>
      </c>
      <c r="F650" s="154" t="s">
        <v>4264</v>
      </c>
      <c r="G650" s="156" t="s">
        <v>4333</v>
      </c>
      <c r="H650" s="157" t="str">
        <f>IF(G650="","",VLOOKUP(G650,'附表8-合同明细采集底稿'!B:I,2,0))</f>
        <v>沁春锦苑1#35#、大门楼施工协议（大门#）</v>
      </c>
      <c r="I650" s="165" t="str">
        <f>IF(G650="","",VLOOKUP(G650,'附表8-合同明细采集底稿'!B:I,3,0))</f>
        <v>建设工程合同</v>
      </c>
      <c r="J650" s="187" t="s">
        <v>151</v>
      </c>
      <c r="K650" s="157" t="s">
        <v>2355</v>
      </c>
      <c r="L650" s="166">
        <v>6500231130</v>
      </c>
      <c r="M650" s="166" t="s">
        <v>4265</v>
      </c>
      <c r="N650" s="167">
        <v>326524.24</v>
      </c>
      <c r="O650" s="167">
        <v>355911.42</v>
      </c>
      <c r="P650" s="167">
        <v>326524.24</v>
      </c>
      <c r="Q650" s="167"/>
      <c r="R650" s="167">
        <f t="shared" si="71"/>
        <v>326524.24</v>
      </c>
      <c r="S650" s="178">
        <f>IFERROR(VLOOKUP(G650,'附表8-合同明细采集底稿'!B:N,12,0),100%)</f>
        <v>0.338555832480367</v>
      </c>
      <c r="T650" s="167">
        <f t="shared" si="68"/>
        <v>110546.69</v>
      </c>
      <c r="U650" s="157" t="s">
        <v>3301</v>
      </c>
      <c r="V650" s="179" t="s">
        <v>375</v>
      </c>
      <c r="W650" s="180">
        <f>IF('附表1-面积统计表'!$D$29=0,"",IF(AND(V650="共同成本费用",Z650="总建筑面积法"),ROUND(T650/'附表1-面积统计表'!$D$29*'附表1-面积统计表'!$D$5,2),IF(AND(V650="共同成本费用",Z650="可售建筑面积法"),ROUND(T650/'附表1-面积统计表'!$F$29*'附表1-面积统计表'!$F$5,2),"请手工填写")))</f>
        <v>53555.79</v>
      </c>
      <c r="X650" s="180">
        <f>IF(SUM('附表1-面积统计表'!$D$6)=0,"",SUM(T650)-SUM(W650)-SUM(Y650))</f>
        <v>35433.98</v>
      </c>
      <c r="Y650" s="180">
        <f>IF(SUM('附表1-面积统计表'!$D$6)=0,SUM(T650)-SUM(W650),IF('附表1-面积统计表'!$D$29=0,"",IF(AND(V650="共同成本费用",Z650="总建筑面积法"),ROUND(T650/'附表1-面积统计表'!$D$29*'附表1-面积统计表'!$D$7,2),IF(AND(V650="共同成本费用",Z650="可售建筑面积法"),ROUND(T650/'附表1-面积统计表'!$F$29*'附表1-面积统计表'!$F$7,2),"请手工填写"))))</f>
        <v>21556.92</v>
      </c>
      <c r="Z650" s="183" t="s">
        <v>351</v>
      </c>
      <c r="AA650" s="157"/>
      <c r="AB650" s="184" t="s">
        <v>2319</v>
      </c>
      <c r="AC650" s="132">
        <f t="shared" si="79"/>
        <v>0</v>
      </c>
    </row>
    <row r="651" s="132" customFormat="1" ht="24" customHeight="1" spans="1:29">
      <c r="A651" s="150">
        <v>645</v>
      </c>
      <c r="B651" s="187" t="s">
        <v>4334</v>
      </c>
      <c r="C651" s="212" t="s">
        <v>4335</v>
      </c>
      <c r="D651" s="157" t="s">
        <v>2331</v>
      </c>
      <c r="E651" s="158" t="s">
        <v>3111</v>
      </c>
      <c r="F651" s="154" t="s">
        <v>4336</v>
      </c>
      <c r="G651" s="156" t="s">
        <v>4337</v>
      </c>
      <c r="H651" s="157" t="str">
        <f>IF(G651="","",VLOOKUP(G651,'附表8-合同明细采集底稿'!B:I,2,0))</f>
        <v>沁春锦苑人防车库移动电站设备采购安装工程安装合同</v>
      </c>
      <c r="I651" s="165" t="str">
        <f>IF(G651="","",VLOOKUP(G651,'附表8-合同明细采集底稿'!B:I,3,0))</f>
        <v>其他合同</v>
      </c>
      <c r="J651" s="187" t="s">
        <v>3665</v>
      </c>
      <c r="K651" s="157" t="s">
        <v>2355</v>
      </c>
      <c r="L651" s="166">
        <v>6500231130</v>
      </c>
      <c r="M651" s="166" t="s">
        <v>4338</v>
      </c>
      <c r="N651" s="167">
        <v>126146.79</v>
      </c>
      <c r="O651" s="167">
        <v>137500</v>
      </c>
      <c r="P651" s="167">
        <v>126146.79</v>
      </c>
      <c r="Q651" s="167"/>
      <c r="R651" s="167">
        <f t="shared" si="71"/>
        <v>126146.79</v>
      </c>
      <c r="S651" s="178">
        <f>IFERROR(VLOOKUP(G651,'附表8-合同明细采集底稿'!B:N,12,0),100%)</f>
        <v>0.109829243890136</v>
      </c>
      <c r="T651" s="167">
        <f t="shared" si="68"/>
        <v>13854.61</v>
      </c>
      <c r="U651" s="157" t="s">
        <v>3116</v>
      </c>
      <c r="V651" s="179" t="s">
        <v>374</v>
      </c>
      <c r="W651" s="181">
        <f t="shared" ref="W651:W656" si="80">ROUND(T651*0.8162,2)</f>
        <v>11308.13</v>
      </c>
      <c r="X651" s="181">
        <v>0</v>
      </c>
      <c r="Y651" s="181">
        <f t="shared" ref="Y651:Y656" si="81">T651-W651</f>
        <v>2546.48</v>
      </c>
      <c r="Z651" s="183" t="s">
        <v>2406</v>
      </c>
      <c r="AA651" s="157"/>
      <c r="AB651" s="184" t="s">
        <v>2319</v>
      </c>
      <c r="AC651" s="132">
        <f t="shared" si="79"/>
        <v>0</v>
      </c>
    </row>
    <row r="652" s="132" customFormat="1" ht="24" customHeight="1" spans="1:29">
      <c r="A652" s="150">
        <v>646</v>
      </c>
      <c r="B652" s="187" t="s">
        <v>4339</v>
      </c>
      <c r="C652" s="212" t="s">
        <v>4340</v>
      </c>
      <c r="D652" s="157" t="s">
        <v>2331</v>
      </c>
      <c r="E652" s="158" t="s">
        <v>3111</v>
      </c>
      <c r="F652" s="154" t="s">
        <v>4341</v>
      </c>
      <c r="G652" s="156" t="s">
        <v>4342</v>
      </c>
      <c r="H652" s="157" t="str">
        <f>IF(G652="","",VLOOKUP(G652,'附表8-合同明细采集底稿'!B:I,2,0))</f>
        <v>沁春锦苑人防车库防雨棚安装工程</v>
      </c>
      <c r="I652" s="165" t="str">
        <f>IF(G652="","",VLOOKUP(G652,'附表8-合同明细采集底稿'!B:I,3,0))</f>
        <v>建设工程合同</v>
      </c>
      <c r="J652" s="187" t="s">
        <v>2556</v>
      </c>
      <c r="K652" s="157" t="s">
        <v>2355</v>
      </c>
      <c r="L652" s="166">
        <v>6500231130</v>
      </c>
      <c r="M652" s="166" t="s">
        <v>4343</v>
      </c>
      <c r="N652" s="167">
        <v>88495.58</v>
      </c>
      <c r="O652" s="167">
        <v>100000</v>
      </c>
      <c r="P652" s="167">
        <v>88495.58</v>
      </c>
      <c r="Q652" s="167"/>
      <c r="R652" s="167">
        <f t="shared" si="71"/>
        <v>88495.58</v>
      </c>
      <c r="S652" s="178">
        <f>IFERROR(VLOOKUP(G652,'附表8-合同明细采集底稿'!B:N,12,0),100%)</f>
        <v>0.109829243890136</v>
      </c>
      <c r="T652" s="167">
        <f t="shared" si="68"/>
        <v>9719.4</v>
      </c>
      <c r="U652" s="157" t="s">
        <v>3116</v>
      </c>
      <c r="V652" s="179" t="s">
        <v>374</v>
      </c>
      <c r="W652" s="181">
        <f t="shared" si="80"/>
        <v>7932.97</v>
      </c>
      <c r="X652" s="181">
        <v>0</v>
      </c>
      <c r="Y652" s="181">
        <f t="shared" si="81"/>
        <v>1786.43</v>
      </c>
      <c r="Z652" s="183" t="s">
        <v>2406</v>
      </c>
      <c r="AA652" s="157"/>
      <c r="AB652" s="184" t="s">
        <v>2319</v>
      </c>
      <c r="AC652" s="132">
        <f t="shared" si="79"/>
        <v>0</v>
      </c>
    </row>
    <row r="653" s="132" customFormat="1" ht="24" customHeight="1" spans="1:29">
      <c r="A653" s="150">
        <v>647</v>
      </c>
      <c r="B653" s="187" t="s">
        <v>4344</v>
      </c>
      <c r="C653" s="212" t="s">
        <v>4331</v>
      </c>
      <c r="D653" s="157" t="s">
        <v>2331</v>
      </c>
      <c r="E653" s="158" t="s">
        <v>3111</v>
      </c>
      <c r="F653" s="154" t="s">
        <v>4345</v>
      </c>
      <c r="G653" s="156" t="s">
        <v>3724</v>
      </c>
      <c r="H653" s="157" t="str">
        <f>IF(G653="","",VLOOKUP(G653,'附表8-合同明细采集底稿'!B:I,2,0))</f>
        <v>沁春锦苑项目人防门购置18#-21#</v>
      </c>
      <c r="I653" s="165" t="str">
        <f>IF(G653="","",VLOOKUP(G653,'附表8-合同明细采集底稿'!B:I,3,0))</f>
        <v>买卖合同</v>
      </c>
      <c r="J653" s="187" t="s">
        <v>3725</v>
      </c>
      <c r="K653" s="157" t="s">
        <v>2355</v>
      </c>
      <c r="L653" s="166">
        <v>6500223130</v>
      </c>
      <c r="M653" s="166" t="s">
        <v>4346</v>
      </c>
      <c r="N653" s="167">
        <v>40559.63</v>
      </c>
      <c r="O653" s="167">
        <v>44210</v>
      </c>
      <c r="P653" s="167">
        <v>40559.63</v>
      </c>
      <c r="Q653" s="167"/>
      <c r="R653" s="167">
        <f t="shared" si="71"/>
        <v>40559.63</v>
      </c>
      <c r="S653" s="178">
        <f>IFERROR(VLOOKUP(G653,'附表8-合同明细采集底稿'!B:N,12,0),100%)</f>
        <v>0.109829243890136</v>
      </c>
      <c r="T653" s="167">
        <f t="shared" si="68"/>
        <v>4454.63</v>
      </c>
      <c r="U653" s="157" t="s">
        <v>3116</v>
      </c>
      <c r="V653" s="179" t="s">
        <v>374</v>
      </c>
      <c r="W653" s="181">
        <f t="shared" si="80"/>
        <v>3635.87</v>
      </c>
      <c r="X653" s="181">
        <v>0</v>
      </c>
      <c r="Y653" s="181">
        <f t="shared" si="81"/>
        <v>818.76</v>
      </c>
      <c r="Z653" s="183" t="s">
        <v>2406</v>
      </c>
      <c r="AA653" s="157"/>
      <c r="AB653" s="184" t="s">
        <v>2319</v>
      </c>
      <c r="AC653" s="132">
        <f t="shared" si="79"/>
        <v>0</v>
      </c>
    </row>
    <row r="654" s="132" customFormat="1" ht="24" customHeight="1" spans="1:29">
      <c r="A654" s="150">
        <v>648</v>
      </c>
      <c r="B654" s="187" t="s">
        <v>4344</v>
      </c>
      <c r="C654" s="212" t="s">
        <v>4331</v>
      </c>
      <c r="D654" s="157" t="s">
        <v>2331</v>
      </c>
      <c r="E654" s="158" t="s">
        <v>3111</v>
      </c>
      <c r="F654" s="154" t="s">
        <v>4345</v>
      </c>
      <c r="G654" s="156" t="s">
        <v>3724</v>
      </c>
      <c r="H654" s="157" t="str">
        <f>IF(G654="","",VLOOKUP(G654,'附表8-合同明细采集底稿'!B:I,2,0))</f>
        <v>沁春锦苑项目人防门购置18#-21#</v>
      </c>
      <c r="I654" s="165" t="str">
        <f>IF(G654="","",VLOOKUP(G654,'附表8-合同明细采集底稿'!B:I,3,0))</f>
        <v>买卖合同</v>
      </c>
      <c r="J654" s="187" t="s">
        <v>3725</v>
      </c>
      <c r="K654" s="157" t="s">
        <v>2355</v>
      </c>
      <c r="L654" s="166">
        <v>6500223130</v>
      </c>
      <c r="M654" s="166" t="s">
        <v>4347</v>
      </c>
      <c r="N654" s="167">
        <v>124592.92</v>
      </c>
      <c r="O654" s="167">
        <v>140790</v>
      </c>
      <c r="P654" s="167">
        <v>124592.92</v>
      </c>
      <c r="Q654" s="167"/>
      <c r="R654" s="167">
        <f t="shared" si="71"/>
        <v>124592.92</v>
      </c>
      <c r="S654" s="178">
        <f>IFERROR(VLOOKUP(G654,'附表8-合同明细采集底稿'!B:N,12,0),100%)</f>
        <v>0.109829243890136</v>
      </c>
      <c r="T654" s="167">
        <f t="shared" si="68"/>
        <v>13683.95</v>
      </c>
      <c r="U654" s="157" t="s">
        <v>3116</v>
      </c>
      <c r="V654" s="179" t="s">
        <v>374</v>
      </c>
      <c r="W654" s="181">
        <f t="shared" si="80"/>
        <v>11168.84</v>
      </c>
      <c r="X654" s="181">
        <v>0</v>
      </c>
      <c r="Y654" s="181">
        <f t="shared" si="81"/>
        <v>2515.11</v>
      </c>
      <c r="Z654" s="183" t="s">
        <v>2406</v>
      </c>
      <c r="AA654" s="157"/>
      <c r="AB654" s="184" t="s">
        <v>2319</v>
      </c>
      <c r="AC654" s="132">
        <f t="shared" si="79"/>
        <v>0</v>
      </c>
    </row>
    <row r="655" s="132" customFormat="1" ht="24" customHeight="1" spans="1:29">
      <c r="A655" s="150">
        <v>649</v>
      </c>
      <c r="B655" s="187" t="s">
        <v>4348</v>
      </c>
      <c r="C655" s="212" t="s">
        <v>4349</v>
      </c>
      <c r="D655" s="157" t="s">
        <v>2331</v>
      </c>
      <c r="E655" s="158" t="s">
        <v>3111</v>
      </c>
      <c r="F655" s="154" t="s">
        <v>4350</v>
      </c>
      <c r="G655" s="156"/>
      <c r="H655" s="157" t="str">
        <f>IF(G655="","",VLOOKUP(G655,'附表8-合同明细采集底稿'!B:I,2,0))</f>
        <v/>
      </c>
      <c r="I655" s="165" t="str">
        <f>IF(G655="","",VLOOKUP(G655,'附表8-合同明细采集底稿'!B:I,3,0))</f>
        <v/>
      </c>
      <c r="J655" s="187" t="s">
        <v>2800</v>
      </c>
      <c r="K655" s="157" t="s">
        <v>2355</v>
      </c>
      <c r="L655" s="166">
        <v>6500221130</v>
      </c>
      <c r="M655" s="166" t="s">
        <v>4351</v>
      </c>
      <c r="N655" s="167">
        <v>3478.22</v>
      </c>
      <c r="O655" s="167">
        <v>3513</v>
      </c>
      <c r="P655" s="167">
        <v>3478.22</v>
      </c>
      <c r="Q655" s="167"/>
      <c r="R655" s="167">
        <f t="shared" si="71"/>
        <v>3478.22</v>
      </c>
      <c r="S655" s="178">
        <v>0.109829243890136</v>
      </c>
      <c r="T655" s="167">
        <f t="shared" si="68"/>
        <v>382.01</v>
      </c>
      <c r="U655" s="157" t="s">
        <v>3116</v>
      </c>
      <c r="V655" s="179" t="s">
        <v>374</v>
      </c>
      <c r="W655" s="181">
        <f t="shared" si="80"/>
        <v>311.8</v>
      </c>
      <c r="X655" s="181">
        <v>0</v>
      </c>
      <c r="Y655" s="181">
        <f t="shared" si="81"/>
        <v>70.21</v>
      </c>
      <c r="Z655" s="183" t="s">
        <v>2406</v>
      </c>
      <c r="AA655" s="157"/>
      <c r="AB655" s="184" t="s">
        <v>2319</v>
      </c>
      <c r="AC655" s="132">
        <f t="shared" si="79"/>
        <v>0</v>
      </c>
    </row>
    <row r="656" s="132" customFormat="1" ht="24" customHeight="1" spans="1:29">
      <c r="A656" s="150">
        <v>650</v>
      </c>
      <c r="B656" s="187" t="s">
        <v>4352</v>
      </c>
      <c r="C656" s="212" t="s">
        <v>4353</v>
      </c>
      <c r="D656" s="157" t="s">
        <v>2331</v>
      </c>
      <c r="E656" s="158" t="s">
        <v>3111</v>
      </c>
      <c r="F656" s="154" t="s">
        <v>4354</v>
      </c>
      <c r="G656" s="156" t="s">
        <v>3113</v>
      </c>
      <c r="H656" s="157" t="str">
        <f>IF(G656="","",VLOOKUP(G656,'附表8-合同明细采集底稿'!B:I,2,0))</f>
        <v>建设工程设计合同（民用建设工程设计合同）</v>
      </c>
      <c r="I656" s="165" t="str">
        <f>IF(G656="","",VLOOKUP(G656,'附表8-合同明细采集底稿'!B:I,3,0))</f>
        <v>技术合同</v>
      </c>
      <c r="J656" s="187" t="s">
        <v>3114</v>
      </c>
      <c r="K656" s="157" t="s">
        <v>2355</v>
      </c>
      <c r="L656" s="166">
        <v>6500231130</v>
      </c>
      <c r="M656" s="166" t="s">
        <v>4355</v>
      </c>
      <c r="N656" s="167">
        <v>31698.11</v>
      </c>
      <c r="O656" s="167">
        <v>33600</v>
      </c>
      <c r="P656" s="167">
        <v>31698.11</v>
      </c>
      <c r="Q656" s="167"/>
      <c r="R656" s="167">
        <f t="shared" si="71"/>
        <v>31698.11</v>
      </c>
      <c r="S656" s="178">
        <f>IFERROR(VLOOKUP(G656,'附表8-合同明细采集底稿'!B:N,12,0),100%)</f>
        <v>0.109829243890136</v>
      </c>
      <c r="T656" s="167">
        <f t="shared" si="68"/>
        <v>3481.38</v>
      </c>
      <c r="U656" s="157" t="s">
        <v>3116</v>
      </c>
      <c r="V656" s="179" t="s">
        <v>374</v>
      </c>
      <c r="W656" s="181">
        <f t="shared" si="80"/>
        <v>2841.5</v>
      </c>
      <c r="X656" s="181">
        <v>0</v>
      </c>
      <c r="Y656" s="181">
        <f t="shared" si="81"/>
        <v>639.88</v>
      </c>
      <c r="Z656" s="183" t="s">
        <v>2406</v>
      </c>
      <c r="AA656" s="157"/>
      <c r="AB656" s="184" t="s">
        <v>2319</v>
      </c>
      <c r="AC656" s="132">
        <f t="shared" si="79"/>
        <v>0</v>
      </c>
    </row>
    <row r="657" s="132" customFormat="1" ht="24" customHeight="1" spans="1:29">
      <c r="A657" s="150">
        <v>651</v>
      </c>
      <c r="B657" s="187" t="s">
        <v>4356</v>
      </c>
      <c r="C657" s="212" t="s">
        <v>4357</v>
      </c>
      <c r="D657" s="157" t="s">
        <v>2331</v>
      </c>
      <c r="E657" s="158" t="s">
        <v>3544</v>
      </c>
      <c r="F657" s="154" t="s">
        <v>4358</v>
      </c>
      <c r="G657" s="156" t="s">
        <v>4359</v>
      </c>
      <c r="H657" s="157" t="str">
        <f>IF(G657="","",VLOOKUP(G657,'附表8-合同明细采集底稿'!B:I,2,0))</f>
        <v>沁春景苑幼儿园室外工程</v>
      </c>
      <c r="I657" s="165" t="str">
        <f>IF(G657="","",VLOOKUP(G657,'附表8-合同明细采集底稿'!B:I,3,0))</f>
        <v>其他合同</v>
      </c>
      <c r="J657" s="187" t="s">
        <v>4360</v>
      </c>
      <c r="K657" s="157" t="s">
        <v>2355</v>
      </c>
      <c r="L657" s="166" t="s">
        <v>4361</v>
      </c>
      <c r="M657" s="166" t="s">
        <v>4362</v>
      </c>
      <c r="N657" s="167">
        <v>100436.89</v>
      </c>
      <c r="O657" s="167">
        <v>103450</v>
      </c>
      <c r="P657" s="167">
        <v>100436.89</v>
      </c>
      <c r="Q657" s="167">
        <v>136033.207087379</v>
      </c>
      <c r="R657" s="167">
        <f t="shared" si="71"/>
        <v>236470.097087379</v>
      </c>
      <c r="S657" s="178">
        <f>IFERROR(VLOOKUP(G657,'附表8-合同明细采集底稿'!B:N,12,0),100%)</f>
        <v>0.338555832480367</v>
      </c>
      <c r="T657" s="167">
        <f t="shared" ref="T657:T674" si="82">ROUND(SUM(R657)*SUM(S657),2)</f>
        <v>80058.33</v>
      </c>
      <c r="U657" s="157" t="s">
        <v>3678</v>
      </c>
      <c r="V657" s="179" t="s">
        <v>375</v>
      </c>
      <c r="W657" s="180">
        <f>IF('附表1-面积统计表'!$D$29=0,"",IF(AND(V657="共同成本费用",Z657="总建筑面积法"),ROUND(T657/'附表1-面积统计表'!$D$29*'附表1-面积统计表'!$D$5,2),IF(AND(V657="共同成本费用",Z657="可售建筑面积法"),ROUND(T657/'附表1-面积统计表'!$F$29*'附表1-面积统计表'!$F$5,2),"请手工填写")))</f>
        <v>38785.3</v>
      </c>
      <c r="X657" s="180">
        <f>IF(SUM('附表1-面积统计表'!$D$6)=0,"",SUM(T657)-SUM(W657)-SUM(Y657))</f>
        <v>25661.43</v>
      </c>
      <c r="Y657" s="180">
        <f>IF(SUM('附表1-面积统计表'!$D$6)=0,SUM(T657)-SUM(W657),IF('附表1-面积统计表'!$D$29=0,"",IF(AND(V657="共同成本费用",Z657="总建筑面积法"),ROUND(T657/'附表1-面积统计表'!$D$29*'附表1-面积统计表'!$D$7,2),IF(AND(V657="共同成本费用",Z657="可售建筑面积法"),ROUND(T657/'附表1-面积统计表'!$F$29*'附表1-面积统计表'!$F$7,2),"请手工填写"))))</f>
        <v>15611.6</v>
      </c>
      <c r="Z657" s="183" t="s">
        <v>351</v>
      </c>
      <c r="AA657" s="157"/>
      <c r="AB657" s="184" t="s">
        <v>2319</v>
      </c>
      <c r="AC657" s="132">
        <f t="shared" si="79"/>
        <v>0</v>
      </c>
    </row>
    <row r="658" s="132" customFormat="1" ht="24" customHeight="1" spans="1:29">
      <c r="A658" s="150">
        <v>652</v>
      </c>
      <c r="B658" s="187" t="s">
        <v>4363</v>
      </c>
      <c r="C658" s="212" t="s">
        <v>4255</v>
      </c>
      <c r="D658" s="157" t="s">
        <v>2331</v>
      </c>
      <c r="E658" s="158" t="s">
        <v>3111</v>
      </c>
      <c r="F658" s="154" t="s">
        <v>4364</v>
      </c>
      <c r="G658" s="156" t="s">
        <v>4337</v>
      </c>
      <c r="H658" s="157" t="str">
        <f>IF(G658="","",VLOOKUP(G658,'附表8-合同明细采集底稿'!B:I,2,0))</f>
        <v>沁春锦苑人防车库移动电站设备采购安装工程安装合同</v>
      </c>
      <c r="I658" s="165" t="str">
        <f>IF(G658="","",VLOOKUP(G658,'附表8-合同明细采集底稿'!B:I,3,0))</f>
        <v>其他合同</v>
      </c>
      <c r="J658" s="187" t="s">
        <v>3665</v>
      </c>
      <c r="K658" s="157" t="s">
        <v>2355</v>
      </c>
      <c r="L658" s="166">
        <v>6500231130</v>
      </c>
      <c r="M658" s="166" t="s">
        <v>4365</v>
      </c>
      <c r="N658" s="167">
        <v>75688.07</v>
      </c>
      <c r="O658" s="167">
        <v>82500</v>
      </c>
      <c r="P658" s="167">
        <v>75688.07</v>
      </c>
      <c r="Q658" s="167"/>
      <c r="R658" s="167">
        <f t="shared" si="71"/>
        <v>75688.07</v>
      </c>
      <c r="S658" s="178">
        <f>IFERROR(VLOOKUP(G658,'附表8-合同明细采集底稿'!B:N,12,0),100%)</f>
        <v>0.109829243890136</v>
      </c>
      <c r="T658" s="167">
        <f t="shared" si="82"/>
        <v>8312.76</v>
      </c>
      <c r="U658" s="157" t="s">
        <v>3116</v>
      </c>
      <c r="V658" s="179" t="s">
        <v>374</v>
      </c>
      <c r="W658" s="181">
        <f t="shared" ref="W658:W663" si="83">ROUND(T658*0.8162,2)</f>
        <v>6784.87</v>
      </c>
      <c r="X658" s="181">
        <v>0</v>
      </c>
      <c r="Y658" s="181">
        <f t="shared" ref="Y658:Y663" si="84">T658-W658</f>
        <v>1527.89</v>
      </c>
      <c r="Z658" s="183" t="s">
        <v>2406</v>
      </c>
      <c r="AA658" s="157"/>
      <c r="AB658" s="184" t="s">
        <v>2319</v>
      </c>
      <c r="AC658" s="132">
        <f t="shared" si="79"/>
        <v>0</v>
      </c>
    </row>
    <row r="659" s="132" customFormat="1" ht="24" customHeight="1" spans="1:29">
      <c r="A659" s="150">
        <v>653</v>
      </c>
      <c r="B659" s="187" t="s">
        <v>4366</v>
      </c>
      <c r="C659" s="212" t="s">
        <v>4367</v>
      </c>
      <c r="D659" s="157" t="s">
        <v>2331</v>
      </c>
      <c r="E659" s="158" t="s">
        <v>3994</v>
      </c>
      <c r="F659" s="154" t="s">
        <v>4368</v>
      </c>
      <c r="G659" s="156" t="s">
        <v>4313</v>
      </c>
      <c r="H659" s="157" t="str">
        <f>IF(G659="","",VLOOKUP(G659,'附表8-合同明细采集底稿'!B:I,2,0))</f>
        <v>沁春锦苑18#、21#、22#楼、37#社区、地下车库及人防部分建设工程（37#社区）</v>
      </c>
      <c r="I659" s="165" t="str">
        <f>IF(G659="","",VLOOKUP(G659,'附表8-合同明细采集底稿'!B:I,3,0))</f>
        <v>建设工程合同</v>
      </c>
      <c r="J659" s="187" t="s">
        <v>151</v>
      </c>
      <c r="K659" s="157" t="s">
        <v>2355</v>
      </c>
      <c r="L659" s="166">
        <v>6500231130</v>
      </c>
      <c r="M659" s="166" t="s">
        <v>4369</v>
      </c>
      <c r="N659" s="167">
        <v>516945.87</v>
      </c>
      <c r="O659" s="167">
        <v>563471</v>
      </c>
      <c r="P659" s="167">
        <v>516945.87</v>
      </c>
      <c r="Q659" s="167"/>
      <c r="R659" s="167">
        <f t="shared" si="71"/>
        <v>516945.87</v>
      </c>
      <c r="S659" s="178">
        <f>IFERROR(VLOOKUP(G659,'附表8-合同明细采集底稿'!B:N,12,0),100%)</f>
        <v>0.338555832480367</v>
      </c>
      <c r="T659" s="167">
        <f t="shared" si="82"/>
        <v>175015.04</v>
      </c>
      <c r="U659" s="157" t="s">
        <v>3999</v>
      </c>
      <c r="V659" s="179" t="s">
        <v>375</v>
      </c>
      <c r="W659" s="180">
        <f>IF('附表1-面积统计表'!$D$29=0,"",IF(AND(V659="共同成本费用",Z659="总建筑面积法"),ROUND(T659/'附表1-面积统计表'!$D$29*'附表1-面积统计表'!$D$5,2),IF(AND(V659="共同成本费用",Z659="可售建筑面积法"),ROUND(T659/'附表1-面积统计表'!$F$29*'附表1-面积统计表'!$F$5,2),"请手工填写")))</f>
        <v>84788.32</v>
      </c>
      <c r="X659" s="180">
        <f>IF(SUM('附表1-面积统计表'!$D$6)=0,"",SUM(T659)-SUM(W659)-SUM(Y659))</f>
        <v>56098.29</v>
      </c>
      <c r="Y659" s="180">
        <f>IF(SUM('附表1-面积统计表'!$D$6)=0,SUM(T659)-SUM(W659),IF('附表1-面积统计表'!$D$29=0,"",IF(AND(V659="共同成本费用",Z659="总建筑面积法"),ROUND(T659/'附表1-面积统计表'!$D$29*'附表1-面积统计表'!$D$7,2),IF(AND(V659="共同成本费用",Z659="可售建筑面积法"),ROUND(T659/'附表1-面积统计表'!$F$29*'附表1-面积统计表'!$F$7,2),"请手工填写"))))</f>
        <v>34128.43</v>
      </c>
      <c r="Z659" s="183" t="s">
        <v>351</v>
      </c>
      <c r="AA659" s="157"/>
      <c r="AB659" s="184" t="s">
        <v>2319</v>
      </c>
      <c r="AC659" s="132">
        <f t="shared" si="79"/>
        <v>0</v>
      </c>
    </row>
    <row r="660" s="132" customFormat="1" ht="24" customHeight="1" spans="1:29">
      <c r="A660" s="150">
        <v>654</v>
      </c>
      <c r="B660" s="187" t="s">
        <v>4366</v>
      </c>
      <c r="C660" s="212" t="s">
        <v>4278</v>
      </c>
      <c r="D660" s="157" t="s">
        <v>2533</v>
      </c>
      <c r="E660" s="158" t="s">
        <v>2690</v>
      </c>
      <c r="F660" s="154" t="s">
        <v>4370</v>
      </c>
      <c r="G660" s="156" t="s">
        <v>3250</v>
      </c>
      <c r="H660" s="157" t="str">
        <f>IF(G660="","",VLOOKUP(G660,'附表8-合同明细采集底稿'!B:I,2,0))</f>
        <v>沁春锦苑32#33#34#楼外墙装修</v>
      </c>
      <c r="I660" s="165" t="str">
        <f>IF(G660="","",VLOOKUP(G660,'附表8-合同明细采集底稿'!B:I,3,0))</f>
        <v>建设工程合同</v>
      </c>
      <c r="J660" s="187" t="s">
        <v>3231</v>
      </c>
      <c r="K660" s="157" t="s">
        <v>2355</v>
      </c>
      <c r="L660" s="166">
        <v>6500231130</v>
      </c>
      <c r="M660" s="166" t="s">
        <v>4371</v>
      </c>
      <c r="N660" s="167">
        <v>66330.28</v>
      </c>
      <c r="O660" s="167">
        <v>72300</v>
      </c>
      <c r="P660" s="167">
        <v>66330.28</v>
      </c>
      <c r="Q660" s="167"/>
      <c r="R660" s="167">
        <f t="shared" si="71"/>
        <v>66330.28</v>
      </c>
      <c r="S660" s="178">
        <f>IFERROR(VLOOKUP(G660,'附表8-合同明细采集底稿'!B:N,12,0),100%)</f>
        <v>1</v>
      </c>
      <c r="T660" s="167">
        <f t="shared" si="82"/>
        <v>66330.28</v>
      </c>
      <c r="U660" s="157" t="s">
        <v>2405</v>
      </c>
      <c r="V660" s="179" t="s">
        <v>374</v>
      </c>
      <c r="W660" s="181">
        <v>0</v>
      </c>
      <c r="X660" s="181">
        <v>0</v>
      </c>
      <c r="Y660" s="181">
        <v>66330.28</v>
      </c>
      <c r="Z660" s="183" t="s">
        <v>2406</v>
      </c>
      <c r="AA660" s="157"/>
      <c r="AB660" s="184" t="s">
        <v>2319</v>
      </c>
      <c r="AC660" s="132">
        <f t="shared" si="79"/>
        <v>0</v>
      </c>
    </row>
    <row r="661" s="132" customFormat="1" ht="24" customHeight="1" spans="1:29">
      <c r="A661" s="150">
        <v>655</v>
      </c>
      <c r="B661" s="187" t="s">
        <v>4372</v>
      </c>
      <c r="C661" s="212" t="s">
        <v>4373</v>
      </c>
      <c r="D661" s="157" t="s">
        <v>2331</v>
      </c>
      <c r="E661" s="158" t="s">
        <v>3111</v>
      </c>
      <c r="F661" s="154" t="s">
        <v>4374</v>
      </c>
      <c r="G661" s="156" t="s">
        <v>3724</v>
      </c>
      <c r="H661" s="157" t="str">
        <f>IF(G661="","",VLOOKUP(G661,'附表8-合同明细采集底稿'!B:I,2,0))</f>
        <v>沁春锦苑项目人防门购置18#-21#</v>
      </c>
      <c r="I661" s="165" t="str">
        <f>IF(G661="","",VLOOKUP(G661,'附表8-合同明细采集底稿'!B:I,3,0))</f>
        <v>买卖合同</v>
      </c>
      <c r="J661" s="187" t="s">
        <v>3725</v>
      </c>
      <c r="K661" s="157" t="s">
        <v>2355</v>
      </c>
      <c r="L661" s="166">
        <v>6500231130</v>
      </c>
      <c r="M661" s="166" t="s">
        <v>4375</v>
      </c>
      <c r="N661" s="167">
        <v>139080</v>
      </c>
      <c r="O661" s="167">
        <v>151597.2</v>
      </c>
      <c r="P661" s="167">
        <v>139080</v>
      </c>
      <c r="Q661" s="167"/>
      <c r="R661" s="167">
        <f t="shared" si="71"/>
        <v>139080</v>
      </c>
      <c r="S661" s="178">
        <f>IFERROR(VLOOKUP(G661,'附表8-合同明细采集底稿'!B:N,12,0),100%)</f>
        <v>0.109829243890136</v>
      </c>
      <c r="T661" s="167">
        <f t="shared" si="82"/>
        <v>15275.05</v>
      </c>
      <c r="U661" s="157" t="s">
        <v>3116</v>
      </c>
      <c r="V661" s="179" t="s">
        <v>374</v>
      </c>
      <c r="W661" s="181">
        <f t="shared" si="83"/>
        <v>12467.5</v>
      </c>
      <c r="X661" s="181">
        <v>0</v>
      </c>
      <c r="Y661" s="181">
        <f t="shared" si="84"/>
        <v>2807.55</v>
      </c>
      <c r="Z661" s="183" t="s">
        <v>2406</v>
      </c>
      <c r="AA661" s="157"/>
      <c r="AB661" s="184" t="s">
        <v>2319</v>
      </c>
      <c r="AC661" s="132">
        <f t="shared" si="79"/>
        <v>0</v>
      </c>
    </row>
    <row r="662" s="132" customFormat="1" ht="24" customHeight="1" spans="1:29">
      <c r="A662" s="150">
        <v>656</v>
      </c>
      <c r="B662" s="187" t="s">
        <v>4372</v>
      </c>
      <c r="C662" s="212" t="s">
        <v>4373</v>
      </c>
      <c r="D662" s="157" t="s">
        <v>2331</v>
      </c>
      <c r="E662" s="158" t="s">
        <v>3111</v>
      </c>
      <c r="F662" s="154" t="s">
        <v>4374</v>
      </c>
      <c r="G662" s="156" t="s">
        <v>3724</v>
      </c>
      <c r="H662" s="157" t="str">
        <f>IF(G662="","",VLOOKUP(G662,'附表8-合同明细采集底稿'!B:I,2,0))</f>
        <v>沁春锦苑项目人防门购置18#-21#</v>
      </c>
      <c r="I662" s="165" t="str">
        <f>IF(G662="","",VLOOKUP(G662,'附表8-合同明细采集底稿'!B:I,3,0))</f>
        <v>买卖合同</v>
      </c>
      <c r="J662" s="187" t="s">
        <v>3725</v>
      </c>
      <c r="K662" s="157" t="s">
        <v>2355</v>
      </c>
      <c r="L662" s="166">
        <v>6500231130</v>
      </c>
      <c r="M662" s="166" t="s">
        <v>4376</v>
      </c>
      <c r="N662" s="167">
        <v>111418.41</v>
      </c>
      <c r="O662" s="167">
        <v>125902.8</v>
      </c>
      <c r="P662" s="167">
        <v>111418.41</v>
      </c>
      <c r="Q662" s="167"/>
      <c r="R662" s="167">
        <f t="shared" si="71"/>
        <v>111418.41</v>
      </c>
      <c r="S662" s="178">
        <f>IFERROR(VLOOKUP(G662,'附表8-合同明细采集底稿'!B:N,12,0),100%)</f>
        <v>0.109829243890136</v>
      </c>
      <c r="T662" s="167">
        <f t="shared" si="82"/>
        <v>12237</v>
      </c>
      <c r="U662" s="157" t="s">
        <v>3116</v>
      </c>
      <c r="V662" s="179" t="s">
        <v>374</v>
      </c>
      <c r="W662" s="181">
        <f t="shared" si="83"/>
        <v>9987.84</v>
      </c>
      <c r="X662" s="181">
        <v>0</v>
      </c>
      <c r="Y662" s="181">
        <f t="shared" si="84"/>
        <v>2249.16</v>
      </c>
      <c r="Z662" s="183" t="s">
        <v>2406</v>
      </c>
      <c r="AA662" s="157"/>
      <c r="AB662" s="184" t="s">
        <v>2319</v>
      </c>
      <c r="AC662" s="132">
        <f t="shared" si="79"/>
        <v>0</v>
      </c>
    </row>
    <row r="663" s="132" customFormat="1" ht="24" customHeight="1" spans="1:29">
      <c r="A663" s="150">
        <v>657</v>
      </c>
      <c r="B663" s="187" t="s">
        <v>4372</v>
      </c>
      <c r="C663" s="212" t="s">
        <v>4377</v>
      </c>
      <c r="D663" s="157" t="s">
        <v>2331</v>
      </c>
      <c r="E663" s="158" t="s">
        <v>3111</v>
      </c>
      <c r="F663" s="154" t="s">
        <v>4378</v>
      </c>
      <c r="G663" s="156" t="s">
        <v>4379</v>
      </c>
      <c r="H663" s="157" t="str">
        <f>IF(G663="","",VLOOKUP(G663,'附表8-合同明细采集底稿'!B:I,2,0))</f>
        <v>沁春锦苑灯布，门牌，标识牌制作及安装费</v>
      </c>
      <c r="I663" s="165" t="str">
        <f>IF(G663="","",VLOOKUP(G663,'附表8-合同明细采集底稿'!B:I,3,0))</f>
        <v>买卖合同</v>
      </c>
      <c r="J663" s="187" t="s">
        <v>3129</v>
      </c>
      <c r="K663" s="157" t="s">
        <v>2355</v>
      </c>
      <c r="L663" s="166">
        <v>6500233130</v>
      </c>
      <c r="M663" s="166" t="s">
        <v>4380</v>
      </c>
      <c r="N663" s="167">
        <v>72815.54</v>
      </c>
      <c r="O663" s="167">
        <v>75000</v>
      </c>
      <c r="P663" s="167">
        <v>72815.54</v>
      </c>
      <c r="Q663" s="167">
        <v>53084.87</v>
      </c>
      <c r="R663" s="167">
        <f t="shared" si="71"/>
        <v>125900.41</v>
      </c>
      <c r="S663" s="178">
        <f>IFERROR(VLOOKUP(G663,'附表8-合同明细采集底稿'!B:N,12,0),100%)</f>
        <v>0.109829243890136</v>
      </c>
      <c r="T663" s="167">
        <f t="shared" si="82"/>
        <v>13827.55</v>
      </c>
      <c r="U663" s="157" t="s">
        <v>3116</v>
      </c>
      <c r="V663" s="179" t="s">
        <v>374</v>
      </c>
      <c r="W663" s="181">
        <f t="shared" si="83"/>
        <v>11286.05</v>
      </c>
      <c r="X663" s="181">
        <v>0</v>
      </c>
      <c r="Y663" s="181">
        <f t="shared" si="84"/>
        <v>2541.5</v>
      </c>
      <c r="Z663" s="183" t="s">
        <v>2406</v>
      </c>
      <c r="AA663" s="157"/>
      <c r="AB663" s="184" t="s">
        <v>2319</v>
      </c>
      <c r="AC663" s="132">
        <f t="shared" si="79"/>
        <v>0</v>
      </c>
    </row>
    <row r="664" s="132" customFormat="1" ht="24" customHeight="1" spans="1:29">
      <c r="A664" s="150">
        <v>658</v>
      </c>
      <c r="B664" s="187" t="s">
        <v>4381</v>
      </c>
      <c r="C664" s="212" t="s">
        <v>4382</v>
      </c>
      <c r="D664" s="157" t="s">
        <v>2331</v>
      </c>
      <c r="E664" s="158" t="s">
        <v>3994</v>
      </c>
      <c r="F664" s="154" t="s">
        <v>4383</v>
      </c>
      <c r="G664" s="156" t="s">
        <v>4384</v>
      </c>
      <c r="H664" s="157" t="str">
        <f>IF(G664="","",VLOOKUP(G664,'附表8-合同明细采集底稿'!B:I,2,0))</f>
        <v>37#楼竣工测</v>
      </c>
      <c r="I664" s="165" t="str">
        <f>IF(G664="","",VLOOKUP(G664,'附表8-合同明细采集底稿'!B:I,3,0))</f>
        <v>技术合同</v>
      </c>
      <c r="J664" s="187" t="s">
        <v>4385</v>
      </c>
      <c r="K664" s="157" t="s">
        <v>2355</v>
      </c>
      <c r="L664" s="166">
        <v>6500231130</v>
      </c>
      <c r="M664" s="166" t="s">
        <v>4386</v>
      </c>
      <c r="N664" s="167">
        <v>3752.83</v>
      </c>
      <c r="O664" s="167">
        <v>3978</v>
      </c>
      <c r="P664" s="167">
        <v>3752.83</v>
      </c>
      <c r="Q664" s="167"/>
      <c r="R664" s="167">
        <f t="shared" si="71"/>
        <v>3752.83</v>
      </c>
      <c r="S664" s="178">
        <f>IFERROR(VLOOKUP(G664,'附表8-合同明细采集底稿'!B:N,12,0),100%)</f>
        <v>0.338555832480367</v>
      </c>
      <c r="T664" s="167">
        <f t="shared" si="82"/>
        <v>1270.54</v>
      </c>
      <c r="U664" s="157" t="s">
        <v>3999</v>
      </c>
      <c r="V664" s="179" t="s">
        <v>375</v>
      </c>
      <c r="W664" s="180">
        <f>IF('附表1-面积统计表'!$D$29=0,"",IF(AND(V664="共同成本费用",Z664="总建筑面积法"),ROUND(T664/'附表1-面积统计表'!$D$29*'附表1-面积统计表'!$D$5,2),IF(AND(V664="共同成本费用",Z664="可售建筑面积法"),ROUND(T664/'附表1-面积统计表'!$F$29*'附表1-面积统计表'!$F$5,2),"请手工填写")))</f>
        <v>615.53</v>
      </c>
      <c r="X664" s="180">
        <f>IF(SUM('附表1-面积统计表'!$D$6)=0,"",SUM(T664)-SUM(W664)-SUM(Y664))</f>
        <v>407.25</v>
      </c>
      <c r="Y664" s="180">
        <f>IF(SUM('附表1-面积统计表'!$D$6)=0,SUM(T664)-SUM(W664),IF('附表1-面积统计表'!$D$29=0,"",IF(AND(V664="共同成本费用",Z664="总建筑面积法"),ROUND(T664/'附表1-面积统计表'!$D$29*'附表1-面积统计表'!$D$7,2),IF(AND(V664="共同成本费用",Z664="可售建筑面积法"),ROUND(T664/'附表1-面积统计表'!$F$29*'附表1-面积统计表'!$F$7,2),"请手工填写"))))</f>
        <v>247.76</v>
      </c>
      <c r="Z664" s="183" t="s">
        <v>351</v>
      </c>
      <c r="AA664" s="157"/>
      <c r="AB664" s="184" t="s">
        <v>2319</v>
      </c>
      <c r="AC664" s="132">
        <f t="shared" si="79"/>
        <v>0</v>
      </c>
    </row>
    <row r="665" s="132" customFormat="1" ht="24" customHeight="1" spans="1:29">
      <c r="A665" s="150">
        <v>659</v>
      </c>
      <c r="B665" s="187" t="s">
        <v>4387</v>
      </c>
      <c r="C665" s="212" t="s">
        <v>4388</v>
      </c>
      <c r="D665" s="157" t="s">
        <v>2331</v>
      </c>
      <c r="E665" s="158" t="s">
        <v>3994</v>
      </c>
      <c r="F665" s="154" t="s">
        <v>4389</v>
      </c>
      <c r="G665" s="156"/>
      <c r="H665" s="157" t="str">
        <f>IF(G665="","",VLOOKUP(G665,'附表8-合同明细采集底稿'!B:I,2,0))</f>
        <v/>
      </c>
      <c r="I665" s="165" t="str">
        <f>IF(G665="","",VLOOKUP(G665,'附表8-合同明细采集底稿'!B:I,3,0))</f>
        <v/>
      </c>
      <c r="J665" s="187" t="s">
        <v>4175</v>
      </c>
      <c r="K665" s="157" t="s">
        <v>2355</v>
      </c>
      <c r="L665" s="166">
        <v>6500231130</v>
      </c>
      <c r="M665" s="166" t="s">
        <v>4390</v>
      </c>
      <c r="N665" s="167">
        <v>819.8</v>
      </c>
      <c r="O665" s="167">
        <v>828</v>
      </c>
      <c r="P665" s="167">
        <v>819.8</v>
      </c>
      <c r="Q665" s="167"/>
      <c r="R665" s="167">
        <f t="shared" si="71"/>
        <v>819.8</v>
      </c>
      <c r="S665" s="178">
        <v>0.338555832480367</v>
      </c>
      <c r="T665" s="167">
        <f t="shared" si="82"/>
        <v>277.55</v>
      </c>
      <c r="U665" s="157" t="s">
        <v>3999</v>
      </c>
      <c r="V665" s="179" t="s">
        <v>375</v>
      </c>
      <c r="W665" s="180">
        <f>IF('附表1-面积统计表'!$D$29=0,"",IF(AND(V665="共同成本费用",Z665="总建筑面积法"),ROUND(T665/'附表1-面积统计表'!$D$29*'附表1-面积统计表'!$D$5,2),IF(AND(V665="共同成本费用",Z665="可售建筑面积法"),ROUND(T665/'附表1-面积统计表'!$F$29*'附表1-面积统计表'!$F$5,2),"请手工填写")))</f>
        <v>134.46</v>
      </c>
      <c r="X665" s="180">
        <f>IF(SUM('附表1-面积统计表'!$D$6)=0,"",SUM(T665)-SUM(W665)-SUM(Y665))</f>
        <v>88.97</v>
      </c>
      <c r="Y665" s="180">
        <f>IF(SUM('附表1-面积统计表'!$D$6)=0,SUM(T665)-SUM(W665),IF('附表1-面积统计表'!$D$29=0,"",IF(AND(V665="共同成本费用",Z665="总建筑面积法"),ROUND(T665/'附表1-面积统计表'!$D$29*'附表1-面积统计表'!$D$7,2),IF(AND(V665="共同成本费用",Z665="可售建筑面积法"),ROUND(T665/'附表1-面积统计表'!$F$29*'附表1-面积统计表'!$F$7,2),"请手工填写"))))</f>
        <v>54.12</v>
      </c>
      <c r="Z665" s="183" t="s">
        <v>351</v>
      </c>
      <c r="AA665" s="157"/>
      <c r="AB665" s="184" t="s">
        <v>2319</v>
      </c>
      <c r="AC665" s="132">
        <f t="shared" si="79"/>
        <v>0</v>
      </c>
    </row>
    <row r="666" s="132" customFormat="1" ht="24" customHeight="1" spans="1:29">
      <c r="A666" s="150">
        <v>660</v>
      </c>
      <c r="B666" s="187" t="s">
        <v>4391</v>
      </c>
      <c r="C666" s="212" t="s">
        <v>4392</v>
      </c>
      <c r="D666" s="157" t="s">
        <v>2331</v>
      </c>
      <c r="E666" s="158" t="s">
        <v>3994</v>
      </c>
      <c r="F666" s="154" t="s">
        <v>4393</v>
      </c>
      <c r="G666" s="156" t="s">
        <v>4313</v>
      </c>
      <c r="H666" s="157" t="str">
        <f>IF(G666="","",VLOOKUP(G666,'附表8-合同明细采集底稿'!B:I,2,0))</f>
        <v>沁春锦苑18#、21#、22#楼、37#社区、地下车库及人防部分建设工程（37#社区）</v>
      </c>
      <c r="I666" s="165" t="str">
        <f>IF(G666="","",VLOOKUP(G666,'附表8-合同明细采集底稿'!B:I,3,0))</f>
        <v>建设工程合同</v>
      </c>
      <c r="J666" s="187" t="s">
        <v>151</v>
      </c>
      <c r="K666" s="157" t="s">
        <v>2355</v>
      </c>
      <c r="L666" s="166">
        <v>6500231130</v>
      </c>
      <c r="M666" s="166" t="s">
        <v>4394</v>
      </c>
      <c r="N666" s="167">
        <v>363288.07</v>
      </c>
      <c r="O666" s="167">
        <v>395984</v>
      </c>
      <c r="P666" s="167">
        <v>363288.07</v>
      </c>
      <c r="Q666" s="167"/>
      <c r="R666" s="167">
        <f t="shared" ref="R666:R729" si="85">P666+Q666</f>
        <v>363288.07</v>
      </c>
      <c r="S666" s="178">
        <f>IFERROR(VLOOKUP(G666,'附表8-合同明细采集底稿'!B:N,12,0),100%)</f>
        <v>0.338555832480367</v>
      </c>
      <c r="T666" s="167">
        <f t="shared" si="82"/>
        <v>122993.29</v>
      </c>
      <c r="U666" s="157" t="s">
        <v>3999</v>
      </c>
      <c r="V666" s="179" t="s">
        <v>375</v>
      </c>
      <c r="W666" s="180">
        <f>IF('附表1-面积统计表'!$D$29=0,"",IF(AND(V666="共同成本费用",Z666="总建筑面积法"),ROUND(T666/'附表1-面积统计表'!$D$29*'附表1-面积统计表'!$D$5,2),IF(AND(V666="共同成本费用",Z666="可售建筑面积法"),ROUND(T666/'附表1-面积统计表'!$F$29*'附表1-面积统计表'!$F$5,2),"请手工填写")))</f>
        <v>59585.71</v>
      </c>
      <c r="X666" s="180">
        <f>IF(SUM('附表1-面积统计表'!$D$6)=0,"",SUM(T666)-SUM(W666)-SUM(Y666))</f>
        <v>39423.54</v>
      </c>
      <c r="Y666" s="180">
        <f>IF(SUM('附表1-面积统计表'!$D$6)=0,SUM(T666)-SUM(W666),IF('附表1-面积统计表'!$D$29=0,"",IF(AND(V666="共同成本费用",Z666="总建筑面积法"),ROUND(T666/'附表1-面积统计表'!$D$29*'附表1-面积统计表'!$D$7,2),IF(AND(V666="共同成本费用",Z666="可售建筑面积法"),ROUND(T666/'附表1-面积统计表'!$F$29*'附表1-面积统计表'!$F$7,2),"请手工填写"))))</f>
        <v>23984.04</v>
      </c>
      <c r="Z666" s="183" t="s">
        <v>351</v>
      </c>
      <c r="AA666" s="157"/>
      <c r="AB666" s="184" t="s">
        <v>2319</v>
      </c>
      <c r="AC666" s="132">
        <f t="shared" si="79"/>
        <v>0</v>
      </c>
    </row>
    <row r="667" s="132" customFormat="1" ht="24" customHeight="1" spans="1:29">
      <c r="A667" s="150">
        <v>661</v>
      </c>
      <c r="B667" s="187" t="s">
        <v>4395</v>
      </c>
      <c r="C667" s="212" t="s">
        <v>4377</v>
      </c>
      <c r="D667" s="157" t="s">
        <v>2331</v>
      </c>
      <c r="E667" s="158" t="s">
        <v>3111</v>
      </c>
      <c r="F667" s="154" t="s">
        <v>4396</v>
      </c>
      <c r="G667" s="156" t="s">
        <v>3113</v>
      </c>
      <c r="H667" s="157" t="str">
        <f>IF(G667="","",VLOOKUP(G667,'附表8-合同明细采集底稿'!B:I,2,0))</f>
        <v>建设工程设计合同（民用建设工程设计合同）</v>
      </c>
      <c r="I667" s="165" t="str">
        <f>IF(G667="","",VLOOKUP(G667,'附表8-合同明细采集底稿'!B:I,3,0))</f>
        <v>技术合同</v>
      </c>
      <c r="J667" s="187" t="s">
        <v>3114</v>
      </c>
      <c r="K667" s="157" t="s">
        <v>2355</v>
      </c>
      <c r="L667" s="166" t="s">
        <v>4397</v>
      </c>
      <c r="M667" s="166" t="s">
        <v>4398</v>
      </c>
      <c r="N667" s="167">
        <v>39829.21</v>
      </c>
      <c r="O667" s="167">
        <v>42218.96</v>
      </c>
      <c r="P667" s="167">
        <v>39829.21</v>
      </c>
      <c r="Q667" s="167">
        <v>-12885.81</v>
      </c>
      <c r="R667" s="167">
        <f t="shared" si="85"/>
        <v>26943.4</v>
      </c>
      <c r="S667" s="178">
        <f>IFERROR(VLOOKUP(G667,'附表8-合同明细采集底稿'!B:N,12,0),100%)</f>
        <v>0.109829243890136</v>
      </c>
      <c r="T667" s="167">
        <f t="shared" si="82"/>
        <v>2959.17</v>
      </c>
      <c r="U667" s="157" t="s">
        <v>3116</v>
      </c>
      <c r="V667" s="179" t="s">
        <v>374</v>
      </c>
      <c r="W667" s="181">
        <f>ROUND(T667*0.8162,2)</f>
        <v>2415.27</v>
      </c>
      <c r="X667" s="181">
        <v>0</v>
      </c>
      <c r="Y667" s="181">
        <f>T667-W667</f>
        <v>543.9</v>
      </c>
      <c r="Z667" s="183" t="s">
        <v>2406</v>
      </c>
      <c r="AA667" s="157"/>
      <c r="AB667" s="184" t="s">
        <v>2319</v>
      </c>
      <c r="AC667" s="132">
        <f t="shared" si="79"/>
        <v>0</v>
      </c>
    </row>
    <row r="668" s="132" customFormat="1" ht="24" customHeight="1" spans="1:29">
      <c r="A668" s="150">
        <v>662</v>
      </c>
      <c r="B668" s="187" t="s">
        <v>4399</v>
      </c>
      <c r="C668" s="212" t="s">
        <v>4400</v>
      </c>
      <c r="D668" s="157" t="s">
        <v>2331</v>
      </c>
      <c r="E668" s="158" t="s">
        <v>3994</v>
      </c>
      <c r="F668" s="154" t="s">
        <v>4401</v>
      </c>
      <c r="G668" s="156"/>
      <c r="H668" s="157" t="str">
        <f>IF(G668="","",VLOOKUP(G668,'附表8-合同明细采集底稿'!B:I,2,0))</f>
        <v/>
      </c>
      <c r="I668" s="165" t="str">
        <f>IF(G668="","",VLOOKUP(G668,'附表8-合同明细采集底稿'!B:I,3,0))</f>
        <v/>
      </c>
      <c r="J668" s="187" t="s">
        <v>2999</v>
      </c>
      <c r="K668" s="157" t="s">
        <v>2355</v>
      </c>
      <c r="L668" s="166">
        <v>6500183130</v>
      </c>
      <c r="M668" s="166" t="s">
        <v>4402</v>
      </c>
      <c r="N668" s="167">
        <v>38834.95</v>
      </c>
      <c r="O668" s="167">
        <v>40000</v>
      </c>
      <c r="P668" s="167">
        <v>38834.95</v>
      </c>
      <c r="Q668" s="167"/>
      <c r="R668" s="167">
        <f t="shared" si="85"/>
        <v>38834.95</v>
      </c>
      <c r="S668" s="178">
        <v>0.338555832480367</v>
      </c>
      <c r="T668" s="167">
        <f t="shared" si="82"/>
        <v>13147.8</v>
      </c>
      <c r="U668" s="157" t="s">
        <v>3999</v>
      </c>
      <c r="V668" s="179" t="s">
        <v>375</v>
      </c>
      <c r="W668" s="180">
        <f>IF('附表1-面积统计表'!$D$29=0,"",IF(AND(V668="共同成本费用",Z668="总建筑面积法"),ROUND(T668/'附表1-面积统计表'!$D$29*'附表1-面积统计表'!$D$5,2),IF(AND(V668="共同成本费用",Z668="可售建筑面积法"),ROUND(T668/'附表1-面积统计表'!$F$29*'附表1-面积统计表'!$F$5,2),"请手工填写")))</f>
        <v>6369.62</v>
      </c>
      <c r="X668" s="180">
        <f>IF(SUM('附表1-面积统计表'!$D$6)=0,"",SUM(T668)-SUM(W668)-SUM(Y668))</f>
        <v>4214.32</v>
      </c>
      <c r="Y668" s="180">
        <f>IF(SUM('附表1-面积统计表'!$D$6)=0,SUM(T668)-SUM(W668),IF('附表1-面积统计表'!$D$29=0,"",IF(AND(V668="共同成本费用",Z668="总建筑面积法"),ROUND(T668/'附表1-面积统计表'!$D$29*'附表1-面积统计表'!$D$7,2),IF(AND(V668="共同成本费用",Z668="可售建筑面积法"),ROUND(T668/'附表1-面积统计表'!$F$29*'附表1-面积统计表'!$F$7,2),"请手工填写"))))</f>
        <v>2563.86</v>
      </c>
      <c r="Z668" s="183" t="s">
        <v>351</v>
      </c>
      <c r="AA668" s="157"/>
      <c r="AB668" s="184" t="s">
        <v>2319</v>
      </c>
      <c r="AC668" s="132">
        <f t="shared" si="79"/>
        <v>0</v>
      </c>
    </row>
    <row r="669" s="132" customFormat="1" ht="24" customHeight="1" spans="1:29">
      <c r="A669" s="150">
        <v>663</v>
      </c>
      <c r="B669" s="187" t="s">
        <v>4403</v>
      </c>
      <c r="C669" s="212" t="s">
        <v>4404</v>
      </c>
      <c r="D669" s="157" t="s">
        <v>2331</v>
      </c>
      <c r="E669" s="158" t="s">
        <v>3544</v>
      </c>
      <c r="F669" s="154" t="s">
        <v>4405</v>
      </c>
      <c r="G669" s="156" t="s">
        <v>4069</v>
      </c>
      <c r="H669" s="157" t="str">
        <f>IF(G669="","",VLOOKUP(G669,'附表8-合同明细采集底稿'!B:I,2,0))</f>
        <v>幼儿园电梯销售安装合同（31#楼）</v>
      </c>
      <c r="I669" s="165" t="str">
        <f>IF(G669="","",VLOOKUP(G669,'附表8-合同明细采集底稿'!B:I,3,0))</f>
        <v>买卖合同</v>
      </c>
      <c r="J669" s="187" t="s">
        <v>2999</v>
      </c>
      <c r="K669" s="157" t="s">
        <v>2317</v>
      </c>
      <c r="L669" s="168"/>
      <c r="M669" s="166"/>
      <c r="N669" s="167">
        <v>0</v>
      </c>
      <c r="O669" s="167">
        <v>0</v>
      </c>
      <c r="P669" s="167">
        <v>0.01</v>
      </c>
      <c r="Q669" s="167"/>
      <c r="R669" s="167">
        <f t="shared" si="85"/>
        <v>0.01</v>
      </c>
      <c r="S669" s="178">
        <f>IFERROR(VLOOKUP(G669,'附表8-合同明细采集底稿'!B:N,12,0),100%)</f>
        <v>0.338555832480367</v>
      </c>
      <c r="T669" s="167">
        <f t="shared" si="82"/>
        <v>0</v>
      </c>
      <c r="U669" s="157" t="s">
        <v>3678</v>
      </c>
      <c r="V669" s="179" t="s">
        <v>375</v>
      </c>
      <c r="W669" s="180">
        <f>IF('附表1-面积统计表'!$D$29=0,"",IF(AND(V669="共同成本费用",Z669="总建筑面积法"),ROUND(T669/'附表1-面积统计表'!$D$29*'附表1-面积统计表'!$D$5,2),IF(AND(V669="共同成本费用",Z669="可售建筑面积法"),ROUND(T669/'附表1-面积统计表'!$F$29*'附表1-面积统计表'!$F$5,2),"请手工填写")))</f>
        <v>0</v>
      </c>
      <c r="X669" s="180">
        <f>IF(SUM('附表1-面积统计表'!$D$6)=0,"",SUM(T669)-SUM(W669)-SUM(Y669))</f>
        <v>0</v>
      </c>
      <c r="Y669" s="180">
        <f>IF(SUM('附表1-面积统计表'!$D$6)=0,SUM(T669)-SUM(W669),IF('附表1-面积统计表'!$D$29=0,"",IF(AND(V669="共同成本费用",Z669="总建筑面积法"),ROUND(T669/'附表1-面积统计表'!$D$29*'附表1-面积统计表'!$D$7,2),IF(AND(V669="共同成本费用",Z669="可售建筑面积法"),ROUND(T669/'附表1-面积统计表'!$F$29*'附表1-面积统计表'!$F$7,2),"请手工填写"))))</f>
        <v>0</v>
      </c>
      <c r="Z669" s="183" t="s">
        <v>351</v>
      </c>
      <c r="AA669" s="157"/>
      <c r="AB669" s="184" t="s">
        <v>2319</v>
      </c>
      <c r="AC669" s="132">
        <f t="shared" si="79"/>
        <v>0</v>
      </c>
    </row>
    <row r="670" s="132" customFormat="1" ht="24" customHeight="1" spans="1:29">
      <c r="A670" s="150">
        <v>664</v>
      </c>
      <c r="B670" s="187" t="s">
        <v>4406</v>
      </c>
      <c r="C670" s="212" t="s">
        <v>4407</v>
      </c>
      <c r="D670" s="157" t="s">
        <v>2331</v>
      </c>
      <c r="E670" s="158" t="s">
        <v>3994</v>
      </c>
      <c r="F670" s="154" t="s">
        <v>4408</v>
      </c>
      <c r="G670" s="156" t="s">
        <v>4313</v>
      </c>
      <c r="H670" s="157" t="str">
        <f>IF(G670="","",VLOOKUP(G670,'附表8-合同明细采集底稿'!B:I,2,0))</f>
        <v>沁春锦苑18#、21#、22#楼、37#社区、地下车库及人防部分建设工程（37#社区）</v>
      </c>
      <c r="I670" s="165" t="str">
        <f>IF(G670="","",VLOOKUP(G670,'附表8-合同明细采集底稿'!B:I,3,0))</f>
        <v>建设工程合同</v>
      </c>
      <c r="J670" s="187" t="s">
        <v>151</v>
      </c>
      <c r="K670" s="157" t="s">
        <v>2355</v>
      </c>
      <c r="L670" s="166" t="s">
        <v>4409</v>
      </c>
      <c r="M670" s="166" t="s">
        <v>4410</v>
      </c>
      <c r="N670" s="167">
        <v>266020.18</v>
      </c>
      <c r="O670" s="167">
        <v>289962</v>
      </c>
      <c r="P670" s="167">
        <v>266020.18</v>
      </c>
      <c r="Q670" s="167">
        <v>1126521.88073394</v>
      </c>
      <c r="R670" s="167">
        <f t="shared" si="85"/>
        <v>1392542.06073394</v>
      </c>
      <c r="S670" s="178">
        <f>IFERROR(VLOOKUP(G670,'附表8-合同明细采集底稿'!B:N,12,0),100%)</f>
        <v>0.338555832480367</v>
      </c>
      <c r="T670" s="167">
        <f t="shared" si="82"/>
        <v>471453.24</v>
      </c>
      <c r="U670" s="157" t="s">
        <v>3999</v>
      </c>
      <c r="V670" s="179" t="s">
        <v>375</v>
      </c>
      <c r="W670" s="180">
        <f>IF('附表1-面积统计表'!$D$29=0,"",IF(AND(V670="共同成本费用",Z670="总建筑面积法"),ROUND(T670/'附表1-面积统计表'!$D$29*'附表1-面积统计表'!$D$5,2),IF(AND(V670="共同成本费用",Z670="可售建筑面积法"),ROUND(T670/'附表1-面积统计表'!$F$29*'附表1-面积统计表'!$F$5,2),"请手工填写")))</f>
        <v>228401.69</v>
      </c>
      <c r="X670" s="180">
        <f>IF(SUM('附表1-面积统计表'!$D$6)=0,"",SUM(T670)-SUM(W670)-SUM(Y670))</f>
        <v>151116.84</v>
      </c>
      <c r="Y670" s="180">
        <f>IF(SUM('附表1-面积统计表'!$D$6)=0,SUM(T670)-SUM(W670),IF('附表1-面积统计表'!$D$29=0,"",IF(AND(V670="共同成本费用",Z670="总建筑面积法"),ROUND(T670/'附表1-面积统计表'!$D$29*'附表1-面积统计表'!$D$7,2),IF(AND(V670="共同成本费用",Z670="可售建筑面积法"),ROUND(T670/'附表1-面积统计表'!$F$29*'附表1-面积统计表'!$F$7,2),"请手工填写"))))</f>
        <v>91934.71</v>
      </c>
      <c r="Z670" s="183" t="s">
        <v>351</v>
      </c>
      <c r="AA670" s="157"/>
      <c r="AB670" s="184" t="s">
        <v>2319</v>
      </c>
      <c r="AC670" s="132">
        <f t="shared" si="79"/>
        <v>0</v>
      </c>
    </row>
    <row r="671" s="132" customFormat="1" ht="24" customHeight="1" spans="1:29">
      <c r="A671" s="150">
        <v>665</v>
      </c>
      <c r="B671" s="187" t="s">
        <v>4406</v>
      </c>
      <c r="C671" s="212" t="s">
        <v>4263</v>
      </c>
      <c r="D671" s="157" t="s">
        <v>2331</v>
      </c>
      <c r="E671" s="158" t="s">
        <v>3994</v>
      </c>
      <c r="F671" s="154" t="s">
        <v>4411</v>
      </c>
      <c r="G671" s="156" t="s">
        <v>4412</v>
      </c>
      <c r="H671" s="157" t="str">
        <f>IF(G671="","",VLOOKUP(G671,'附表8-合同明细采集底稿'!B:I,2,0))</f>
        <v>建设工程监理合同</v>
      </c>
      <c r="I671" s="165" t="str">
        <f>IF(G671="","",VLOOKUP(G671,'附表8-合同明细采集底稿'!B:I,3,0))</f>
        <v>技术合同</v>
      </c>
      <c r="J671" s="187" t="s">
        <v>3428</v>
      </c>
      <c r="K671" s="157" t="s">
        <v>2355</v>
      </c>
      <c r="L671" s="168"/>
      <c r="M671" s="166" t="s">
        <v>4413</v>
      </c>
      <c r="N671" s="167">
        <v>14069.03</v>
      </c>
      <c r="O671" s="167">
        <v>14913.17</v>
      </c>
      <c r="P671" s="167">
        <v>14069.03</v>
      </c>
      <c r="Q671" s="167"/>
      <c r="R671" s="167">
        <f t="shared" si="85"/>
        <v>14069.03</v>
      </c>
      <c r="S671" s="178">
        <f>IFERROR(VLOOKUP(G671,'附表8-合同明细采集底稿'!B:N,12,0),100%)</f>
        <v>0.338555832480367</v>
      </c>
      <c r="T671" s="167">
        <f t="shared" si="82"/>
        <v>4763.15</v>
      </c>
      <c r="U671" s="157" t="s">
        <v>3999</v>
      </c>
      <c r="V671" s="179" t="s">
        <v>375</v>
      </c>
      <c r="W671" s="180">
        <f>IF('附表1-面积统计表'!$D$29=0,"",IF(AND(V671="共同成本费用",Z671="总建筑面积法"),ROUND(T671/'附表1-面积统计表'!$D$29*'附表1-面积统计表'!$D$5,2),IF(AND(V671="共同成本费用",Z671="可售建筑面积法"),ROUND(T671/'附表1-面积统计表'!$F$29*'附表1-面积统计表'!$F$5,2),"请手工填写")))</f>
        <v>2307.57</v>
      </c>
      <c r="X671" s="180">
        <f>IF(SUM('附表1-面积统计表'!$D$6)=0,"",SUM(T671)-SUM(W671)-SUM(Y671))</f>
        <v>1526.75</v>
      </c>
      <c r="Y671" s="180">
        <f>IF(SUM('附表1-面积统计表'!$D$6)=0,SUM(T671)-SUM(W671),IF('附表1-面积统计表'!$D$29=0,"",IF(AND(V671="共同成本费用",Z671="总建筑面积法"),ROUND(T671/'附表1-面积统计表'!$D$29*'附表1-面积统计表'!$D$7,2),IF(AND(V671="共同成本费用",Z671="可售建筑面积法"),ROUND(T671/'附表1-面积统计表'!$F$29*'附表1-面积统计表'!$F$7,2),"请手工填写"))))</f>
        <v>928.83</v>
      </c>
      <c r="Z671" s="183" t="s">
        <v>351</v>
      </c>
      <c r="AA671" s="157"/>
      <c r="AB671" s="184" t="s">
        <v>2319</v>
      </c>
      <c r="AC671" s="132">
        <f t="shared" si="79"/>
        <v>0</v>
      </c>
    </row>
    <row r="672" s="132" customFormat="1" ht="24" customHeight="1" spans="1:29">
      <c r="A672" s="150">
        <v>666</v>
      </c>
      <c r="B672" s="187" t="s">
        <v>4406</v>
      </c>
      <c r="C672" s="212" t="s">
        <v>4263</v>
      </c>
      <c r="D672" s="157" t="s">
        <v>2331</v>
      </c>
      <c r="E672" s="158" t="s">
        <v>3111</v>
      </c>
      <c r="F672" s="154" t="s">
        <v>4411</v>
      </c>
      <c r="G672" s="156" t="s">
        <v>4414</v>
      </c>
      <c r="H672" s="157" t="str">
        <f>IF(G672="","",VLOOKUP(G672,'附表8-合同明细采集底稿'!B:I,2,0))</f>
        <v>建设工程监理合同</v>
      </c>
      <c r="I672" s="165" t="str">
        <f>IF(G672="","",VLOOKUP(G672,'附表8-合同明细采集底稿'!B:I,3,0))</f>
        <v>技术合同</v>
      </c>
      <c r="J672" s="187" t="s">
        <v>3428</v>
      </c>
      <c r="K672" s="157" t="s">
        <v>2355</v>
      </c>
      <c r="L672" s="168"/>
      <c r="M672" s="166" t="s">
        <v>4413</v>
      </c>
      <c r="N672" s="167">
        <v>44773.42</v>
      </c>
      <c r="O672" s="167">
        <v>47459.83</v>
      </c>
      <c r="P672" s="167">
        <v>44773.42</v>
      </c>
      <c r="Q672" s="167"/>
      <c r="R672" s="167">
        <f t="shared" si="85"/>
        <v>44773.42</v>
      </c>
      <c r="S672" s="178">
        <f>IFERROR(VLOOKUP(G672,'附表8-合同明细采集底稿'!B:N,12,0),100%)</f>
        <v>0.109829243890136</v>
      </c>
      <c r="T672" s="167">
        <f t="shared" si="82"/>
        <v>4917.43</v>
      </c>
      <c r="U672" s="157" t="s">
        <v>3116</v>
      </c>
      <c r="V672" s="179" t="s">
        <v>374</v>
      </c>
      <c r="W672" s="181">
        <f>ROUND(T672*0.8162,2)</f>
        <v>4013.61</v>
      </c>
      <c r="X672" s="181">
        <v>0</v>
      </c>
      <c r="Y672" s="181">
        <f>T672-W672</f>
        <v>903.82</v>
      </c>
      <c r="Z672" s="183" t="s">
        <v>2406</v>
      </c>
      <c r="AA672" s="157"/>
      <c r="AB672" s="184" t="s">
        <v>2319</v>
      </c>
      <c r="AC672" s="132">
        <f t="shared" si="79"/>
        <v>0</v>
      </c>
    </row>
    <row r="673" s="132" customFormat="1" ht="24" customHeight="1" spans="1:29">
      <c r="A673" s="150">
        <v>667</v>
      </c>
      <c r="B673" s="187" t="s">
        <v>4406</v>
      </c>
      <c r="C673" s="212" t="s">
        <v>4311</v>
      </c>
      <c r="D673" s="157" t="s">
        <v>2346</v>
      </c>
      <c r="E673" s="158" t="s">
        <v>4205</v>
      </c>
      <c r="F673" s="154" t="s">
        <v>4415</v>
      </c>
      <c r="G673" s="156" t="s">
        <v>4207</v>
      </c>
      <c r="H673" s="157" t="str">
        <f>IF(G673="","",VLOOKUP(G673,'附表8-合同明细采集底稿'!B:I,2,0))</f>
        <v>沁春锦苑升降横移类机械式停车设备销售合同</v>
      </c>
      <c r="I673" s="165" t="str">
        <f>IF(G673="","",VLOOKUP(G673,'附表8-合同明细采集底稿'!B:I,3,0))</f>
        <v>买卖合同</v>
      </c>
      <c r="J673" s="169" t="s">
        <v>4208</v>
      </c>
      <c r="K673" s="157" t="s">
        <v>2355</v>
      </c>
      <c r="L673" s="166" t="s">
        <v>4416</v>
      </c>
      <c r="M673" s="166" t="s">
        <v>4417</v>
      </c>
      <c r="N673" s="167">
        <v>476410.4</v>
      </c>
      <c r="O673" s="167">
        <v>538343.75</v>
      </c>
      <c r="P673" s="167">
        <v>476410.4</v>
      </c>
      <c r="Q673" s="167"/>
      <c r="R673" s="167">
        <f t="shared" si="85"/>
        <v>476410.4</v>
      </c>
      <c r="S673" s="178">
        <f>IFERROR(VLOOKUP(G673,'附表8-合同明细采集底稿'!B:N,12,0),100%)</f>
        <v>0.338555832480367</v>
      </c>
      <c r="T673" s="167">
        <f t="shared" si="82"/>
        <v>161291.52</v>
      </c>
      <c r="U673" s="157" t="s">
        <v>4210</v>
      </c>
      <c r="V673" s="179" t="s">
        <v>375</v>
      </c>
      <c r="W673" s="180">
        <f>IF('附表1-面积统计表'!$D$29=0,"",IF(AND(V673="共同成本费用",Z673="总建筑面积法"),ROUND(T673/'附表1-面积统计表'!$D$29*'附表1-面积统计表'!$D$5,2),IF(AND(V673="共同成本费用",Z673="可售建筑面积法"),ROUND(T673/'附表1-面积统计表'!$F$29*'附表1-面积统计表'!$F$5,2),"请手工填写")))</f>
        <v>78139.79</v>
      </c>
      <c r="X673" s="180">
        <f>IF(SUM('附表1-面积统计表'!$D$6)=0,"",SUM(T673)-SUM(W673)-SUM(Y673))</f>
        <v>51699.43</v>
      </c>
      <c r="Y673" s="180">
        <f>IF(SUM('附表1-面积统计表'!$D$6)=0,SUM(T673)-SUM(W673),IF('附表1-面积统计表'!$D$29=0,"",IF(AND(V673="共同成本费用",Z673="总建筑面积法"),ROUND(T673/'附表1-面积统计表'!$D$29*'附表1-面积统计表'!$D$7,2),IF(AND(V673="共同成本费用",Z673="可售建筑面积法"),ROUND(T673/'附表1-面积统计表'!$F$29*'附表1-面积统计表'!$F$7,2),"请手工填写"))))</f>
        <v>31452.3</v>
      </c>
      <c r="Z673" s="183" t="s">
        <v>351</v>
      </c>
      <c r="AA673" s="157"/>
      <c r="AB673" s="184" t="s">
        <v>2319</v>
      </c>
      <c r="AC673" s="132">
        <f t="shared" si="79"/>
        <v>0</v>
      </c>
    </row>
    <row r="674" s="132" customFormat="1" ht="24" customHeight="1" spans="1:29">
      <c r="A674" s="150">
        <v>668</v>
      </c>
      <c r="B674" s="187" t="s">
        <v>4406</v>
      </c>
      <c r="C674" s="212" t="s">
        <v>4300</v>
      </c>
      <c r="D674" s="157" t="s">
        <v>2331</v>
      </c>
      <c r="E674" s="158" t="s">
        <v>3111</v>
      </c>
      <c r="F674" s="154" t="s">
        <v>4418</v>
      </c>
      <c r="G674" s="156" t="s">
        <v>4342</v>
      </c>
      <c r="H674" s="157" t="str">
        <f>IF(G674="","",VLOOKUP(G674,'附表8-合同明细采集底稿'!B:I,2,0))</f>
        <v>沁春锦苑人防车库防雨棚安装工程</v>
      </c>
      <c r="I674" s="165" t="str">
        <f>IF(G674="","",VLOOKUP(G674,'附表8-合同明细采集底稿'!B:I,3,0))</f>
        <v>建设工程合同</v>
      </c>
      <c r="J674" s="187" t="s">
        <v>2556</v>
      </c>
      <c r="K674" s="157" t="s">
        <v>2355</v>
      </c>
      <c r="L674" s="168"/>
      <c r="M674" s="166" t="s">
        <v>4419</v>
      </c>
      <c r="N674" s="167">
        <v>196788.99</v>
      </c>
      <c r="O674" s="167">
        <v>214500</v>
      </c>
      <c r="P674" s="167">
        <v>196788.99</v>
      </c>
      <c r="Q674" s="167">
        <v>50458.7155963303</v>
      </c>
      <c r="R674" s="167">
        <f t="shared" si="85"/>
        <v>247247.70559633</v>
      </c>
      <c r="S674" s="178">
        <f>IFERROR(VLOOKUP(G674,'附表8-合同明细采集底稿'!B:N,12,0),100%)</f>
        <v>0.109829243890136</v>
      </c>
      <c r="T674" s="167">
        <f t="shared" si="82"/>
        <v>27155.03</v>
      </c>
      <c r="U674" s="157" t="s">
        <v>3116</v>
      </c>
      <c r="V674" s="179" t="s">
        <v>374</v>
      </c>
      <c r="W674" s="181">
        <f>ROUND(T674*0.8162,2)</f>
        <v>22163.94</v>
      </c>
      <c r="X674" s="181">
        <v>0</v>
      </c>
      <c r="Y674" s="181">
        <f>T674-W674</f>
        <v>4991.09</v>
      </c>
      <c r="Z674" s="183" t="s">
        <v>2406</v>
      </c>
      <c r="AA674" s="157"/>
      <c r="AB674" s="184" t="s">
        <v>2319</v>
      </c>
      <c r="AC674" s="132">
        <f t="shared" si="79"/>
        <v>0</v>
      </c>
    </row>
    <row r="675" s="132" customFormat="1" ht="24" customHeight="1" spans="1:29">
      <c r="A675" s="150">
        <v>669</v>
      </c>
      <c r="B675" s="187" t="s">
        <v>4420</v>
      </c>
      <c r="C675" s="212" t="s">
        <v>4340</v>
      </c>
      <c r="D675" s="157" t="s">
        <v>2331</v>
      </c>
      <c r="E675" s="158" t="s">
        <v>3994</v>
      </c>
      <c r="F675" s="154" t="s">
        <v>4421</v>
      </c>
      <c r="G675" s="156" t="s">
        <v>4422</v>
      </c>
      <c r="H675" s="157" t="str">
        <f>IF(G675="","",VLOOKUP(G675,'附表8-合同明细采集底稿'!B:I,2,0))</f>
        <v>37#天然气安装工程</v>
      </c>
      <c r="I675" s="165" t="str">
        <f>IF(G675="","",VLOOKUP(G675,'附表8-合同明细采集底稿'!B:I,3,0))</f>
        <v>其他合同</v>
      </c>
      <c r="J675" s="187" t="s">
        <v>3512</v>
      </c>
      <c r="K675" s="157" t="s">
        <v>2355</v>
      </c>
      <c r="L675" s="168" t="s">
        <v>4397</v>
      </c>
      <c r="M675" s="166" t="s">
        <v>4423</v>
      </c>
      <c r="N675" s="167">
        <v>69062.15</v>
      </c>
      <c r="O675" s="167">
        <v>75277.74</v>
      </c>
      <c r="P675" s="167">
        <v>69062.15</v>
      </c>
      <c r="Q675" s="167"/>
      <c r="R675" s="167">
        <f t="shared" si="85"/>
        <v>69062.15</v>
      </c>
      <c r="S675" s="178">
        <f>IFERROR(VLOOKUP(G675,'附表8-合同明细采集底稿'!B:N,12,0),100%)</f>
        <v>0.338555832480367</v>
      </c>
      <c r="T675" s="167">
        <f t="shared" ref="T675:T734" si="86">ROUND(SUM(R675)*SUM(S675),2)</f>
        <v>23381.39</v>
      </c>
      <c r="U675" s="157" t="s">
        <v>3999</v>
      </c>
      <c r="V675" s="179" t="s">
        <v>375</v>
      </c>
      <c r="W675" s="180">
        <f>IF('附表1-面积统计表'!$D$29=0,"",IF(AND(V675="共同成本费用",Z675="总建筑面积法"),ROUND(T675/'附表1-面积统计表'!$D$29*'附表1-面积统计表'!$D$5,2),IF(AND(V675="共同成本费用",Z675="可售建筑面积法"),ROUND(T675/'附表1-面积统计表'!$F$29*'附表1-面积统计表'!$F$5,2),"请手工填写")))</f>
        <v>11327.42</v>
      </c>
      <c r="X675" s="180">
        <f>IF(SUM('附表1-面积统计表'!$D$6)=0,"",SUM(T675)-SUM(W675)-SUM(Y675))</f>
        <v>7494.53</v>
      </c>
      <c r="Y675" s="180">
        <f>IF(SUM('附表1-面积统计表'!$D$6)=0,SUM(T675)-SUM(W675),IF('附表1-面积统计表'!$D$29=0,"",IF(AND(V675="共同成本费用",Z675="总建筑面积法"),ROUND(T675/'附表1-面积统计表'!$D$29*'附表1-面积统计表'!$D$7,2),IF(AND(V675="共同成本费用",Z675="可售建筑面积法"),ROUND(T675/'附表1-面积统计表'!$F$29*'附表1-面积统计表'!$F$7,2),"请手工填写"))))</f>
        <v>4559.44</v>
      </c>
      <c r="Z675" s="183" t="s">
        <v>351</v>
      </c>
      <c r="AA675" s="157"/>
      <c r="AB675" s="184" t="s">
        <v>2319</v>
      </c>
      <c r="AC675" s="132">
        <f t="shared" si="79"/>
        <v>0</v>
      </c>
    </row>
    <row r="676" s="132" customFormat="1" ht="24" customHeight="1" spans="1:29">
      <c r="A676" s="150">
        <v>670</v>
      </c>
      <c r="B676" s="187" t="s">
        <v>4424</v>
      </c>
      <c r="C676" s="212" t="s">
        <v>4425</v>
      </c>
      <c r="D676" s="157" t="s">
        <v>2339</v>
      </c>
      <c r="E676" s="158" t="s">
        <v>2351</v>
      </c>
      <c r="F676" s="154" t="s">
        <v>4426</v>
      </c>
      <c r="G676" s="156" t="s">
        <v>2645</v>
      </c>
      <c r="H676" s="157" t="str">
        <f>IF(G676="","",VLOOKUP(G676,'附表8-合同明细采集底稿'!B:I,2,0))</f>
        <v>专业建设工程设计合同</v>
      </c>
      <c r="I676" s="165" t="str">
        <f>IF(G676="","",VLOOKUP(G676,'附表8-合同明细采集底稿'!B:I,3,0))</f>
        <v>技术合同</v>
      </c>
      <c r="J676" s="187" t="s">
        <v>2498</v>
      </c>
      <c r="K676" s="157" t="s">
        <v>2355</v>
      </c>
      <c r="L676" s="168"/>
      <c r="M676" s="166" t="s">
        <v>4427</v>
      </c>
      <c r="N676" s="167">
        <v>26250</v>
      </c>
      <c r="O676" s="167">
        <v>27825</v>
      </c>
      <c r="P676" s="167">
        <v>26250</v>
      </c>
      <c r="Q676" s="167"/>
      <c r="R676" s="167">
        <f t="shared" si="85"/>
        <v>26250</v>
      </c>
      <c r="S676" s="178">
        <f>IFERROR(VLOOKUP(G676,'附表8-合同明细采集底稿'!B:N,12,0),100%)</f>
        <v>0.338555832480367</v>
      </c>
      <c r="T676" s="167">
        <f t="shared" si="86"/>
        <v>8887.09</v>
      </c>
      <c r="U676" s="157" t="s">
        <v>2318</v>
      </c>
      <c r="V676" s="179" t="s">
        <v>375</v>
      </c>
      <c r="W676" s="180">
        <f>IF('附表1-面积统计表'!$D$29=0,"",IF(AND(V676="共同成本费用",Z676="总建筑面积法"),ROUND(T676/'附表1-面积统计表'!$D$29*'附表1-面积统计表'!$D$5,2),IF(AND(V676="共同成本费用",Z676="可售建筑面积法"),ROUND(T676/'附表1-面积统计表'!$F$29*'附表1-面积统计表'!$F$5,2),"请手工填写")))</f>
        <v>4305.47</v>
      </c>
      <c r="X676" s="180">
        <f>IF(SUM('附表1-面积统计表'!$D$6)=0,"",SUM(T676)-SUM(W676)-SUM(Y676))</f>
        <v>2848.61</v>
      </c>
      <c r="Y676" s="180">
        <f>IF(SUM('附表1-面积统计表'!$D$6)=0,SUM(T676)-SUM(W676),IF('附表1-面积统计表'!$D$29=0,"",IF(AND(V676="共同成本费用",Z676="总建筑面积法"),ROUND(T676/'附表1-面积统计表'!$D$29*'附表1-面积统计表'!$D$7,2),IF(AND(V676="共同成本费用",Z676="可售建筑面积法"),ROUND(T676/'附表1-面积统计表'!$F$29*'附表1-面积统计表'!$F$7,2),"请手工填写"))))</f>
        <v>1733.01</v>
      </c>
      <c r="Z676" s="183" t="s">
        <v>351</v>
      </c>
      <c r="AA676" s="157"/>
      <c r="AB676" s="184" t="s">
        <v>2319</v>
      </c>
      <c r="AC676" s="132">
        <f t="shared" si="79"/>
        <v>0</v>
      </c>
    </row>
    <row r="677" s="132" customFormat="1" ht="24" customHeight="1" spans="1:29">
      <c r="A677" s="150">
        <v>671</v>
      </c>
      <c r="B677" s="187" t="s">
        <v>4424</v>
      </c>
      <c r="C677" s="212" t="s">
        <v>4428</v>
      </c>
      <c r="D677" s="157" t="s">
        <v>2346</v>
      </c>
      <c r="E677" s="158" t="s">
        <v>4205</v>
      </c>
      <c r="F677" s="154" t="s">
        <v>4429</v>
      </c>
      <c r="G677" s="156" t="s">
        <v>4207</v>
      </c>
      <c r="H677" s="157" t="str">
        <f>IF(G677="","",VLOOKUP(G677,'附表8-合同明细采集底稿'!B:I,2,0))</f>
        <v>沁春锦苑升降横移类机械式停车设备销售合同</v>
      </c>
      <c r="I677" s="165" t="str">
        <f>IF(G677="","",VLOOKUP(G677,'附表8-合同明细采集底稿'!B:I,3,0))</f>
        <v>买卖合同</v>
      </c>
      <c r="J677" s="169" t="s">
        <v>4208</v>
      </c>
      <c r="K677" s="157" t="s">
        <v>2355</v>
      </c>
      <c r="L677" s="166" t="s">
        <v>4430</v>
      </c>
      <c r="M677" s="166" t="s">
        <v>4431</v>
      </c>
      <c r="N677" s="167">
        <v>292948.01</v>
      </c>
      <c r="O677" s="167">
        <v>331031.25</v>
      </c>
      <c r="P677" s="167">
        <v>292948.01</v>
      </c>
      <c r="Q677" s="167"/>
      <c r="R677" s="167">
        <f t="shared" si="85"/>
        <v>292948.01</v>
      </c>
      <c r="S677" s="178">
        <f>IFERROR(VLOOKUP(G677,'附表8-合同明细采集底稿'!B:N,12,0),100%)</f>
        <v>0.338555832480367</v>
      </c>
      <c r="T677" s="167">
        <f t="shared" si="86"/>
        <v>99179.26</v>
      </c>
      <c r="U677" s="157" t="s">
        <v>4210</v>
      </c>
      <c r="V677" s="179" t="s">
        <v>375</v>
      </c>
      <c r="W677" s="180">
        <f>IF('附表1-面积统计表'!$D$29=0,"",IF(AND(V677="共同成本费用",Z677="总建筑面积法"),ROUND(T677/'附表1-面积统计表'!$D$29*'附表1-面积统计表'!$D$5,2),IF(AND(V677="共同成本费用",Z677="可售建筑面积法"),ROUND(T677/'附表1-面积统计表'!$F$29*'附表1-面积统计表'!$F$5,2),"请手工填写")))</f>
        <v>48048.69</v>
      </c>
      <c r="X677" s="180">
        <f>IF(SUM('附表1-面积统计表'!$D$6)=0,"",SUM(T677)-SUM(W677)-SUM(Y677))</f>
        <v>31790.34</v>
      </c>
      <c r="Y677" s="180">
        <f>IF(SUM('附表1-面积统计表'!$D$6)=0,SUM(T677)-SUM(W677),IF('附表1-面积统计表'!$D$29=0,"",IF(AND(V677="共同成本费用",Z677="总建筑面积法"),ROUND(T677/'附表1-面积统计表'!$D$29*'附表1-面积统计表'!$D$7,2),IF(AND(V677="共同成本费用",Z677="可售建筑面积法"),ROUND(T677/'附表1-面积统计表'!$F$29*'附表1-面积统计表'!$F$7,2),"请手工填写"))))</f>
        <v>19340.23</v>
      </c>
      <c r="Z677" s="183" t="s">
        <v>351</v>
      </c>
      <c r="AA677" s="157"/>
      <c r="AB677" s="184" t="s">
        <v>2319</v>
      </c>
      <c r="AC677" s="132">
        <f t="shared" si="79"/>
        <v>0</v>
      </c>
    </row>
    <row r="678" s="132" customFormat="1" ht="24" customHeight="1" spans="1:29">
      <c r="A678" s="150">
        <v>672</v>
      </c>
      <c r="B678" s="187" t="s">
        <v>4432</v>
      </c>
      <c r="C678" s="212" t="s">
        <v>4377</v>
      </c>
      <c r="D678" s="157" t="s">
        <v>2331</v>
      </c>
      <c r="E678" s="158" t="s">
        <v>3544</v>
      </c>
      <c r="F678" s="154" t="s">
        <v>4433</v>
      </c>
      <c r="G678" s="156" t="s">
        <v>4434</v>
      </c>
      <c r="H678" s="157" t="str">
        <f>IF(G678="","",VLOOKUP(G678,'附表8-合同明细采集底稿'!B:I,2,0))</f>
        <v>12#-15#38#、18#21#后花园围栏制作安装、31#楼防盗窗安装-幼儿园</v>
      </c>
      <c r="I678" s="165" t="str">
        <f>IF(G678="","",VLOOKUP(G678,'附表8-合同明细采集底稿'!B:I,3,0))</f>
        <v>买卖合同</v>
      </c>
      <c r="J678" s="187" t="s">
        <v>3529</v>
      </c>
      <c r="K678" s="157" t="s">
        <v>2355</v>
      </c>
      <c r="L678" s="168"/>
      <c r="M678" s="166" t="s">
        <v>4435</v>
      </c>
      <c r="N678" s="167">
        <v>2159.29</v>
      </c>
      <c r="O678" s="167">
        <v>2440</v>
      </c>
      <c r="P678" s="167">
        <v>2159.29</v>
      </c>
      <c r="Q678" s="167"/>
      <c r="R678" s="167">
        <f t="shared" si="85"/>
        <v>2159.29</v>
      </c>
      <c r="S678" s="178">
        <f>IFERROR(VLOOKUP(G678,'附表8-合同明细采集底稿'!B:N,12,0),100%)</f>
        <v>0.338555832480367</v>
      </c>
      <c r="T678" s="167">
        <f t="shared" si="86"/>
        <v>731.04</v>
      </c>
      <c r="U678" s="157" t="s">
        <v>3678</v>
      </c>
      <c r="V678" s="179" t="s">
        <v>375</v>
      </c>
      <c r="W678" s="180">
        <f>IF('附表1-面积统计表'!$D$29=0,"",IF(AND(V678="共同成本费用",Z678="总建筑面积法"),ROUND(T678/'附表1-面积统计表'!$D$29*'附表1-面积统计表'!$D$5,2),IF(AND(V678="共同成本费用",Z678="可售建筑面积法"),ROUND(T678/'附表1-面积统计表'!$F$29*'附表1-面积统计表'!$F$5,2),"请手工填写")))</f>
        <v>354.16</v>
      </c>
      <c r="X678" s="180">
        <f>IF(SUM('附表1-面积统计表'!$D$6)=0,"",SUM(T678)-SUM(W678)-SUM(Y678))</f>
        <v>234.33</v>
      </c>
      <c r="Y678" s="180">
        <f>IF(SUM('附表1-面积统计表'!$D$6)=0,SUM(T678)-SUM(W678),IF('附表1-面积统计表'!$D$29=0,"",IF(AND(V678="共同成本费用",Z678="总建筑面积法"),ROUND(T678/'附表1-面积统计表'!$D$29*'附表1-面积统计表'!$D$7,2),IF(AND(V678="共同成本费用",Z678="可售建筑面积法"),ROUND(T678/'附表1-面积统计表'!$F$29*'附表1-面积统计表'!$F$7,2),"请手工填写"))))</f>
        <v>142.55</v>
      </c>
      <c r="Z678" s="183" t="s">
        <v>351</v>
      </c>
      <c r="AA678" s="157"/>
      <c r="AB678" s="184" t="s">
        <v>2319</v>
      </c>
      <c r="AC678" s="132">
        <f t="shared" si="79"/>
        <v>0</v>
      </c>
    </row>
    <row r="679" s="132" customFormat="1" ht="24" customHeight="1" spans="1:29">
      <c r="A679" s="150">
        <v>673</v>
      </c>
      <c r="B679" s="187" t="s">
        <v>4436</v>
      </c>
      <c r="C679" s="212" t="s">
        <v>4316</v>
      </c>
      <c r="D679" s="157" t="s">
        <v>2346</v>
      </c>
      <c r="E679" s="158" t="s">
        <v>4205</v>
      </c>
      <c r="F679" s="154" t="s">
        <v>4437</v>
      </c>
      <c r="G679" s="156" t="s">
        <v>4438</v>
      </c>
      <c r="H679" s="157" t="str">
        <f>IF(G679="","",VLOOKUP(G679,'附表8-合同明细采集底稿'!B:I,2,0))</f>
        <v>沁园春景机械师停车位基础设计合同</v>
      </c>
      <c r="I679" s="165" t="str">
        <f>IF(G679="","",VLOOKUP(G679,'附表8-合同明细采集底稿'!B:I,3,0))</f>
        <v>技术合同</v>
      </c>
      <c r="J679" s="169" t="s">
        <v>3889</v>
      </c>
      <c r="K679" s="157" t="s">
        <v>2355</v>
      </c>
      <c r="L679" s="166" t="s">
        <v>4409</v>
      </c>
      <c r="M679" s="166" t="s">
        <v>4439</v>
      </c>
      <c r="N679" s="167">
        <v>9433.96</v>
      </c>
      <c r="O679" s="167">
        <v>10000</v>
      </c>
      <c r="P679" s="167">
        <v>9433.96</v>
      </c>
      <c r="Q679" s="167">
        <v>-1886.79</v>
      </c>
      <c r="R679" s="167">
        <f t="shared" si="85"/>
        <v>7547.17</v>
      </c>
      <c r="S679" s="178">
        <f>IFERROR(VLOOKUP(G679,'附表8-合同明细采集底稿'!B:N,12,0),100%)</f>
        <v>0.338555832480367</v>
      </c>
      <c r="T679" s="167">
        <f t="shared" si="86"/>
        <v>2555.14</v>
      </c>
      <c r="U679" s="157" t="s">
        <v>4210</v>
      </c>
      <c r="V679" s="179" t="s">
        <v>375</v>
      </c>
      <c r="W679" s="180">
        <f>IF('附表1-面积统计表'!$D$29=0,"",IF(AND(V679="共同成本费用",Z679="总建筑面积法"),ROUND(T679/'附表1-面积统计表'!$D$29*'附表1-面积统计表'!$D$5,2),IF(AND(V679="共同成本费用",Z679="可售建筑面积法"),ROUND(T679/'附表1-面积统计表'!$F$29*'附表1-面积统计表'!$F$5,2),"请手工填写")))</f>
        <v>1237.87</v>
      </c>
      <c r="X679" s="180">
        <f>IF(SUM('附表1-面积统计表'!$D$6)=0,"",SUM(T679)-SUM(W679)-SUM(Y679))</f>
        <v>819.01</v>
      </c>
      <c r="Y679" s="180">
        <f>IF(SUM('附表1-面积统计表'!$D$6)=0,SUM(T679)-SUM(W679),IF('附表1-面积统计表'!$D$29=0,"",IF(AND(V679="共同成本费用",Z679="总建筑面积法"),ROUND(T679/'附表1-面积统计表'!$D$29*'附表1-面积统计表'!$D$7,2),IF(AND(V679="共同成本费用",Z679="可售建筑面积法"),ROUND(T679/'附表1-面积统计表'!$F$29*'附表1-面积统计表'!$F$7,2),"请手工填写"))))</f>
        <v>498.26</v>
      </c>
      <c r="Z679" s="183" t="s">
        <v>351</v>
      </c>
      <c r="AA679" s="157"/>
      <c r="AB679" s="184" t="s">
        <v>2319</v>
      </c>
      <c r="AC679" s="132">
        <f t="shared" si="79"/>
        <v>0</v>
      </c>
    </row>
    <row r="680" s="132" customFormat="1" ht="24" customHeight="1" spans="1:29">
      <c r="A680" s="150">
        <v>674</v>
      </c>
      <c r="B680" s="187" t="s">
        <v>4440</v>
      </c>
      <c r="C680" s="169" t="s">
        <v>4441</v>
      </c>
      <c r="D680" s="157" t="s">
        <v>2346</v>
      </c>
      <c r="E680" s="158" t="s">
        <v>2501</v>
      </c>
      <c r="F680" s="154" t="s">
        <v>4442</v>
      </c>
      <c r="G680" s="156" t="s">
        <v>4443</v>
      </c>
      <c r="H680" s="157" t="str">
        <f>IF(G680="","",VLOOKUP(G680,'附表8-合同明细采集底稿'!B:I,2,0))</f>
        <v>沁春锦苑地面停车线、道路标线、人防楼梯间环氧树脂工程</v>
      </c>
      <c r="I680" s="165" t="str">
        <f>IF(G680="","",VLOOKUP(G680,'附表8-合同明细采集底稿'!B:I,3,0))</f>
        <v>其他合同</v>
      </c>
      <c r="J680" s="218" t="s">
        <v>4444</v>
      </c>
      <c r="K680" s="157" t="s">
        <v>2355</v>
      </c>
      <c r="L680" s="168"/>
      <c r="M680" s="166" t="s">
        <v>4445</v>
      </c>
      <c r="N680" s="167">
        <v>777.56</v>
      </c>
      <c r="O680" s="167">
        <v>847.54</v>
      </c>
      <c r="P680" s="167">
        <v>25918.59</v>
      </c>
      <c r="Q680" s="167"/>
      <c r="R680" s="167">
        <f t="shared" si="85"/>
        <v>25918.59</v>
      </c>
      <c r="S680" s="178">
        <f>IFERROR(VLOOKUP(G680,'附表8-合同明细采集底稿'!B:N,12,0),100%)</f>
        <v>0.338555832480367</v>
      </c>
      <c r="T680" s="167">
        <f t="shared" si="86"/>
        <v>8774.89</v>
      </c>
      <c r="U680" s="157" t="s">
        <v>2318</v>
      </c>
      <c r="V680" s="179" t="s">
        <v>375</v>
      </c>
      <c r="W680" s="180">
        <f>IF('附表1-面积统计表'!$D$29=0,"",IF(AND(V680="共同成本费用",Z680="总建筑面积法"),ROUND(T680/'附表1-面积统计表'!$D$29*'附表1-面积统计表'!$D$5,2),IF(AND(V680="共同成本费用",Z680="可售建筑面积法"),ROUND(T680/'附表1-面积统计表'!$F$29*'附表1-面积统计表'!$F$5,2),"请手工填写")))</f>
        <v>4251.11</v>
      </c>
      <c r="X680" s="180">
        <f>IF(SUM('附表1-面积统计表'!$D$6)=0,"",SUM(T680)-SUM(W680)-SUM(Y680))</f>
        <v>2812.65</v>
      </c>
      <c r="Y680" s="180">
        <f>IF(SUM('附表1-面积统计表'!$D$6)=0,SUM(T680)-SUM(W680),IF('附表1-面积统计表'!$D$29=0,"",IF(AND(V680="共同成本费用",Z680="总建筑面积法"),ROUND(T680/'附表1-面积统计表'!$D$29*'附表1-面积统计表'!$D$7,2),IF(AND(V680="共同成本费用",Z680="可售建筑面积法"),ROUND(T680/'附表1-面积统计表'!$F$29*'附表1-面积统计表'!$F$7,2),"请手工填写"))))</f>
        <v>1711.13</v>
      </c>
      <c r="Z680" s="183" t="s">
        <v>351</v>
      </c>
      <c r="AA680" s="157"/>
      <c r="AB680" s="184" t="s">
        <v>2319</v>
      </c>
      <c r="AC680" s="132">
        <f t="shared" si="79"/>
        <v>0</v>
      </c>
    </row>
    <row r="681" s="132" customFormat="1" ht="24" customHeight="1" spans="1:29">
      <c r="A681" s="150">
        <v>675</v>
      </c>
      <c r="B681" s="187" t="s">
        <v>4440</v>
      </c>
      <c r="C681" s="169" t="s">
        <v>4441</v>
      </c>
      <c r="D681" s="157" t="s">
        <v>2346</v>
      </c>
      <c r="E681" s="158" t="s">
        <v>2501</v>
      </c>
      <c r="F681" s="154" t="s">
        <v>4442</v>
      </c>
      <c r="G681" s="156" t="s">
        <v>4446</v>
      </c>
      <c r="H681" s="157" t="str">
        <f>IF(G681="","",VLOOKUP(G681,'附表8-合同明细采集底稿'!B:I,2,0))</f>
        <v>沁春锦苑地面停车线、道路标线、人防楼梯间环氧树脂工程</v>
      </c>
      <c r="I681" s="165" t="str">
        <f>IF(G681="","",VLOOKUP(G681,'附表8-合同明细采集底稿'!B:I,3,0))</f>
        <v>其他合同</v>
      </c>
      <c r="J681" s="218" t="s">
        <v>4444</v>
      </c>
      <c r="K681" s="157" t="s">
        <v>2355</v>
      </c>
      <c r="L681" s="168"/>
      <c r="M681" s="166" t="s">
        <v>4445</v>
      </c>
      <c r="N681" s="167">
        <v>4779.76</v>
      </c>
      <c r="O681" s="167">
        <v>5209.94</v>
      </c>
      <c r="P681" s="167">
        <v>159325.37</v>
      </c>
      <c r="Q681" s="167"/>
      <c r="R681" s="167">
        <f t="shared" si="85"/>
        <v>159325.37</v>
      </c>
      <c r="S681" s="178">
        <f>IFERROR(VLOOKUP(G681,'附表8-合同明细采集底稿'!B:N,12,0),100%)</f>
        <v>0.338555832480367</v>
      </c>
      <c r="T681" s="167">
        <f t="shared" si="86"/>
        <v>53940.53</v>
      </c>
      <c r="U681" s="157" t="s">
        <v>2318</v>
      </c>
      <c r="V681" s="179" t="s">
        <v>375</v>
      </c>
      <c r="W681" s="180">
        <f>IF('附表1-面积统计表'!$D$29=0,"",IF(AND(V681="共同成本费用",Z681="总建筑面积法"),ROUND(T681/'附表1-面积统计表'!$D$29*'附表1-面积统计表'!$D$5,2),IF(AND(V681="共同成本费用",Z681="可售建筑面积法"),ROUND(T681/'附表1-面积统计表'!$F$29*'附表1-面积统计表'!$F$5,2),"请手工填写")))</f>
        <v>26132.19</v>
      </c>
      <c r="X681" s="180">
        <f>IF(SUM('附表1-面积统计表'!$D$6)=0,"",SUM(T681)-SUM(W681)-SUM(Y681))</f>
        <v>17289.78</v>
      </c>
      <c r="Y681" s="180">
        <f>IF(SUM('附表1-面积统计表'!$D$6)=0,SUM(T681)-SUM(W681),IF('附表1-面积统计表'!$D$29=0,"",IF(AND(V681="共同成本费用",Z681="总建筑面积法"),ROUND(T681/'附表1-面积统计表'!$D$29*'附表1-面积统计表'!$D$7,2),IF(AND(V681="共同成本费用",Z681="可售建筑面积法"),ROUND(T681/'附表1-面积统计表'!$F$29*'附表1-面积统计表'!$F$7,2),"请手工填写"))))</f>
        <v>10518.56</v>
      </c>
      <c r="Z681" s="183" t="s">
        <v>351</v>
      </c>
      <c r="AA681" s="157"/>
      <c r="AB681" s="184" t="s">
        <v>2319</v>
      </c>
      <c r="AC681" s="132">
        <f t="shared" si="79"/>
        <v>0</v>
      </c>
    </row>
    <row r="682" s="132" customFormat="1" ht="24" customHeight="1" spans="1:29">
      <c r="A682" s="150">
        <v>676</v>
      </c>
      <c r="B682" s="187" t="s">
        <v>4447</v>
      </c>
      <c r="C682" s="169" t="s">
        <v>4367</v>
      </c>
      <c r="D682" s="157" t="s">
        <v>2331</v>
      </c>
      <c r="E682" s="158" t="s">
        <v>3544</v>
      </c>
      <c r="F682" s="154" t="s">
        <v>4448</v>
      </c>
      <c r="G682" s="156" t="s">
        <v>4138</v>
      </c>
      <c r="H682" s="157" t="str">
        <f>IF(G682="","",VLOOKUP(G682,'附表8-合同明细采集底稿'!B:I,2,0))</f>
        <v>幼儿园建设工程设计合同（民用建设工程设计合同）</v>
      </c>
      <c r="I682" s="165" t="str">
        <f>IF(G682="","",VLOOKUP(G682,'附表8-合同明细采集底稿'!B:I,3,0))</f>
        <v>技术合同</v>
      </c>
      <c r="J682" s="188" t="s">
        <v>2388</v>
      </c>
      <c r="K682" s="157" t="s">
        <v>2355</v>
      </c>
      <c r="L682" s="168">
        <v>6500174130</v>
      </c>
      <c r="M682" s="166" t="s">
        <v>4449</v>
      </c>
      <c r="N682" s="167">
        <v>6650.94</v>
      </c>
      <c r="O682" s="167">
        <v>7050</v>
      </c>
      <c r="P682" s="167">
        <v>6650.94</v>
      </c>
      <c r="Q682" s="167"/>
      <c r="R682" s="167">
        <f t="shared" si="85"/>
        <v>6650.94</v>
      </c>
      <c r="S682" s="178">
        <f>IFERROR(VLOOKUP(G682,'附表8-合同明细采集底稿'!B:N,12,0),100%)</f>
        <v>0.338555832480367</v>
      </c>
      <c r="T682" s="167">
        <f t="shared" si="86"/>
        <v>2251.71</v>
      </c>
      <c r="U682" s="157" t="s">
        <v>3678</v>
      </c>
      <c r="V682" s="179" t="s">
        <v>375</v>
      </c>
      <c r="W682" s="180">
        <f>IF('附表1-面积统计表'!$D$29=0,"",IF(AND(V682="共同成本费用",Z682="总建筑面积法"),ROUND(T682/'附表1-面积统计表'!$D$29*'附表1-面积统计表'!$D$5,2),IF(AND(V682="共同成本费用",Z682="可售建筑面积法"),ROUND(T682/'附表1-面积统计表'!$F$29*'附表1-面积统计表'!$F$5,2),"请手工填写")))</f>
        <v>1090.87</v>
      </c>
      <c r="X682" s="180">
        <f>IF(SUM('附表1-面积统计表'!$D$6)=0,"",SUM(T682)-SUM(W682)-SUM(Y682))</f>
        <v>721.75</v>
      </c>
      <c r="Y682" s="180">
        <f>IF(SUM('附表1-面积统计表'!$D$6)=0,SUM(T682)-SUM(W682),IF('附表1-面积统计表'!$D$29=0,"",IF(AND(V682="共同成本费用",Z682="总建筑面积法"),ROUND(T682/'附表1-面积统计表'!$D$29*'附表1-面积统计表'!$D$7,2),IF(AND(V682="共同成本费用",Z682="可售建筑面积法"),ROUND(T682/'附表1-面积统计表'!$F$29*'附表1-面积统计表'!$F$7,2),"请手工填写"))))</f>
        <v>439.09</v>
      </c>
      <c r="Z682" s="183" t="s">
        <v>351</v>
      </c>
      <c r="AA682" s="157"/>
      <c r="AB682" s="184" t="s">
        <v>2319</v>
      </c>
      <c r="AC682" s="132">
        <f t="shared" si="79"/>
        <v>0</v>
      </c>
    </row>
    <row r="683" s="132" customFormat="1" ht="24" customHeight="1" spans="1:29">
      <c r="A683" s="150">
        <v>677</v>
      </c>
      <c r="B683" s="187" t="s">
        <v>4447</v>
      </c>
      <c r="C683" s="169" t="s">
        <v>4367</v>
      </c>
      <c r="D683" s="157" t="s">
        <v>2331</v>
      </c>
      <c r="E683" s="158" t="s">
        <v>3994</v>
      </c>
      <c r="F683" s="154" t="s">
        <v>4450</v>
      </c>
      <c r="G683" s="156" t="s">
        <v>4451</v>
      </c>
      <c r="H683" s="157" t="str">
        <f>IF(G683="","",VLOOKUP(G683,'附表8-合同明细采集底稿'!B:I,2,0))</f>
        <v>12-15、18-22#、38#建设工程设计合同（民用建设工程设计合同）-37#楼</v>
      </c>
      <c r="I683" s="165" t="str">
        <f>IF(G683="","",VLOOKUP(G683,'附表8-合同明细采集底稿'!B:I,3,0))</f>
        <v>技术合同</v>
      </c>
      <c r="J683" s="188" t="s">
        <v>2388</v>
      </c>
      <c r="K683" s="157" t="s">
        <v>2355</v>
      </c>
      <c r="L683" s="168">
        <v>6500174130</v>
      </c>
      <c r="M683" s="166" t="s">
        <v>4452</v>
      </c>
      <c r="N683" s="167">
        <v>15391.32</v>
      </c>
      <c r="O683" s="167">
        <v>16314.8</v>
      </c>
      <c r="P683" s="167">
        <v>15391.32</v>
      </c>
      <c r="Q683" s="167"/>
      <c r="R683" s="167">
        <f t="shared" si="85"/>
        <v>15391.32</v>
      </c>
      <c r="S683" s="178">
        <f>IFERROR(VLOOKUP(G683,'附表8-合同明细采集底稿'!B:N,12,0),100%)</f>
        <v>0.338555832480367</v>
      </c>
      <c r="T683" s="167">
        <f t="shared" si="86"/>
        <v>5210.82</v>
      </c>
      <c r="U683" s="157" t="s">
        <v>3999</v>
      </c>
      <c r="V683" s="179" t="s">
        <v>375</v>
      </c>
      <c r="W683" s="180">
        <f>IF('附表1-面积统计表'!$D$29=0,"",IF(AND(V683="共同成本费用",Z683="总建筑面积法"),ROUND(T683/'附表1-面积统计表'!$D$29*'附表1-面积统计表'!$D$5,2),IF(AND(V683="共同成本费用",Z683="可售建筑面积法"),ROUND(T683/'附表1-面积统计表'!$F$29*'附表1-面积统计表'!$F$5,2),"请手工填写")))</f>
        <v>2524.45</v>
      </c>
      <c r="X683" s="180">
        <f>IF(SUM('附表1-面积统计表'!$D$6)=0,"",SUM(T683)-SUM(W683)-SUM(Y683))</f>
        <v>1670.25</v>
      </c>
      <c r="Y683" s="180">
        <f>IF(SUM('附表1-面积统计表'!$D$6)=0,SUM(T683)-SUM(W683),IF('附表1-面积统计表'!$D$29=0,"",IF(AND(V683="共同成本费用",Z683="总建筑面积法"),ROUND(T683/'附表1-面积统计表'!$D$29*'附表1-面积统计表'!$D$7,2),IF(AND(V683="共同成本费用",Z683="可售建筑面积法"),ROUND(T683/'附表1-面积统计表'!$F$29*'附表1-面积统计表'!$F$7,2),"请手工填写"))))</f>
        <v>1016.12</v>
      </c>
      <c r="Z683" s="183" t="s">
        <v>351</v>
      </c>
      <c r="AA683" s="157"/>
      <c r="AB683" s="184" t="s">
        <v>2319</v>
      </c>
      <c r="AC683" s="132">
        <f t="shared" si="79"/>
        <v>0</v>
      </c>
    </row>
    <row r="684" s="132" customFormat="1" ht="24" customHeight="1" spans="1:29">
      <c r="A684" s="150">
        <v>678</v>
      </c>
      <c r="B684" s="187" t="s">
        <v>4447</v>
      </c>
      <c r="C684" s="169" t="s">
        <v>4367</v>
      </c>
      <c r="D684" s="157" t="s">
        <v>2339</v>
      </c>
      <c r="E684" s="158" t="s">
        <v>2351</v>
      </c>
      <c r="F684" s="154" t="s">
        <v>4450</v>
      </c>
      <c r="G684" s="156" t="s">
        <v>2415</v>
      </c>
      <c r="H684" s="157" t="str">
        <f>IF(G684="","",VLOOKUP(G684,'附表8-合同明细采集底稿'!B:I,2,0))</f>
        <v>建设工程设计合同（19-24#、1#35#、大门、值班室）</v>
      </c>
      <c r="I684" s="165" t="str">
        <f>IF(G684="","",VLOOKUP(G684,'附表8-合同明细采集底稿'!B:I,3,0))</f>
        <v>技术合同</v>
      </c>
      <c r="J684" s="188" t="s">
        <v>2388</v>
      </c>
      <c r="K684" s="157" t="s">
        <v>2355</v>
      </c>
      <c r="L684" s="168">
        <v>6500174130</v>
      </c>
      <c r="M684" s="166" t="s">
        <v>4453</v>
      </c>
      <c r="N684" s="167">
        <v>57792.45</v>
      </c>
      <c r="O684" s="167">
        <v>61260</v>
      </c>
      <c r="P684" s="167">
        <v>57792.45</v>
      </c>
      <c r="Q684" s="167"/>
      <c r="R684" s="167">
        <f t="shared" si="85"/>
        <v>57792.45</v>
      </c>
      <c r="S684" s="178">
        <f>IFERROR(VLOOKUP(G684,'附表8-合同明细采集底稿'!B:N,12,0),100%)</f>
        <v>1</v>
      </c>
      <c r="T684" s="167">
        <f t="shared" si="86"/>
        <v>57792.45</v>
      </c>
      <c r="U684" s="157" t="s">
        <v>2416</v>
      </c>
      <c r="V684" s="179" t="s">
        <v>374</v>
      </c>
      <c r="W684" s="182">
        <f>ROUND(T684*成本分摊比例!$G$13/(成本分摊比例!$G$13+成本分摊比例!$H$13+成本分摊比例!$I$13),2)</f>
        <v>31225.36</v>
      </c>
      <c r="X684" s="182">
        <f>ROUND(T684*成本分摊比例!$H$13/(成本分摊比例!$G$13+成本分摊比例!$H$13+成本分摊比例!$I$13),2)</f>
        <v>20659.56</v>
      </c>
      <c r="Y684" s="182">
        <f>T684-W684-X684</f>
        <v>5907.53</v>
      </c>
      <c r="Z684" s="183" t="s">
        <v>2406</v>
      </c>
      <c r="AA684" s="157"/>
      <c r="AB684" s="184" t="s">
        <v>2319</v>
      </c>
      <c r="AC684" s="132">
        <f t="shared" si="79"/>
        <v>0</v>
      </c>
    </row>
    <row r="685" s="132" customFormat="1" ht="24" customHeight="1" spans="1:29">
      <c r="A685" s="150">
        <v>679</v>
      </c>
      <c r="B685" s="187" t="s">
        <v>4447</v>
      </c>
      <c r="C685" s="169" t="s">
        <v>4367</v>
      </c>
      <c r="D685" s="157" t="s">
        <v>2339</v>
      </c>
      <c r="E685" s="158" t="s">
        <v>2351</v>
      </c>
      <c r="F685" s="154" t="s">
        <v>4450</v>
      </c>
      <c r="G685" s="156" t="s">
        <v>2397</v>
      </c>
      <c r="H685" s="157" t="str">
        <f>IF(G685="","",VLOOKUP(G685,'附表8-合同明细采集底稿'!B:I,2,0))</f>
        <v>沁春锦苑室外管网设计</v>
      </c>
      <c r="I685" s="165" t="str">
        <f>IF(G685="","",VLOOKUP(G685,'附表8-合同明细采集底稿'!B:I,3,0))</f>
        <v>技术合同</v>
      </c>
      <c r="J685" s="188" t="s">
        <v>2388</v>
      </c>
      <c r="K685" s="157" t="s">
        <v>2355</v>
      </c>
      <c r="L685" s="168">
        <v>6500174130</v>
      </c>
      <c r="M685" s="166" t="s">
        <v>4454</v>
      </c>
      <c r="N685" s="167">
        <v>22641.51</v>
      </c>
      <c r="O685" s="167">
        <v>24000</v>
      </c>
      <c r="P685" s="167">
        <v>22641.51</v>
      </c>
      <c r="Q685" s="167"/>
      <c r="R685" s="167">
        <f t="shared" si="85"/>
        <v>22641.51</v>
      </c>
      <c r="S685" s="178">
        <f>IFERROR(VLOOKUP(G685,'附表8-合同明细采集底稿'!B:N,12,0),100%)</f>
        <v>0.338555832480367</v>
      </c>
      <c r="T685" s="167">
        <f t="shared" si="86"/>
        <v>7665.42</v>
      </c>
      <c r="U685" s="157" t="s">
        <v>2318</v>
      </c>
      <c r="V685" s="179" t="s">
        <v>375</v>
      </c>
      <c r="W685" s="180">
        <f>IF('附表1-面积统计表'!$D$29=0,"",IF(AND(V685="共同成本费用",Z685="总建筑面积法"),ROUND(T685/'附表1-面积统计表'!$D$29*'附表1-面积统计表'!$D$5,2),IF(AND(V685="共同成本费用",Z685="可售建筑面积法"),ROUND(T685/'附表1-面积统计表'!$F$29*'附表1-面积统计表'!$F$5,2),"请手工填写")))</f>
        <v>3713.61</v>
      </c>
      <c r="X685" s="180">
        <f>IF(SUM('附表1-面积统计表'!$D$6)=0,"",SUM(T685)-SUM(W685)-SUM(Y685))</f>
        <v>2457.03</v>
      </c>
      <c r="Y685" s="180">
        <f>IF(SUM('附表1-面积统计表'!$D$6)=0,SUM(T685)-SUM(W685),IF('附表1-面积统计表'!$D$29=0,"",IF(AND(V685="共同成本费用",Z685="总建筑面积法"),ROUND(T685/'附表1-面积统计表'!$D$29*'附表1-面积统计表'!$D$7,2),IF(AND(V685="共同成本费用",Z685="可售建筑面积法"),ROUND(T685/'附表1-面积统计表'!$F$29*'附表1-面积统计表'!$F$7,2),"请手工填写"))))</f>
        <v>1494.78</v>
      </c>
      <c r="Z685" s="183" t="s">
        <v>351</v>
      </c>
      <c r="AA685" s="157"/>
      <c r="AB685" s="184" t="s">
        <v>2319</v>
      </c>
      <c r="AC685" s="132">
        <f t="shared" si="79"/>
        <v>0</v>
      </c>
    </row>
    <row r="686" s="132" customFormat="1" ht="24" customHeight="1" spans="1:29">
      <c r="A686" s="150">
        <v>680</v>
      </c>
      <c r="B686" s="187" t="s">
        <v>4455</v>
      </c>
      <c r="C686" s="169" t="s">
        <v>4407</v>
      </c>
      <c r="D686" s="157" t="s">
        <v>2533</v>
      </c>
      <c r="E686" s="158" t="s">
        <v>2690</v>
      </c>
      <c r="F686" s="154" t="s">
        <v>4456</v>
      </c>
      <c r="G686" s="156" t="s">
        <v>4289</v>
      </c>
      <c r="H686" s="157" t="str">
        <f>IF(G686="","",VLOOKUP(G686,'附表8-合同明细采集底稿'!B:I,2,0))</f>
        <v>二期、三期给排水、消防工程施工合同--36#</v>
      </c>
      <c r="I686" s="165" t="str">
        <f>IF(G686="","",VLOOKUP(G686,'附表8-合同明细采集底稿'!B:I,3,0))</f>
        <v>建设工程合同</v>
      </c>
      <c r="J686" s="188" t="s">
        <v>4143</v>
      </c>
      <c r="K686" s="157" t="s">
        <v>2355</v>
      </c>
      <c r="L686" s="168"/>
      <c r="M686" s="166" t="s">
        <v>4457</v>
      </c>
      <c r="N686" s="167">
        <v>16668.82</v>
      </c>
      <c r="O686" s="167">
        <v>18169.01</v>
      </c>
      <c r="P686" s="167">
        <v>16668.82</v>
      </c>
      <c r="Q686" s="167">
        <v>-16668.82</v>
      </c>
      <c r="R686" s="167">
        <f t="shared" si="85"/>
        <v>0</v>
      </c>
      <c r="S686" s="178">
        <f>IFERROR(VLOOKUP(G686,'附表8-合同明细采集底稿'!B:N,12,0),100%)</f>
        <v>1</v>
      </c>
      <c r="T686" s="167">
        <f t="shared" si="86"/>
        <v>0</v>
      </c>
      <c r="U686" s="157" t="s">
        <v>3680</v>
      </c>
      <c r="V686" s="179" t="s">
        <v>374</v>
      </c>
      <c r="W686" s="181">
        <v>0</v>
      </c>
      <c r="X686" s="181">
        <v>0</v>
      </c>
      <c r="Y686" s="181">
        <v>0</v>
      </c>
      <c r="Z686" s="183" t="s">
        <v>2406</v>
      </c>
      <c r="AA686" s="157"/>
      <c r="AB686" s="184" t="s">
        <v>2319</v>
      </c>
      <c r="AC686" s="132">
        <f t="shared" si="79"/>
        <v>0</v>
      </c>
    </row>
    <row r="687" s="132" customFormat="1" ht="24" customHeight="1" spans="1:29">
      <c r="A687" s="150">
        <v>681</v>
      </c>
      <c r="B687" s="187" t="s">
        <v>4455</v>
      </c>
      <c r="C687" s="169" t="s">
        <v>4407</v>
      </c>
      <c r="D687" s="157" t="s">
        <v>2331</v>
      </c>
      <c r="E687" s="158" t="s">
        <v>3544</v>
      </c>
      <c r="F687" s="154" t="s">
        <v>4456</v>
      </c>
      <c r="G687" s="156" t="s">
        <v>4142</v>
      </c>
      <c r="H687" s="157" t="str">
        <f>IF(G687="","",VLOOKUP(G687,'附表8-合同明细采集底稿'!B:I,2,0))</f>
        <v>二期、三期给排水、消防工程施工合同-幼儿园</v>
      </c>
      <c r="I687" s="165" t="str">
        <f>IF(G687="","",VLOOKUP(G687,'附表8-合同明细采集底稿'!B:I,3,0))</f>
        <v>建设工程合同</v>
      </c>
      <c r="J687" s="188" t="s">
        <v>4143</v>
      </c>
      <c r="K687" s="157" t="s">
        <v>2355</v>
      </c>
      <c r="L687" s="168"/>
      <c r="M687" s="166" t="s">
        <v>4457</v>
      </c>
      <c r="N687" s="167">
        <v>36451.56</v>
      </c>
      <c r="O687" s="167">
        <v>39732.2</v>
      </c>
      <c r="P687" s="167">
        <v>36451.56</v>
      </c>
      <c r="Q687" s="167"/>
      <c r="R687" s="167">
        <f t="shared" si="85"/>
        <v>36451.56</v>
      </c>
      <c r="S687" s="178">
        <f>IFERROR(VLOOKUP(G687,'附表8-合同明细采集底稿'!B:N,12,0),100%)</f>
        <v>0.338555832480367</v>
      </c>
      <c r="T687" s="167">
        <f t="shared" si="86"/>
        <v>12340.89</v>
      </c>
      <c r="U687" s="157" t="s">
        <v>3678</v>
      </c>
      <c r="V687" s="179" t="s">
        <v>375</v>
      </c>
      <c r="W687" s="180">
        <f>IF('附表1-面积统计表'!$D$29=0,"",IF(AND(V687="共同成本费用",Z687="总建筑面积法"),ROUND(T687/'附表1-面积统计表'!$D$29*'附表1-面积统计表'!$D$5,2),IF(AND(V687="共同成本费用",Z687="可售建筑面积法"),ROUND(T687/'附表1-面积统计表'!$F$29*'附表1-面积统计表'!$F$5,2),"请手工填写")))</f>
        <v>5978.71</v>
      </c>
      <c r="X687" s="180">
        <f>IF(SUM('附表1-面积统计表'!$D$6)=0,"",SUM(T687)-SUM(W687)-SUM(Y687))</f>
        <v>3955.67</v>
      </c>
      <c r="Y687" s="180">
        <f>IF(SUM('附表1-面积统计表'!$D$6)=0,SUM(T687)-SUM(W687),IF('附表1-面积统计表'!$D$29=0,"",IF(AND(V687="共同成本费用",Z687="总建筑面积法"),ROUND(T687/'附表1-面积统计表'!$D$29*'附表1-面积统计表'!$D$7,2),IF(AND(V687="共同成本费用",Z687="可售建筑面积法"),ROUND(T687/'附表1-面积统计表'!$F$29*'附表1-面积统计表'!$F$7,2),"请手工填写"))))</f>
        <v>2406.51</v>
      </c>
      <c r="Z687" s="183" t="s">
        <v>351</v>
      </c>
      <c r="AA687" s="157"/>
      <c r="AB687" s="184" t="s">
        <v>2319</v>
      </c>
      <c r="AC687" s="132">
        <f t="shared" si="79"/>
        <v>0</v>
      </c>
    </row>
    <row r="688" s="132" customFormat="1" ht="24" customHeight="1" spans="1:29">
      <c r="A688" s="150">
        <v>682</v>
      </c>
      <c r="B688" s="187" t="s">
        <v>4455</v>
      </c>
      <c r="C688" s="169" t="s">
        <v>4407</v>
      </c>
      <c r="D688" s="157" t="s">
        <v>2331</v>
      </c>
      <c r="E688" s="158" t="s">
        <v>3994</v>
      </c>
      <c r="F688" s="154" t="s">
        <v>4456</v>
      </c>
      <c r="G688" s="156" t="s">
        <v>4458</v>
      </c>
      <c r="H688" s="157" t="str">
        <f>IF(G688="","",VLOOKUP(G688,'附表8-合同明细采集底稿'!B:I,2,0))</f>
        <v>二期、三期给排水、消防工程施工合同-社区用房</v>
      </c>
      <c r="I688" s="165" t="str">
        <f>IF(G688="","",VLOOKUP(G688,'附表8-合同明细采集底稿'!B:I,3,0))</f>
        <v>建设工程合同</v>
      </c>
      <c r="J688" s="188" t="s">
        <v>4143</v>
      </c>
      <c r="K688" s="157" t="s">
        <v>2355</v>
      </c>
      <c r="L688" s="168"/>
      <c r="M688" s="166" t="s">
        <v>4457</v>
      </c>
      <c r="N688" s="167">
        <v>30904.92</v>
      </c>
      <c r="O688" s="167">
        <v>33686.36</v>
      </c>
      <c r="P688" s="167">
        <v>30904.92</v>
      </c>
      <c r="Q688" s="167">
        <v>119880.357798165</v>
      </c>
      <c r="R688" s="167">
        <f t="shared" si="85"/>
        <v>150785.277798165</v>
      </c>
      <c r="S688" s="178">
        <f>IFERROR(VLOOKUP(G688,'附表8-合同明细采集底稿'!B:N,12,0),100%)</f>
        <v>0.338555832480367</v>
      </c>
      <c r="T688" s="167">
        <f t="shared" si="86"/>
        <v>51049.24</v>
      </c>
      <c r="U688" s="157" t="s">
        <v>3999</v>
      </c>
      <c r="V688" s="179" t="s">
        <v>375</v>
      </c>
      <c r="W688" s="180">
        <f>IF('附表1-面积统计表'!$D$29=0,"",IF(AND(V688="共同成本费用",Z688="总建筑面积法"),ROUND(T688/'附表1-面积统计表'!$D$29*'附表1-面积统计表'!$D$5,2),IF(AND(V688="共同成本费用",Z688="可售建筑面积法"),ROUND(T688/'附表1-面积统计表'!$F$29*'附表1-面积统计表'!$F$5,2),"请手工填写")))</f>
        <v>24731.47</v>
      </c>
      <c r="X688" s="180">
        <f>IF(SUM('附表1-面积统计表'!$D$6)=0,"",SUM(T688)-SUM(W688)-SUM(Y688))</f>
        <v>16363.02</v>
      </c>
      <c r="Y688" s="180">
        <f>IF(SUM('附表1-面积统计表'!$D$6)=0,SUM(T688)-SUM(W688),IF('附表1-面积统计表'!$D$29=0,"",IF(AND(V688="共同成本费用",Z688="总建筑面积法"),ROUND(T688/'附表1-面积统计表'!$D$29*'附表1-面积统计表'!$D$7,2),IF(AND(V688="共同成本费用",Z688="可售建筑面积法"),ROUND(T688/'附表1-面积统计表'!$F$29*'附表1-面积统计表'!$F$7,2),"请手工填写"))))</f>
        <v>9954.75</v>
      </c>
      <c r="Z688" s="183" t="s">
        <v>351</v>
      </c>
      <c r="AA688" s="157"/>
      <c r="AB688" s="184" t="s">
        <v>2319</v>
      </c>
      <c r="AC688" s="132">
        <f t="shared" si="79"/>
        <v>0</v>
      </c>
    </row>
    <row r="689" s="132" customFormat="1" ht="24" customHeight="1" spans="1:29">
      <c r="A689" s="150">
        <v>683</v>
      </c>
      <c r="B689" s="187" t="s">
        <v>4254</v>
      </c>
      <c r="C689" s="212" t="s">
        <v>4255</v>
      </c>
      <c r="D689" s="153" t="s">
        <v>2533</v>
      </c>
      <c r="E689" s="154" t="s">
        <v>2690</v>
      </c>
      <c r="F689" s="157" t="s">
        <v>4459</v>
      </c>
      <c r="G689" s="156" t="s">
        <v>2900</v>
      </c>
      <c r="H689" s="157" t="str">
        <f>IF(G689="","",VLOOKUP(G689,'附表8-合同明细采集底稿'!B:I,2,0))</f>
        <v>沁春锦苑25、26、28#施工协议</v>
      </c>
      <c r="I689" s="165" t="str">
        <f>IF(G689="","",VLOOKUP(G689,'附表8-合同明细采集底稿'!B:I,3,0))</f>
        <v>建设工程合同</v>
      </c>
      <c r="J689" s="157" t="str">
        <f>IF(G689="","",VLOOKUP(G689,'附表8-合同明细采集底稿'!B:I,4,0))</f>
        <v>新疆正杰建筑集团有限公司（郑青峰）</v>
      </c>
      <c r="K689" s="157" t="s">
        <v>2317</v>
      </c>
      <c r="L689" s="156"/>
      <c r="M689" s="156"/>
      <c r="N689" s="167">
        <v>-951871.09</v>
      </c>
      <c r="O689" s="167">
        <v>-945128.48</v>
      </c>
      <c r="P689" s="167">
        <v>-945128.48</v>
      </c>
      <c r="Q689" s="167"/>
      <c r="R689" s="167">
        <f t="shared" si="85"/>
        <v>-945128.48</v>
      </c>
      <c r="S689" s="178">
        <f>IFERROR(VLOOKUP(G689,'附表8-合同明细采集底稿'!B:N,12,0),100%)</f>
        <v>1</v>
      </c>
      <c r="T689" s="167">
        <f t="shared" si="86"/>
        <v>-945128.48</v>
      </c>
      <c r="U689" s="157" t="s">
        <v>2405</v>
      </c>
      <c r="V689" s="179" t="s">
        <v>374</v>
      </c>
      <c r="W689" s="182">
        <v>0</v>
      </c>
      <c r="X689" s="182">
        <v>0</v>
      </c>
      <c r="Y689" s="182">
        <f>T689</f>
        <v>-945128.48</v>
      </c>
      <c r="Z689" s="183" t="s">
        <v>2406</v>
      </c>
      <c r="AA689" s="157"/>
      <c r="AB689" s="184" t="s">
        <v>2319</v>
      </c>
      <c r="AC689" s="132">
        <f t="shared" si="79"/>
        <v>0</v>
      </c>
    </row>
    <row r="690" s="132" customFormat="1" ht="24" customHeight="1" spans="1:29">
      <c r="A690" s="150">
        <v>684</v>
      </c>
      <c r="B690" s="187" t="s">
        <v>4254</v>
      </c>
      <c r="C690" s="212" t="s">
        <v>4255</v>
      </c>
      <c r="D690" s="153" t="s">
        <v>2533</v>
      </c>
      <c r="E690" s="154" t="s">
        <v>2690</v>
      </c>
      <c r="F690" s="157" t="s">
        <v>4459</v>
      </c>
      <c r="G690" s="156" t="s">
        <v>2900</v>
      </c>
      <c r="H690" s="157" t="str">
        <f>IF(G690="","",VLOOKUP(G690,'附表8-合同明细采集底稿'!B:I,2,0))</f>
        <v>沁春锦苑25、26、28#施工协议</v>
      </c>
      <c r="I690" s="165" t="str">
        <f>IF(G690="","",VLOOKUP(G690,'附表8-合同明细采集底稿'!B:I,3,0))</f>
        <v>建设工程合同</v>
      </c>
      <c r="J690" s="157" t="str">
        <f>IF(G690="","",VLOOKUP(G690,'附表8-合同明细采集底稿'!B:I,4,0))</f>
        <v>新疆正杰建筑集团有限公司（郑青峰）</v>
      </c>
      <c r="K690" s="157" t="s">
        <v>2317</v>
      </c>
      <c r="L690" s="156"/>
      <c r="M690" s="156"/>
      <c r="N690" s="167">
        <v>951871.09</v>
      </c>
      <c r="O690" s="167">
        <v>945128.48</v>
      </c>
      <c r="P690" s="167">
        <v>945128.48</v>
      </c>
      <c r="Q690" s="167"/>
      <c r="R690" s="167">
        <f t="shared" si="85"/>
        <v>945128.48</v>
      </c>
      <c r="S690" s="178">
        <f>IFERROR(VLOOKUP(G690,'附表8-合同明细采集底稿'!B:N,12,0),100%)</f>
        <v>1</v>
      </c>
      <c r="T690" s="167">
        <f t="shared" si="86"/>
        <v>945128.48</v>
      </c>
      <c r="U690" s="157" t="s">
        <v>2405</v>
      </c>
      <c r="V690" s="179" t="s">
        <v>374</v>
      </c>
      <c r="W690" s="182">
        <v>0</v>
      </c>
      <c r="X690" s="182">
        <v>0</v>
      </c>
      <c r="Y690" s="182">
        <f>T690</f>
        <v>945128.48</v>
      </c>
      <c r="Z690" s="183" t="s">
        <v>2406</v>
      </c>
      <c r="AA690" s="157"/>
      <c r="AB690" s="184" t="s">
        <v>2319</v>
      </c>
      <c r="AC690" s="132">
        <f t="shared" si="79"/>
        <v>0</v>
      </c>
    </row>
    <row r="691" s="132" customFormat="1" ht="24" customHeight="1" spans="1:29">
      <c r="A691" s="150">
        <v>685</v>
      </c>
      <c r="B691" s="214" t="s">
        <v>4460</v>
      </c>
      <c r="C691" s="156" t="s">
        <v>363</v>
      </c>
      <c r="D691" s="153" t="s">
        <v>2331</v>
      </c>
      <c r="E691" s="154" t="s">
        <v>3544</v>
      </c>
      <c r="F691" s="157" t="s">
        <v>4461</v>
      </c>
      <c r="G691" s="156" t="s">
        <v>3676</v>
      </c>
      <c r="H691" s="157" t="str">
        <f>IF(G691="","",VLOOKUP(G691,'附表8-合同明细采集底稿'!B:I,2,0))</f>
        <v>建设工程施工合同12-15#楼38#楼、31#楼幼儿园（幼儿园—）</v>
      </c>
      <c r="I691" s="165" t="str">
        <f>IF(G691="","",VLOOKUP(G691,'附表8-合同明细采集底稿'!B:I,3,0))</f>
        <v>建设工程合同</v>
      </c>
      <c r="J691" s="157" t="str">
        <f>IF(G691="","",VLOOKUP(G691,'附表8-合同明细采集底稿'!B:I,4,0))</f>
        <v>新疆通力建设集团股份有限公司（顾）</v>
      </c>
      <c r="K691" s="157" t="s">
        <v>2355</v>
      </c>
      <c r="L691" s="168"/>
      <c r="M691" s="156" t="s">
        <v>4462</v>
      </c>
      <c r="N691" s="167">
        <v>151786.67</v>
      </c>
      <c r="O691" s="167">
        <v>151786.67</v>
      </c>
      <c r="P691" s="167">
        <v>151786.67</v>
      </c>
      <c r="Q691" s="167"/>
      <c r="R691" s="167">
        <f t="shared" si="85"/>
        <v>151786.67</v>
      </c>
      <c r="S691" s="178">
        <f>IFERROR(VLOOKUP(G691,'附表8-合同明细采集底稿'!B:N,12,0),100%)</f>
        <v>0.338555832480367</v>
      </c>
      <c r="T691" s="167">
        <f t="shared" si="86"/>
        <v>51388.26</v>
      </c>
      <c r="U691" s="157" t="s">
        <v>3678</v>
      </c>
      <c r="V691" s="179" t="s">
        <v>375</v>
      </c>
      <c r="W691" s="180">
        <f>IF('附表1-面积统计表'!$D$29=0,"",IF(AND(V691="共同成本费用",Z691="总建筑面积法"),ROUND(T691/'附表1-面积统计表'!$D$29*'附表1-面积统计表'!$D$5,2),IF(AND(V691="共同成本费用",Z691="可售建筑面积法"),ROUND(T691/'附表1-面积统计表'!$F$29*'附表1-面积统计表'!$F$5,2),"请手工填写")))</f>
        <v>24895.71</v>
      </c>
      <c r="X691" s="180">
        <f>IF(SUM('附表1-面积统计表'!$D$6)=0,"",SUM(T691)-SUM(W691)-SUM(Y691))</f>
        <v>16471.69</v>
      </c>
      <c r="Y691" s="180">
        <f>IF(SUM('附表1-面积统计表'!$D$6)=0,SUM(T691)-SUM(W691),IF('附表1-面积统计表'!$D$29=0,"",IF(AND(V691="共同成本费用",Z691="总建筑面积法"),ROUND(T691/'附表1-面积统计表'!$D$29*'附表1-面积统计表'!$D$7,2),IF(AND(V691="共同成本费用",Z691="可售建筑面积法"),ROUND(T691/'附表1-面积统计表'!$F$29*'附表1-面积统计表'!$F$7,2),"请手工填写"))))</f>
        <v>10020.86</v>
      </c>
      <c r="Z691" s="183" t="s">
        <v>351</v>
      </c>
      <c r="AA691" s="157"/>
      <c r="AB691" s="184" t="s">
        <v>2319</v>
      </c>
      <c r="AC691" s="132">
        <f t="shared" si="79"/>
        <v>0</v>
      </c>
    </row>
    <row r="692" s="132" customFormat="1" ht="24" customHeight="1" spans="1:29">
      <c r="A692" s="150">
        <v>686</v>
      </c>
      <c r="B692" s="214" t="s">
        <v>3373</v>
      </c>
      <c r="C692" s="156" t="s">
        <v>4463</v>
      </c>
      <c r="D692" s="153" t="s">
        <v>2533</v>
      </c>
      <c r="E692" s="154" t="s">
        <v>2564</v>
      </c>
      <c r="F692" s="157" t="s">
        <v>4464</v>
      </c>
      <c r="G692" s="156" t="s">
        <v>2587</v>
      </c>
      <c r="H692" s="157" t="str">
        <f>IF(G692="","",VLOOKUP(G692,'附表8-合同明细采集底稿'!B:I,2,0))</f>
        <v>承揽合同（铝合金窗120.24#）</v>
      </c>
      <c r="I692" s="165" t="str">
        <f>IF(G692="","",VLOOKUP(G692,'附表8-合同明细采集底稿'!B:I,3,0))</f>
        <v>买卖合同</v>
      </c>
      <c r="J692" s="157" t="str">
        <f>IF(G692="","",VLOOKUP(G692,'附表8-合同明细采集底稿'!B:I,4,0))</f>
        <v>库尔勒坚乐美建筑工程有限责任公司（郑长银）</v>
      </c>
      <c r="K692" s="157" t="s">
        <v>2355</v>
      </c>
      <c r="L692" s="156">
        <v>6500193130</v>
      </c>
      <c r="M692" s="558" t="s">
        <v>4465</v>
      </c>
      <c r="N692" s="167">
        <v>442477.9</v>
      </c>
      <c r="O692" s="167">
        <v>500000</v>
      </c>
      <c r="P692" s="167">
        <v>442477.9</v>
      </c>
      <c r="Q692" s="167"/>
      <c r="R692" s="167">
        <f t="shared" si="85"/>
        <v>442477.9</v>
      </c>
      <c r="S692" s="178">
        <f>IFERROR(VLOOKUP(G692,'附表8-合同明细采集底稿'!B:N,12,0),100%)</f>
        <v>1</v>
      </c>
      <c r="T692" s="167">
        <f t="shared" si="86"/>
        <v>442477.9</v>
      </c>
      <c r="U692" s="157" t="s">
        <v>2416</v>
      </c>
      <c r="V692" s="179" t="s">
        <v>374</v>
      </c>
      <c r="W692" s="182">
        <f>ROUND(T692*成本分摊比例!$G$13/(成本分摊比例!$G$13+成本分摊比例!$H$13+成本分摊比例!$I$13),2)</f>
        <v>239071.6</v>
      </c>
      <c r="X692" s="182">
        <f>ROUND(T692*成本分摊比例!$H$13/(成本分摊比例!$G$13+成本分摊比例!$H$13+成本分摊比例!$I$13),2)</f>
        <v>158176.35</v>
      </c>
      <c r="Y692" s="182">
        <f t="shared" ref="Y692:Y697" si="87">T692-W692-X692</f>
        <v>45229.95</v>
      </c>
      <c r="Z692" s="183" t="s">
        <v>2406</v>
      </c>
      <c r="AA692" s="157"/>
      <c r="AB692" s="184" t="s">
        <v>2319</v>
      </c>
      <c r="AC692" s="132">
        <f t="shared" si="79"/>
        <v>0</v>
      </c>
    </row>
    <row r="693" s="132" customFormat="1" ht="24" customHeight="1" spans="1:29">
      <c r="A693" s="150">
        <v>687</v>
      </c>
      <c r="B693" s="214" t="s">
        <v>4466</v>
      </c>
      <c r="C693" s="156" t="s">
        <v>538</v>
      </c>
      <c r="D693" s="153" t="s">
        <v>2339</v>
      </c>
      <c r="E693" s="154" t="s">
        <v>2340</v>
      </c>
      <c r="F693" s="157" t="s">
        <v>4467</v>
      </c>
      <c r="G693" s="156"/>
      <c r="H693" s="157" t="str">
        <f>IF(G693="","",VLOOKUP(G693,'附表8-合同明细采集底稿'!B:I,2,0))</f>
        <v/>
      </c>
      <c r="I693" s="165" t="str">
        <f>IF(G693="","",VLOOKUP(G693,'附表8-合同明细采集底稿'!B:I,3,0))</f>
        <v/>
      </c>
      <c r="J693" s="157" t="s">
        <v>20</v>
      </c>
      <c r="K693" s="157" t="s">
        <v>4468</v>
      </c>
      <c r="L693" s="156"/>
      <c r="M693" s="156" t="s">
        <v>4469</v>
      </c>
      <c r="N693" s="167">
        <v>2292.37</v>
      </c>
      <c r="O693" s="167">
        <v>2292.37</v>
      </c>
      <c r="P693" s="167">
        <v>2292.37</v>
      </c>
      <c r="Q693" s="167"/>
      <c r="R693" s="167">
        <f t="shared" si="85"/>
        <v>2292.37</v>
      </c>
      <c r="S693" s="178">
        <v>1</v>
      </c>
      <c r="T693" s="167">
        <f t="shared" si="86"/>
        <v>2292.37</v>
      </c>
      <c r="U693" s="157" t="s">
        <v>2405</v>
      </c>
      <c r="V693" s="179" t="s">
        <v>374</v>
      </c>
      <c r="W693" s="181">
        <v>0</v>
      </c>
      <c r="X693" s="181">
        <v>0</v>
      </c>
      <c r="Y693" s="181">
        <v>2292.37</v>
      </c>
      <c r="Z693" s="183" t="s">
        <v>2406</v>
      </c>
      <c r="AA693" s="157"/>
      <c r="AB693" s="184" t="s">
        <v>2319</v>
      </c>
      <c r="AC693" s="132">
        <f t="shared" si="79"/>
        <v>0</v>
      </c>
    </row>
    <row r="694" s="132" customFormat="1" ht="24" customHeight="1" spans="1:29">
      <c r="A694" s="150">
        <v>688</v>
      </c>
      <c r="B694" s="214" t="s">
        <v>4466</v>
      </c>
      <c r="C694" s="156" t="s">
        <v>538</v>
      </c>
      <c r="D694" s="153" t="s">
        <v>2339</v>
      </c>
      <c r="E694" s="154" t="s">
        <v>2340</v>
      </c>
      <c r="F694" s="157" t="s">
        <v>4467</v>
      </c>
      <c r="G694" s="156"/>
      <c r="H694" s="157"/>
      <c r="I694" s="165"/>
      <c r="J694" s="157" t="s">
        <v>20</v>
      </c>
      <c r="K694" s="157" t="s">
        <v>4468</v>
      </c>
      <c r="L694" s="156"/>
      <c r="M694" s="156" t="s">
        <v>4469</v>
      </c>
      <c r="N694" s="167">
        <v>2222.64</v>
      </c>
      <c r="O694" s="167">
        <v>2222.64</v>
      </c>
      <c r="P694" s="167">
        <v>2222.64</v>
      </c>
      <c r="Q694" s="167">
        <v>-229.61</v>
      </c>
      <c r="R694" s="167">
        <f t="shared" si="85"/>
        <v>1993.03</v>
      </c>
      <c r="S694" s="178">
        <v>1</v>
      </c>
      <c r="T694" s="167">
        <f t="shared" si="86"/>
        <v>1993.03</v>
      </c>
      <c r="U694" s="157" t="s">
        <v>2405</v>
      </c>
      <c r="V694" s="179" t="s">
        <v>374</v>
      </c>
      <c r="W694" s="181">
        <v>0</v>
      </c>
      <c r="X694" s="181">
        <v>0</v>
      </c>
      <c r="Y694" s="181">
        <v>1993.03</v>
      </c>
      <c r="Z694" s="183" t="s">
        <v>2406</v>
      </c>
      <c r="AA694" s="157"/>
      <c r="AB694" s="184" t="s">
        <v>2319</v>
      </c>
      <c r="AC694" s="132">
        <f t="shared" si="79"/>
        <v>0</v>
      </c>
    </row>
    <row r="695" s="132" customFormat="1" ht="24" customHeight="1" spans="1:29">
      <c r="A695" s="150">
        <v>689</v>
      </c>
      <c r="B695" s="214" t="s">
        <v>4466</v>
      </c>
      <c r="C695" s="156" t="s">
        <v>538</v>
      </c>
      <c r="D695" s="153" t="s">
        <v>2339</v>
      </c>
      <c r="E695" s="154" t="s">
        <v>2340</v>
      </c>
      <c r="F695" s="157" t="s">
        <v>4467</v>
      </c>
      <c r="G695" s="156"/>
      <c r="H695" s="157" t="str">
        <f>IF(G695="","",VLOOKUP(G695,'附表8-合同明细采集底稿'!B:I,2,0))</f>
        <v/>
      </c>
      <c r="I695" s="165" t="str">
        <f>IF(G695="","",VLOOKUP(G695,'附表8-合同明细采集底稿'!B:I,3,0))</f>
        <v/>
      </c>
      <c r="J695" s="157" t="s">
        <v>20</v>
      </c>
      <c r="K695" s="157" t="s">
        <v>4468</v>
      </c>
      <c r="L695" s="156"/>
      <c r="M695" s="156" t="s">
        <v>4469</v>
      </c>
      <c r="N695" s="167">
        <v>165.95</v>
      </c>
      <c r="O695" s="167">
        <v>165.95</v>
      </c>
      <c r="P695" s="167">
        <v>165.95</v>
      </c>
      <c r="Q695" s="167">
        <v>-69.95</v>
      </c>
      <c r="R695" s="167">
        <f t="shared" si="85"/>
        <v>96</v>
      </c>
      <c r="S695" s="178">
        <v>1</v>
      </c>
      <c r="T695" s="167">
        <f t="shared" si="86"/>
        <v>96</v>
      </c>
      <c r="U695" s="157" t="s">
        <v>4470</v>
      </c>
      <c r="V695" s="179" t="s">
        <v>375</v>
      </c>
      <c r="W695" s="180">
        <f>IF('附表1-面积统计表'!$D$29=0,"",IF(AND(V695="共同成本费用",Z695="总建筑面积法"),ROUND(T695/'附表1-面积统计表'!$D$29*'附表1-面积统计表'!$D$5,2),IF(AND(V695="共同成本费用",Z695="可售建筑面积法"),ROUND(T695/'附表1-面积统计表'!$F$29*'附表1-面积统计表'!$F$5,2),"请手工填写")))</f>
        <v>46.51</v>
      </c>
      <c r="X695" s="180">
        <f>IF(SUM('附表1-面积统计表'!$D$6)=0,"",SUM(T695)-SUM(W695)-SUM(Y695))</f>
        <v>30.77</v>
      </c>
      <c r="Y695" s="180">
        <f>IF(SUM('附表1-面积统计表'!$D$6)=0,SUM(T695)-SUM(W695),IF('附表1-面积统计表'!$D$29=0,"",IF(AND(V695="共同成本费用",Z695="总建筑面积法"),ROUND(T695/'附表1-面积统计表'!$D$29*'附表1-面积统计表'!$D$7,2),IF(AND(V695="共同成本费用",Z695="可售建筑面积法"),ROUND(T695/'附表1-面积统计表'!$F$29*'附表1-面积统计表'!$F$7,2),"请手工填写"))))</f>
        <v>18.72</v>
      </c>
      <c r="Z695" s="183" t="s">
        <v>351</v>
      </c>
      <c r="AA695" s="157"/>
      <c r="AB695" s="184" t="s">
        <v>2319</v>
      </c>
      <c r="AC695" s="132">
        <f t="shared" si="79"/>
        <v>0</v>
      </c>
    </row>
    <row r="696" s="132" customFormat="1" ht="24" customHeight="1" spans="1:29">
      <c r="A696" s="150">
        <v>690</v>
      </c>
      <c r="B696" s="214" t="s">
        <v>4466</v>
      </c>
      <c r="C696" s="156" t="s">
        <v>538</v>
      </c>
      <c r="D696" s="153" t="s">
        <v>2339</v>
      </c>
      <c r="E696" s="154" t="s">
        <v>2340</v>
      </c>
      <c r="F696" s="157" t="s">
        <v>4467</v>
      </c>
      <c r="G696" s="156"/>
      <c r="H696" s="157" t="str">
        <f>IF(G696="","",VLOOKUP(G696,'附表8-合同明细采集底稿'!B:I,2,0))</f>
        <v/>
      </c>
      <c r="I696" s="165" t="str">
        <f>IF(G696="","",VLOOKUP(G696,'附表8-合同明细采集底稿'!B:I,3,0))</f>
        <v/>
      </c>
      <c r="J696" s="157" t="s">
        <v>20</v>
      </c>
      <c r="K696" s="157" t="s">
        <v>4468</v>
      </c>
      <c r="L696" s="156"/>
      <c r="M696" s="156" t="s">
        <v>4469</v>
      </c>
      <c r="N696" s="167">
        <v>36881.96</v>
      </c>
      <c r="O696" s="167">
        <v>36881.96</v>
      </c>
      <c r="P696" s="167">
        <v>36881.96</v>
      </c>
      <c r="Q696" s="167">
        <v>299.52</v>
      </c>
      <c r="R696" s="167">
        <f t="shared" si="85"/>
        <v>37181.48</v>
      </c>
      <c r="S696" s="178">
        <v>1</v>
      </c>
      <c r="T696" s="167">
        <f t="shared" si="86"/>
        <v>37181.48</v>
      </c>
      <c r="U696" s="157" t="s">
        <v>2416</v>
      </c>
      <c r="V696" s="179" t="s">
        <v>374</v>
      </c>
      <c r="W696" s="182">
        <f>ROUND(T696*成本分摊比例!$G$13/(成本分摊比例!$G$13+成本分摊比例!$H$13+成本分摊比例!$I$13),2)</f>
        <v>20089.22</v>
      </c>
      <c r="X696" s="182">
        <f>ROUND(T696*成本分摊比例!$H$13/(成本分摊比例!$G$13+成本分摊比例!$H$13+成本分摊比例!$I$13),2)</f>
        <v>13291.58</v>
      </c>
      <c r="Y696" s="182">
        <f t="shared" si="87"/>
        <v>3800.68</v>
      </c>
      <c r="Z696" s="183" t="s">
        <v>2406</v>
      </c>
      <c r="AA696" s="157"/>
      <c r="AB696" s="184" t="s">
        <v>2319</v>
      </c>
      <c r="AC696" s="132">
        <f t="shared" si="79"/>
        <v>0</v>
      </c>
    </row>
    <row r="697" s="132" customFormat="1" ht="24" customHeight="1" spans="1:29">
      <c r="A697" s="150">
        <v>691</v>
      </c>
      <c r="B697" s="214" t="s">
        <v>4466</v>
      </c>
      <c r="C697" s="156" t="s">
        <v>538</v>
      </c>
      <c r="D697" s="153" t="s">
        <v>2339</v>
      </c>
      <c r="E697" s="154" t="s">
        <v>2340</v>
      </c>
      <c r="F697" s="157" t="s">
        <v>4467</v>
      </c>
      <c r="G697" s="156"/>
      <c r="H697" s="157" t="str">
        <f>IF(G697="","",VLOOKUP(G697,'附表8-合同明细采集底稿'!B:I,2,0))</f>
        <v/>
      </c>
      <c r="I697" s="165" t="str">
        <f>IF(G697="","",VLOOKUP(G697,'附表8-合同明细采集底稿'!B:I,3,0))</f>
        <v/>
      </c>
      <c r="J697" s="157" t="s">
        <v>20</v>
      </c>
      <c r="K697" s="157" t="s">
        <v>4468</v>
      </c>
      <c r="L697" s="156"/>
      <c r="M697" s="156" t="s">
        <v>4469</v>
      </c>
      <c r="N697" s="167">
        <v>43655.84</v>
      </c>
      <c r="O697" s="167">
        <v>43655.84</v>
      </c>
      <c r="P697" s="167">
        <v>43655.84</v>
      </c>
      <c r="Q697" s="167"/>
      <c r="R697" s="167">
        <f t="shared" si="85"/>
        <v>43655.84</v>
      </c>
      <c r="S697" s="178">
        <v>1</v>
      </c>
      <c r="T697" s="167">
        <f t="shared" si="86"/>
        <v>43655.84</v>
      </c>
      <c r="U697" s="157" t="s">
        <v>2416</v>
      </c>
      <c r="V697" s="179" t="s">
        <v>374</v>
      </c>
      <c r="W697" s="182">
        <f>ROUND(T697*成本分摊比例!$G$13/(成本分摊比例!$G$13+成本分摊比例!$H$13+成本分摊比例!$I$13),2)</f>
        <v>23587.33</v>
      </c>
      <c r="X697" s="182">
        <f>ROUND(T697*成本分摊比例!$H$13/(成本分摊比例!$G$13+成本分摊比例!$H$13+成本分摊比例!$I$13),2)</f>
        <v>15606.03</v>
      </c>
      <c r="Y697" s="182">
        <f t="shared" si="87"/>
        <v>4462.47999999999</v>
      </c>
      <c r="Z697" s="183" t="s">
        <v>2406</v>
      </c>
      <c r="AA697" s="157"/>
      <c r="AB697" s="184" t="s">
        <v>2319</v>
      </c>
      <c r="AC697" s="132">
        <f t="shared" si="79"/>
        <v>0</v>
      </c>
    </row>
    <row r="698" s="132" customFormat="1" ht="24" customHeight="1" spans="1:29">
      <c r="A698" s="150">
        <v>692</v>
      </c>
      <c r="B698" s="214" t="s">
        <v>4471</v>
      </c>
      <c r="C698" s="156" t="s">
        <v>567</v>
      </c>
      <c r="D698" s="153" t="s">
        <v>2331</v>
      </c>
      <c r="E698" s="154" t="s">
        <v>3095</v>
      </c>
      <c r="F698" s="157" t="s">
        <v>4472</v>
      </c>
      <c r="G698" s="156" t="s">
        <v>4207</v>
      </c>
      <c r="H698" s="157" t="str">
        <f>IF(G698="","",VLOOKUP(G698,'附表8-合同明细采集底稿'!B:I,2,0))</f>
        <v>沁春锦苑升降横移类机械式停车设备销售合同</v>
      </c>
      <c r="I698" s="165" t="str">
        <f>IF(G698="","",VLOOKUP(G698,'附表8-合同明细采集底稿'!B:I,3,0))</f>
        <v>买卖合同</v>
      </c>
      <c r="J698" s="157" t="s">
        <v>4208</v>
      </c>
      <c r="K698" s="157" t="s">
        <v>2355</v>
      </c>
      <c r="L698" s="168"/>
      <c r="M698" s="156" t="s">
        <v>4473</v>
      </c>
      <c r="N698" s="167">
        <v>612750.3</v>
      </c>
      <c r="O698" s="167">
        <v>631132.81</v>
      </c>
      <c r="P698" s="167">
        <v>612750.3</v>
      </c>
      <c r="Q698" s="167"/>
      <c r="R698" s="167">
        <f t="shared" si="85"/>
        <v>612750.3</v>
      </c>
      <c r="S698" s="178">
        <f>IFERROR(VLOOKUP(G698,'附表8-合同明细采集底稿'!B:N,12,0),100%)</f>
        <v>0.338555832480367</v>
      </c>
      <c r="T698" s="167">
        <f t="shared" si="86"/>
        <v>207450.19</v>
      </c>
      <c r="U698" s="157" t="s">
        <v>4210</v>
      </c>
      <c r="V698" s="179" t="s">
        <v>375</v>
      </c>
      <c r="W698" s="180">
        <f>IF('附表1-面积统计表'!$D$29=0,"",IF(AND(V698="共同成本费用",Z698="总建筑面积法"),ROUND(T698/'附表1-面积统计表'!$D$29*'附表1-面积统计表'!$D$5,2),IF(AND(V698="共同成本费用",Z698="可售建筑面积法"),ROUND(T698/'附表1-面积统计表'!$F$29*'附表1-面积统计表'!$F$5,2),"请手工填写")))</f>
        <v>100501.96</v>
      </c>
      <c r="X698" s="180">
        <f>IF(SUM('附表1-面积统计表'!$D$6)=0,"",SUM(T698)-SUM(W698)-SUM(Y698))</f>
        <v>66494.86</v>
      </c>
      <c r="Y698" s="180">
        <f>IF(SUM('附表1-面积统计表'!$D$6)=0,SUM(T698)-SUM(W698),IF('附表1-面积统计表'!$D$29=0,"",IF(AND(V698="共同成本费用",Z698="总建筑面积法"),ROUND(T698/'附表1-面积统计表'!$D$29*'附表1-面积统计表'!$D$7,2),IF(AND(V698="共同成本费用",Z698="可售建筑面积法"),ROUND(T698/'附表1-面积统计表'!$F$29*'附表1-面积统计表'!$F$7,2),"请手工填写"))))</f>
        <v>40453.37</v>
      </c>
      <c r="Z698" s="183" t="s">
        <v>351</v>
      </c>
      <c r="AA698" s="157"/>
      <c r="AB698" s="184" t="s">
        <v>2319</v>
      </c>
      <c r="AC698" s="132">
        <f t="shared" si="79"/>
        <v>0</v>
      </c>
    </row>
    <row r="699" s="132" customFormat="1" ht="30.05" spans="1:29">
      <c r="A699" s="150">
        <v>693</v>
      </c>
      <c r="B699" s="166" t="s">
        <v>4474</v>
      </c>
      <c r="C699" s="209" t="s">
        <v>2914</v>
      </c>
      <c r="D699" s="157" t="s">
        <v>2346</v>
      </c>
      <c r="E699" s="158" t="s">
        <v>2453</v>
      </c>
      <c r="F699" s="189" t="s">
        <v>4475</v>
      </c>
      <c r="G699" s="165" t="s">
        <v>3393</v>
      </c>
      <c r="H699" s="157" t="str">
        <f>IF(G699="","",VLOOKUP(G699,'附表8-合同明细采集底稿'!B:I,2,0))</f>
        <v>水土保持方案编制合同</v>
      </c>
      <c r="I699" s="165" t="str">
        <f>IF(G699="","",VLOOKUP(G699,'附表8-合同明细采集底稿'!B:I,3,0))</f>
        <v>技术合同</v>
      </c>
      <c r="J699" s="169" t="s">
        <v>3394</v>
      </c>
      <c r="K699" s="157" t="s">
        <v>2355</v>
      </c>
      <c r="L699" s="166">
        <v>6500193130</v>
      </c>
      <c r="M699" s="555" t="s">
        <v>4476</v>
      </c>
      <c r="N699" s="219">
        <v>42079.21</v>
      </c>
      <c r="O699" s="167">
        <v>42500</v>
      </c>
      <c r="P699" s="219">
        <v>42079.21</v>
      </c>
      <c r="Q699" s="167"/>
      <c r="R699" s="167">
        <f t="shared" si="85"/>
        <v>42079.21</v>
      </c>
      <c r="S699" s="178">
        <f>IFERROR(VLOOKUP(G699,'附表8-合同明细采集底稿'!B:N,12,0),100%)</f>
        <v>0.338555832480367</v>
      </c>
      <c r="T699" s="167">
        <f t="shared" si="86"/>
        <v>14246.16</v>
      </c>
      <c r="U699" s="157" t="s">
        <v>2318</v>
      </c>
      <c r="V699" s="179" t="s">
        <v>375</v>
      </c>
      <c r="W699" s="180">
        <f>IF('附表1-面积统计表'!$D$29=0,"",IF(AND(V699="共同成本费用",Z699="总建筑面积法"),ROUND(T699/'附表1-面积统计表'!$D$29*'附表1-面积统计表'!$D$5,2),IF(AND(V699="共同成本费用",Z699="可售建筑面积法"),ROUND(T699/'附表1-面积统计表'!$F$29*'附表1-面积统计表'!$F$5,2),"请手工填写")))</f>
        <v>6901.74</v>
      </c>
      <c r="X699" s="180">
        <f>IF(SUM('附表1-面积统计表'!$D$6)=0,"",SUM(T699)-SUM(W699)-SUM(Y699))</f>
        <v>4566.38</v>
      </c>
      <c r="Y699" s="180">
        <f>IF(SUM('附表1-面积统计表'!$D$6)=0,SUM(T699)-SUM(W699),IF('附表1-面积统计表'!$D$29=0,"",IF(AND(V699="共同成本费用",Z699="总建筑面积法"),ROUND(T699/'附表1-面积统计表'!$D$29*'附表1-面积统计表'!$D$7,2),IF(AND(V699="共同成本费用",Z699="可售建筑面积法"),ROUND(T699/'附表1-面积统计表'!$F$29*'附表1-面积统计表'!$F$7,2),"请手工填写"))))</f>
        <v>2778.04</v>
      </c>
      <c r="Z699" s="183" t="s">
        <v>351</v>
      </c>
      <c r="AA699" s="157"/>
      <c r="AB699" s="184" t="s">
        <v>2319</v>
      </c>
      <c r="AC699" s="132">
        <f t="shared" si="79"/>
        <v>0</v>
      </c>
    </row>
    <row r="700" s="132" customFormat="1" ht="45.1" spans="1:29">
      <c r="A700" s="150">
        <v>694</v>
      </c>
      <c r="B700" s="166" t="s">
        <v>4160</v>
      </c>
      <c r="C700" s="209" t="s">
        <v>2893</v>
      </c>
      <c r="D700" s="157" t="s">
        <v>2346</v>
      </c>
      <c r="E700" s="158" t="s">
        <v>2453</v>
      </c>
      <c r="F700" s="189" t="s">
        <v>4477</v>
      </c>
      <c r="G700" s="186" t="s">
        <v>4478</v>
      </c>
      <c r="H700" s="157" t="str">
        <f>IF(G700="","",VLOOKUP(G700,'附表8-合同明细采集底稿'!B:I,2,0))</f>
        <v>地名数字门牌制作合同-住宅</v>
      </c>
      <c r="I700" s="165" t="str">
        <f>IF(G700="","",VLOOKUP(G700,'附表8-合同明细采集底稿'!B:I,3,0))</f>
        <v>技术合同</v>
      </c>
      <c r="J700" s="157" t="str">
        <f>IF(G700="","",VLOOKUP(G700,'附表8-合同明细采集底稿'!B:I,4,0))</f>
        <v>巴州昱人计算机服务有限公司</v>
      </c>
      <c r="K700" s="157" t="s">
        <v>2355</v>
      </c>
      <c r="L700" s="166">
        <v>6500193130</v>
      </c>
      <c r="M700" s="166" t="s">
        <v>4479</v>
      </c>
      <c r="N700" s="188">
        <v>49435.64</v>
      </c>
      <c r="O700" s="167">
        <v>49930</v>
      </c>
      <c r="P700" s="188">
        <v>49435.64</v>
      </c>
      <c r="Q700" s="167">
        <v>-40865.1349382579</v>
      </c>
      <c r="R700" s="167">
        <f t="shared" si="85"/>
        <v>8570.5050617421</v>
      </c>
      <c r="S700" s="178">
        <f>IFERROR(VLOOKUP(G700,'附表8-合同明细采集底稿'!B:N,12,0),100%)</f>
        <v>1</v>
      </c>
      <c r="T700" s="167">
        <f t="shared" si="86"/>
        <v>8570.51</v>
      </c>
      <c r="U700" s="157" t="s">
        <v>2405</v>
      </c>
      <c r="V700" s="179" t="s">
        <v>374</v>
      </c>
      <c r="W700" s="181">
        <v>0</v>
      </c>
      <c r="X700" s="181">
        <v>0</v>
      </c>
      <c r="Y700" s="181">
        <v>8570.51</v>
      </c>
      <c r="Z700" s="183" t="s">
        <v>2406</v>
      </c>
      <c r="AA700" s="157"/>
      <c r="AB700" s="184" t="s">
        <v>2319</v>
      </c>
      <c r="AC700" s="132">
        <f t="shared" si="79"/>
        <v>0</v>
      </c>
    </row>
    <row r="701" s="132" customFormat="1" ht="45.1" spans="1:29">
      <c r="A701" s="150">
        <v>695</v>
      </c>
      <c r="B701" s="166" t="s">
        <v>4480</v>
      </c>
      <c r="C701" s="209" t="s">
        <v>2976</v>
      </c>
      <c r="D701" s="153" t="s">
        <v>2533</v>
      </c>
      <c r="E701" s="154" t="s">
        <v>2690</v>
      </c>
      <c r="F701" s="189" t="s">
        <v>4481</v>
      </c>
      <c r="G701" s="186" t="s">
        <v>4482</v>
      </c>
      <c r="H701" s="157" t="str">
        <f>IF(G701="","",VLOOKUP(G701,'附表8-合同明细采集底稿'!B:I,2,0))</f>
        <v>沁春锦苑35#楼楼顶灯管更换合同</v>
      </c>
      <c r="I701" s="165" t="str">
        <f>IF(G701="","",VLOOKUP(G701,'附表8-合同明细采集底稿'!B:I,3,0))</f>
        <v>其他合同</v>
      </c>
      <c r="J701" s="157" t="str">
        <f>IF(G701="","",VLOOKUP(G701,'附表8-合同明细采集底稿'!B:I,4,0))</f>
        <v>巴州水木堂建筑装饰有限公司（倪）</v>
      </c>
      <c r="K701" s="157" t="s">
        <v>2355</v>
      </c>
      <c r="L701" s="168">
        <v>6500174130</v>
      </c>
      <c r="M701" s="555" t="s">
        <v>4483</v>
      </c>
      <c r="N701" s="219">
        <v>44554.46</v>
      </c>
      <c r="O701" s="167">
        <v>45000</v>
      </c>
      <c r="P701" s="219">
        <v>44554.46</v>
      </c>
      <c r="Q701" s="167"/>
      <c r="R701" s="167">
        <f t="shared" si="85"/>
        <v>44554.46</v>
      </c>
      <c r="S701" s="178">
        <f>IFERROR(VLOOKUP(G701,'附表8-合同明细采集底稿'!B:N,12,0),100%)</f>
        <v>1</v>
      </c>
      <c r="T701" s="167">
        <f t="shared" si="86"/>
        <v>44554.46</v>
      </c>
      <c r="U701" s="157" t="s">
        <v>2405</v>
      </c>
      <c r="V701" s="179" t="s">
        <v>374</v>
      </c>
      <c r="W701" s="181">
        <v>0</v>
      </c>
      <c r="X701" s="181">
        <v>0</v>
      </c>
      <c r="Y701" s="181">
        <v>44554.46</v>
      </c>
      <c r="Z701" s="183" t="s">
        <v>2406</v>
      </c>
      <c r="AA701" s="157"/>
      <c r="AB701" s="184" t="s">
        <v>2319</v>
      </c>
      <c r="AC701" s="132">
        <f t="shared" si="79"/>
        <v>0</v>
      </c>
    </row>
    <row r="702" s="132" customFormat="1" ht="30.05" spans="1:29">
      <c r="A702" s="150">
        <v>696</v>
      </c>
      <c r="B702" s="187" t="s">
        <v>4484</v>
      </c>
      <c r="C702" s="215" t="s">
        <v>4485</v>
      </c>
      <c r="D702" s="153" t="s">
        <v>2339</v>
      </c>
      <c r="E702" s="154" t="s">
        <v>2340</v>
      </c>
      <c r="F702" s="154" t="s">
        <v>4486</v>
      </c>
      <c r="G702" s="156"/>
      <c r="H702" s="157" t="str">
        <f>IF(G702="","",VLOOKUP(G702,'附表8-合同明细采集底稿'!B:I,2,0))</f>
        <v/>
      </c>
      <c r="I702" s="165" t="str">
        <f>IF(G702="","",VLOOKUP(G702,'附表8-合同明细采集底稿'!B:I,3,0))</f>
        <v/>
      </c>
      <c r="J702" s="187" t="s">
        <v>3780</v>
      </c>
      <c r="K702" s="157" t="s">
        <v>2355</v>
      </c>
      <c r="L702" s="168"/>
      <c r="M702" s="156" t="s">
        <v>4487</v>
      </c>
      <c r="N702" s="187">
        <v>141.51</v>
      </c>
      <c r="O702" s="187">
        <v>141.51</v>
      </c>
      <c r="P702" s="187">
        <v>141.51</v>
      </c>
      <c r="Q702" s="167"/>
      <c r="R702" s="167">
        <f t="shared" si="85"/>
        <v>141.51</v>
      </c>
      <c r="S702" s="178">
        <v>1</v>
      </c>
      <c r="T702" s="167">
        <f t="shared" si="86"/>
        <v>141.51</v>
      </c>
      <c r="U702" s="221" t="s">
        <v>2344</v>
      </c>
      <c r="V702" s="179" t="s">
        <v>375</v>
      </c>
      <c r="W702" s="180">
        <f>IF('附表1-面积统计表'!$D$29=0,"",IF(AND(V702="共同成本费用",Z702="总建筑面积法"),ROUND(T702/'附表1-面积统计表'!$D$29*'附表1-面积统计表'!$D$5,2),IF(AND(V702="共同成本费用",Z702="可售建筑面积法"),ROUND(T702/'附表1-面积统计表'!$F$29*'附表1-面积统计表'!$F$5,2),"请手工填写")))</f>
        <v>68.56</v>
      </c>
      <c r="X702" s="180">
        <f>IF(SUM('附表1-面积统计表'!$D$6)=0,"",SUM(T702)-SUM(W702)-SUM(Y702))</f>
        <v>45.36</v>
      </c>
      <c r="Y702" s="180">
        <f>IF(SUM('附表1-面积统计表'!$D$6)=0,SUM(T702)-SUM(W702),IF('附表1-面积统计表'!$D$29=0,"",IF(AND(V702="共同成本费用",Z702="总建筑面积法"),ROUND(T702/'附表1-面积统计表'!$D$29*'附表1-面积统计表'!$D$7,2),IF(AND(V702="共同成本费用",Z702="可售建筑面积法"),ROUND(T702/'附表1-面积统计表'!$F$29*'附表1-面积统计表'!$F$7,2),"请手工填写"))))</f>
        <v>27.59</v>
      </c>
      <c r="Z702" s="183" t="s">
        <v>351</v>
      </c>
      <c r="AA702" s="157"/>
      <c r="AB702" s="184" t="s">
        <v>2319</v>
      </c>
      <c r="AC702" s="132">
        <f t="shared" si="79"/>
        <v>0</v>
      </c>
    </row>
    <row r="703" s="132" customFormat="1" ht="45.1" spans="1:29">
      <c r="A703" s="150">
        <v>697</v>
      </c>
      <c r="B703" s="166" t="s">
        <v>4488</v>
      </c>
      <c r="C703" s="209" t="s">
        <v>3059</v>
      </c>
      <c r="D703" s="153" t="s">
        <v>2346</v>
      </c>
      <c r="E703" s="154" t="s">
        <v>2347</v>
      </c>
      <c r="F703" s="189" t="s">
        <v>4489</v>
      </c>
      <c r="G703" s="216" t="s">
        <v>4490</v>
      </c>
      <c r="H703" s="157" t="str">
        <f>IF(G703="","",VLOOKUP(G703,'附表8-合同明细采集底稿'!B:I,2,0))</f>
        <v>库尔勒花锦集商业街美陈</v>
      </c>
      <c r="I703" s="165" t="str">
        <f>IF(G703="","",VLOOKUP(G703,'附表8-合同明细采集底稿'!B:I,3,0))</f>
        <v>建设工程合同</v>
      </c>
      <c r="J703" s="187" t="s">
        <v>4491</v>
      </c>
      <c r="K703" s="157" t="s">
        <v>2335</v>
      </c>
      <c r="L703" s="168" t="s">
        <v>2336</v>
      </c>
      <c r="M703" s="166" t="s">
        <v>4492</v>
      </c>
      <c r="N703" s="167">
        <v>0</v>
      </c>
      <c r="O703" s="220">
        <v>385274.6</v>
      </c>
      <c r="P703" s="220">
        <v>385274.6</v>
      </c>
      <c r="Q703" s="167">
        <v>-2000</v>
      </c>
      <c r="R703" s="167">
        <f t="shared" si="85"/>
        <v>383274.6</v>
      </c>
      <c r="S703" s="178">
        <f>IFERROR(VLOOKUP(G703,'附表8-合同明细采集底稿'!B:N,12,0),100%)</f>
        <v>1</v>
      </c>
      <c r="T703" s="167">
        <f t="shared" si="86"/>
        <v>383274.6</v>
      </c>
      <c r="U703" s="157" t="s">
        <v>2405</v>
      </c>
      <c r="V703" s="179" t="s">
        <v>374</v>
      </c>
      <c r="W703" s="181">
        <v>0</v>
      </c>
      <c r="X703" s="181">
        <v>0</v>
      </c>
      <c r="Y703" s="181">
        <f>T703</f>
        <v>383274.6</v>
      </c>
      <c r="Z703" s="183" t="s">
        <v>2406</v>
      </c>
      <c r="AA703" s="157"/>
      <c r="AB703" s="184" t="s">
        <v>2319</v>
      </c>
      <c r="AC703" s="132">
        <f t="shared" si="79"/>
        <v>0</v>
      </c>
    </row>
    <row r="704" s="132" customFormat="1" ht="45.1" spans="1:29">
      <c r="A704" s="150">
        <v>698</v>
      </c>
      <c r="B704" s="187" t="s">
        <v>4267</v>
      </c>
      <c r="C704" s="215" t="s">
        <v>4407</v>
      </c>
      <c r="D704" s="153" t="s">
        <v>2331</v>
      </c>
      <c r="E704" s="154" t="s">
        <v>3095</v>
      </c>
      <c r="F704" s="154" t="s">
        <v>4493</v>
      </c>
      <c r="G704" s="169"/>
      <c r="H704" s="157"/>
      <c r="I704" s="165"/>
      <c r="J704" s="157" t="s">
        <v>2420</v>
      </c>
      <c r="K704" s="157" t="s">
        <v>2355</v>
      </c>
      <c r="L704" s="168">
        <v>6500174130</v>
      </c>
      <c r="M704" s="166" t="s">
        <v>4494</v>
      </c>
      <c r="N704" s="188">
        <v>36893.2</v>
      </c>
      <c r="O704" s="188">
        <v>36893.2</v>
      </c>
      <c r="P704" s="188">
        <v>36893.2</v>
      </c>
      <c r="Q704" s="167">
        <v>-36893.2</v>
      </c>
      <c r="R704" s="167">
        <f t="shared" si="85"/>
        <v>0</v>
      </c>
      <c r="S704" s="178">
        <v>1</v>
      </c>
      <c r="T704" s="167">
        <f t="shared" si="86"/>
        <v>0</v>
      </c>
      <c r="U704" s="157" t="s">
        <v>2318</v>
      </c>
      <c r="V704" s="179" t="s">
        <v>375</v>
      </c>
      <c r="W704" s="180">
        <f>IF('附表1-面积统计表'!$D$29=0,"",IF(AND(V704="共同成本费用",Z704="总建筑面积法"),ROUND(T704/'附表1-面积统计表'!$D$29*'附表1-面积统计表'!$D$5,2),IF(AND(V704="共同成本费用",Z704="可售建筑面积法"),ROUND(T704/'附表1-面积统计表'!$F$29*'附表1-面积统计表'!$F$5,2),"请手工填写")))</f>
        <v>0</v>
      </c>
      <c r="X704" s="180">
        <f>IF(SUM('附表1-面积统计表'!$D$6)=0,"",SUM(T704)-SUM(W704)-SUM(Y704))</f>
        <v>0</v>
      </c>
      <c r="Y704" s="180">
        <f>IF(SUM('附表1-面积统计表'!$D$6)=0,SUM(T704)-SUM(W704),IF('附表1-面积统计表'!$D$29=0,"",IF(AND(V704="共同成本费用",Z704="总建筑面积法"),ROUND(T704/'附表1-面积统计表'!$D$29*'附表1-面积统计表'!$D$7,2),IF(AND(V704="共同成本费用",Z704="可售建筑面积法"),ROUND(T704/'附表1-面积统计表'!$F$29*'附表1-面积统计表'!$F$7,2),"请手工填写"))))</f>
        <v>0</v>
      </c>
      <c r="Z704" s="183" t="s">
        <v>351</v>
      </c>
      <c r="AA704" s="157"/>
      <c r="AB704" s="184" t="s">
        <v>2319</v>
      </c>
      <c r="AC704" s="132">
        <f t="shared" si="79"/>
        <v>0</v>
      </c>
    </row>
    <row r="705" s="132" customFormat="1" ht="45.1" spans="1:29">
      <c r="A705" s="150">
        <v>699</v>
      </c>
      <c r="B705" s="187" t="s">
        <v>4372</v>
      </c>
      <c r="C705" s="215" t="s">
        <v>4495</v>
      </c>
      <c r="D705" s="153" t="s">
        <v>2331</v>
      </c>
      <c r="E705" s="154" t="s">
        <v>3095</v>
      </c>
      <c r="F705" s="154" t="s">
        <v>4496</v>
      </c>
      <c r="G705" s="165" t="s">
        <v>4497</v>
      </c>
      <c r="H705" s="157" t="str">
        <f>IF(G705="","",VLOOKUP(G705,'附表8-合同明细采集底稿'!B:I,2,0))</f>
        <v>沁春锦苑小区围挡制作</v>
      </c>
      <c r="I705" s="165" t="str">
        <f>IF(G705="","",VLOOKUP(G705,'附表8-合同明细采集底稿'!B:I,3,0))</f>
        <v>承揽合同</v>
      </c>
      <c r="J705" s="187" t="s">
        <v>3129</v>
      </c>
      <c r="K705" s="157" t="s">
        <v>2355</v>
      </c>
      <c r="L705" s="168">
        <v>6500174130</v>
      </c>
      <c r="M705" s="166" t="s">
        <v>4498</v>
      </c>
      <c r="N705" s="230">
        <v>40194.17</v>
      </c>
      <c r="O705" s="230">
        <v>40194.17</v>
      </c>
      <c r="P705" s="230">
        <v>40194.17</v>
      </c>
      <c r="Q705" s="167">
        <v>95267.19</v>
      </c>
      <c r="R705" s="167">
        <f t="shared" si="85"/>
        <v>135461.36</v>
      </c>
      <c r="S705" s="178">
        <f>IFERROR(VLOOKUP(G705,'附表8-合同明细采集底稿'!B:N,12,0),100%)</f>
        <v>0.338555832480367</v>
      </c>
      <c r="T705" s="167">
        <f t="shared" si="86"/>
        <v>45861.23</v>
      </c>
      <c r="U705" s="157" t="s">
        <v>2318</v>
      </c>
      <c r="V705" s="179" t="s">
        <v>375</v>
      </c>
      <c r="W705" s="180">
        <f>IF('附表1-面积统计表'!$D$29=0,"",IF(AND(V705="共同成本费用",Z705="总建筑面积法"),ROUND(T705/'附表1-面积统计表'!$D$29*'附表1-面积统计表'!$D$5,2),IF(AND(V705="共同成本费用",Z705="可售建筑面积法"),ROUND(T705/'附表1-面积统计表'!$F$29*'附表1-面积统计表'!$F$5,2),"请手工填写")))</f>
        <v>22218.07</v>
      </c>
      <c r="X705" s="180">
        <f>IF(SUM('附表1-面积统计表'!$D$6)=0,"",SUM(T705)-SUM(W705)-SUM(Y705))</f>
        <v>14700.09</v>
      </c>
      <c r="Y705" s="180">
        <f>IF(SUM('附表1-面积统计表'!$D$6)=0,SUM(T705)-SUM(W705),IF('附表1-面积统计表'!$D$29=0,"",IF(AND(V705="共同成本费用",Z705="总建筑面积法"),ROUND(T705/'附表1-面积统计表'!$D$29*'附表1-面积统计表'!$D$7,2),IF(AND(V705="共同成本费用",Z705="可售建筑面积法"),ROUND(T705/'附表1-面积统计表'!$F$29*'附表1-面积统计表'!$F$7,2),"请手工填写"))))</f>
        <v>8943.07</v>
      </c>
      <c r="Z705" s="183" t="s">
        <v>351</v>
      </c>
      <c r="AA705" s="157"/>
      <c r="AB705" s="184" t="s">
        <v>2319</v>
      </c>
      <c r="AC705" s="132">
        <f t="shared" si="79"/>
        <v>0</v>
      </c>
    </row>
    <row r="706" s="132" customFormat="1" ht="60.1" spans="1:29">
      <c r="A706" s="150">
        <v>700</v>
      </c>
      <c r="B706" s="209" t="s">
        <v>4116</v>
      </c>
      <c r="C706" s="209" t="s">
        <v>4030</v>
      </c>
      <c r="D706" s="153" t="s">
        <v>2331</v>
      </c>
      <c r="E706" s="154" t="s">
        <v>3095</v>
      </c>
      <c r="F706" s="189" t="s">
        <v>4117</v>
      </c>
      <c r="G706" s="216"/>
      <c r="H706" s="157"/>
      <c r="I706" s="165"/>
      <c r="J706" s="154" t="s">
        <v>3529</v>
      </c>
      <c r="K706" s="157" t="s">
        <v>2355</v>
      </c>
      <c r="L706" s="168">
        <v>6500174130</v>
      </c>
      <c r="M706" s="166" t="s">
        <v>4499</v>
      </c>
      <c r="N706" s="188">
        <v>16676.11</v>
      </c>
      <c r="O706" s="188">
        <v>16676.11</v>
      </c>
      <c r="P706" s="188">
        <v>16676.11</v>
      </c>
      <c r="Q706" s="167"/>
      <c r="R706" s="167">
        <f t="shared" si="85"/>
        <v>16676.11</v>
      </c>
      <c r="S706" s="178">
        <v>0.338555832480367</v>
      </c>
      <c r="T706" s="167">
        <f t="shared" si="86"/>
        <v>5645.79</v>
      </c>
      <c r="U706" s="157" t="s">
        <v>4500</v>
      </c>
      <c r="V706" s="179" t="s">
        <v>375</v>
      </c>
      <c r="W706" s="180">
        <f>IF('附表1-面积统计表'!$D$29=0,"",IF(AND(V706="共同成本费用",Z706="总建筑面积法"),ROUND(T706/'附表1-面积统计表'!$D$29*'附表1-面积统计表'!$D$5,2),IF(AND(V706="共同成本费用",Z706="可售建筑面积法"),ROUND(T706/'附表1-面积统计表'!$F$29*'附表1-面积统计表'!$F$5,2),"请手工填写")))</f>
        <v>2735.18</v>
      </c>
      <c r="X706" s="180">
        <f>IF(SUM('附表1-面积统计表'!$D$6)=0,"",SUM(T706)-SUM(W706)-SUM(Y706))</f>
        <v>1809.67</v>
      </c>
      <c r="Y706" s="180">
        <f>IF(SUM('附表1-面积统计表'!$D$6)=0,SUM(T706)-SUM(W706),IF('附表1-面积统计表'!$D$29=0,"",IF(AND(V706="共同成本费用",Z706="总建筑面积法"),ROUND(T706/'附表1-面积统计表'!$D$29*'附表1-面积统计表'!$D$7,2),IF(AND(V706="共同成本费用",Z706="可售建筑面积法"),ROUND(T706/'附表1-面积统计表'!$F$29*'附表1-面积统计表'!$F$7,2),"请手工填写"))))</f>
        <v>1100.94</v>
      </c>
      <c r="Z706" s="183" t="s">
        <v>351</v>
      </c>
      <c r="AA706" s="157"/>
      <c r="AB706" s="184" t="s">
        <v>2319</v>
      </c>
      <c r="AC706" s="132">
        <f t="shared" si="79"/>
        <v>0</v>
      </c>
    </row>
    <row r="707" s="132" customFormat="1" ht="45.1" spans="1:29">
      <c r="A707" s="150">
        <v>701</v>
      </c>
      <c r="B707" s="166" t="s">
        <v>4501</v>
      </c>
      <c r="C707" s="166" t="s">
        <v>4502</v>
      </c>
      <c r="D707" s="153" t="s">
        <v>2346</v>
      </c>
      <c r="E707" s="154" t="s">
        <v>2347</v>
      </c>
      <c r="F707" s="210" t="s">
        <v>4503</v>
      </c>
      <c r="G707" s="186" t="s">
        <v>4504</v>
      </c>
      <c r="H707" s="157" t="str">
        <f>IF(G707="","",VLOOKUP(G707,'附表8-合同明细采集底稿'!B:I,2,0))</f>
        <v>沁春锦苑小区灭蚊灯（40个）</v>
      </c>
      <c r="I707" s="165" t="str">
        <f>IF(G707="","",VLOOKUP(G707,'附表8-合同明细采集底稿'!B:I,3,0))</f>
        <v>其他合同</v>
      </c>
      <c r="J707" s="187" t="s">
        <v>4505</v>
      </c>
      <c r="K707" s="157" t="s">
        <v>2355</v>
      </c>
      <c r="L707" s="168">
        <v>6500174130</v>
      </c>
      <c r="M707" s="166" t="s">
        <v>4506</v>
      </c>
      <c r="N707" s="188">
        <v>12212.39</v>
      </c>
      <c r="O707" s="188">
        <v>12212.39</v>
      </c>
      <c r="P707" s="188">
        <v>12212.39</v>
      </c>
      <c r="Q707" s="167"/>
      <c r="R707" s="167">
        <f t="shared" si="85"/>
        <v>12212.39</v>
      </c>
      <c r="S707" s="178">
        <f>IFERROR(VLOOKUP(G707,'附表8-合同明细采集底稿'!B:N,12,0),100%)</f>
        <v>0.338555832480367</v>
      </c>
      <c r="T707" s="167">
        <f t="shared" si="86"/>
        <v>4134.58</v>
      </c>
      <c r="U707" s="157" t="s">
        <v>2318</v>
      </c>
      <c r="V707" s="179" t="s">
        <v>375</v>
      </c>
      <c r="W707" s="180">
        <f>IF('附表1-面积统计表'!$D$29=0,"",IF(AND(V707="共同成本费用",Z707="总建筑面积法"),ROUND(T707/'附表1-面积统计表'!$D$29*'附表1-面积统计表'!$D$5,2),IF(AND(V707="共同成本费用",Z707="可售建筑面积法"),ROUND(T707/'附表1-面积统计表'!$F$29*'附表1-面积统计表'!$F$5,2),"请手工填写")))</f>
        <v>2003.05</v>
      </c>
      <c r="X707" s="180">
        <f>IF(SUM('附表1-面积统计表'!$D$6)=0,"",SUM(T707)-SUM(W707)-SUM(Y707))</f>
        <v>1325.28</v>
      </c>
      <c r="Y707" s="180">
        <f>IF(SUM('附表1-面积统计表'!$D$6)=0,SUM(T707)-SUM(W707),IF('附表1-面积统计表'!$D$29=0,"",IF(AND(V707="共同成本费用",Z707="总建筑面积法"),ROUND(T707/'附表1-面积统计表'!$D$29*'附表1-面积统计表'!$D$7,2),IF(AND(V707="共同成本费用",Z707="可售建筑面积法"),ROUND(T707/'附表1-面积统计表'!$F$29*'附表1-面积统计表'!$F$7,2),"请手工填写"))))</f>
        <v>806.25</v>
      </c>
      <c r="Z707" s="183" t="s">
        <v>351</v>
      </c>
      <c r="AA707" s="157"/>
      <c r="AB707" s="184" t="s">
        <v>2319</v>
      </c>
      <c r="AC707" s="132">
        <f t="shared" si="79"/>
        <v>0</v>
      </c>
    </row>
    <row r="708" s="132" customFormat="1" ht="60.1" spans="1:29">
      <c r="A708" s="150">
        <v>702</v>
      </c>
      <c r="B708" s="209" t="s">
        <v>4507</v>
      </c>
      <c r="C708" s="209" t="s">
        <v>4014</v>
      </c>
      <c r="D708" s="153" t="s">
        <v>2331</v>
      </c>
      <c r="E708" s="154" t="s">
        <v>3544</v>
      </c>
      <c r="F708" s="189" t="s">
        <v>4508</v>
      </c>
      <c r="G708" s="186" t="s">
        <v>4509</v>
      </c>
      <c r="H708" s="157" t="str">
        <f>IF(G708="","",VLOOKUP(G708,'附表8-合同明细采集底稿'!B:I,2,0))</f>
        <v>沁春锦苑4-11#16#17#楼31#楼园林景观、道路及停车位、铺装、景观照明工程</v>
      </c>
      <c r="I708" s="165" t="str">
        <f>IF(G708="","",VLOOKUP(G708,'附表8-合同明细采集底稿'!B:I,3,0))</f>
        <v>建设工程合同</v>
      </c>
      <c r="J708" s="157" t="str">
        <f>IF(G708="","",VLOOKUP(G708,'附表8-合同明细采集底稿'!B:I,4,0))</f>
        <v>新疆通力建设集团股份有限公司（杜奇志）</v>
      </c>
      <c r="K708" s="157" t="s">
        <v>2355</v>
      </c>
      <c r="L708" s="168">
        <v>6500174130</v>
      </c>
      <c r="M708" s="166" t="s">
        <v>4510</v>
      </c>
      <c r="N708" s="188">
        <v>348687.16</v>
      </c>
      <c r="O708" s="167">
        <v>380069</v>
      </c>
      <c r="P708" s="167">
        <v>348687.16</v>
      </c>
      <c r="Q708" s="167"/>
      <c r="R708" s="167">
        <f t="shared" si="85"/>
        <v>348687.16</v>
      </c>
      <c r="S708" s="178">
        <f>IFERROR(VLOOKUP(G708,'附表8-合同明细采集底稿'!B:N,12,0),100%)</f>
        <v>0.338555832480367</v>
      </c>
      <c r="T708" s="167">
        <f t="shared" si="86"/>
        <v>118050.07</v>
      </c>
      <c r="U708" s="157" t="s">
        <v>2318</v>
      </c>
      <c r="V708" s="179" t="s">
        <v>375</v>
      </c>
      <c r="W708" s="180">
        <f>IF('附表1-面积统计表'!$D$29=0,"",IF(AND(V708="共同成本费用",Z708="总建筑面积法"),ROUND(T708/'附表1-面积统计表'!$D$29*'附表1-面积统计表'!$D$5,2),IF(AND(V708="共同成本费用",Z708="可售建筑面积法"),ROUND(T708/'附表1-面积统计表'!$F$29*'附表1-面积统计表'!$F$5,2),"请手工填写")))</f>
        <v>57190.9</v>
      </c>
      <c r="X708" s="180">
        <f>IF(SUM('附表1-面积统计表'!$D$6)=0,"",SUM(T708)-SUM(W708)-SUM(Y708))</f>
        <v>37839.07</v>
      </c>
      <c r="Y708" s="180">
        <f>IF(SUM('附表1-面积统计表'!$D$6)=0,SUM(T708)-SUM(W708),IF('附表1-面积统计表'!$D$29=0,"",IF(AND(V708="共同成本费用",Z708="总建筑面积法"),ROUND(T708/'附表1-面积统计表'!$D$29*'附表1-面积统计表'!$D$7,2),IF(AND(V708="共同成本费用",Z708="可售建筑面积法"),ROUND(T708/'附表1-面积统计表'!$F$29*'附表1-面积统计表'!$F$7,2),"请手工填写"))))</f>
        <v>23020.1</v>
      </c>
      <c r="Z708" s="183" t="s">
        <v>351</v>
      </c>
      <c r="AA708" s="157"/>
      <c r="AB708" s="184" t="s">
        <v>2319</v>
      </c>
      <c r="AC708" s="132">
        <f t="shared" si="79"/>
        <v>0</v>
      </c>
    </row>
    <row r="709" s="132" customFormat="1" ht="30.05" spans="1:29">
      <c r="A709" s="150">
        <v>703</v>
      </c>
      <c r="B709" s="187" t="s">
        <v>4511</v>
      </c>
      <c r="C709" s="187" t="s">
        <v>526</v>
      </c>
      <c r="D709" s="153" t="s">
        <v>2339</v>
      </c>
      <c r="E709" s="154" t="s">
        <v>2370</v>
      </c>
      <c r="F709" s="154" t="s">
        <v>4512</v>
      </c>
      <c r="G709" s="216" t="s">
        <v>4513</v>
      </c>
      <c r="H709" s="157" t="str">
        <f>IF(G709="","",VLOOKUP(G709,'附表8-合同明细采集底稿'!B:I,2,0))</f>
        <v>建设工程勘察合同（32#33#34#）</v>
      </c>
      <c r="I709" s="165" t="str">
        <f>IF(G709="","",VLOOKUP(G709,'附表8-合同明细采集底稿'!B:I,3,0))</f>
        <v>技术合同</v>
      </c>
      <c r="J709" s="157" t="str">
        <f>IF(G709="","",VLOOKUP(G709,'附表8-合同明细采集底稿'!B:I,4,0))</f>
        <v>巴州基安岩土工程勘察设计有限责任公司</v>
      </c>
      <c r="K709" s="157" t="s">
        <v>2355</v>
      </c>
      <c r="L709" s="168"/>
      <c r="M709" s="166" t="s">
        <v>4514</v>
      </c>
      <c r="N709" s="188">
        <v>2830.19</v>
      </c>
      <c r="O709" s="167">
        <v>3000</v>
      </c>
      <c r="P709" s="188">
        <v>2830.19</v>
      </c>
      <c r="Q709" s="167"/>
      <c r="R709" s="167">
        <f t="shared" si="85"/>
        <v>2830.19</v>
      </c>
      <c r="S709" s="178">
        <f>IFERROR(VLOOKUP(G709,'附表8-合同明细采集底稿'!B:N,12,0),100%)</f>
        <v>1</v>
      </c>
      <c r="T709" s="167">
        <f t="shared" si="86"/>
        <v>2830.19</v>
      </c>
      <c r="U709" s="186" t="s">
        <v>2405</v>
      </c>
      <c r="V709" s="179" t="s">
        <v>374</v>
      </c>
      <c r="W709" s="181">
        <v>0</v>
      </c>
      <c r="X709" s="181">
        <v>0</v>
      </c>
      <c r="Y709" s="181">
        <v>2830.19</v>
      </c>
      <c r="Z709" s="183" t="s">
        <v>2406</v>
      </c>
      <c r="AA709" s="157"/>
      <c r="AB709" s="184" t="s">
        <v>2319</v>
      </c>
      <c r="AC709" s="132">
        <f t="shared" si="79"/>
        <v>0</v>
      </c>
    </row>
    <row r="710" s="132" customFormat="1" ht="30.05" spans="1:29">
      <c r="A710" s="150">
        <v>704</v>
      </c>
      <c r="B710" s="187" t="s">
        <v>4511</v>
      </c>
      <c r="C710" s="187" t="s">
        <v>526</v>
      </c>
      <c r="D710" s="153" t="s">
        <v>2339</v>
      </c>
      <c r="E710" s="154" t="s">
        <v>2370</v>
      </c>
      <c r="F710" s="154" t="s">
        <v>4512</v>
      </c>
      <c r="G710" s="216" t="s">
        <v>4513</v>
      </c>
      <c r="H710" s="157" t="str">
        <f>IF(G710="","",VLOOKUP(G710,'附表8-合同明细采集底稿'!B:I,2,0))</f>
        <v>建设工程勘察合同（32#33#34#）</v>
      </c>
      <c r="I710" s="165" t="str">
        <f>IF(G710="","",VLOOKUP(G710,'附表8-合同明细采集底稿'!B:I,3,0))</f>
        <v>技术合同</v>
      </c>
      <c r="J710" s="157" t="str">
        <f>IF(G710="","",VLOOKUP(G710,'附表8-合同明细采集底稿'!B:I,4,0))</f>
        <v>巴州基安岩土工程勘察设计有限责任公司</v>
      </c>
      <c r="K710" s="157" t="s">
        <v>2355</v>
      </c>
      <c r="L710" s="168"/>
      <c r="M710" s="166" t="s">
        <v>4514</v>
      </c>
      <c r="N710" s="230">
        <v>1256.6</v>
      </c>
      <c r="O710" s="167">
        <v>1332</v>
      </c>
      <c r="P710" s="230">
        <v>1256.6</v>
      </c>
      <c r="Q710" s="167">
        <v>-1256.6</v>
      </c>
      <c r="R710" s="167">
        <f t="shared" si="85"/>
        <v>0</v>
      </c>
      <c r="S710" s="178">
        <f>IFERROR(VLOOKUP(G710,'附表8-合同明细采集底稿'!B:N,12,0),100%)</f>
        <v>1</v>
      </c>
      <c r="T710" s="167">
        <f t="shared" si="86"/>
        <v>0</v>
      </c>
      <c r="U710" s="186" t="s">
        <v>2405</v>
      </c>
      <c r="V710" s="179" t="s">
        <v>374</v>
      </c>
      <c r="W710" s="181">
        <v>0</v>
      </c>
      <c r="X710" s="181">
        <v>0</v>
      </c>
      <c r="Y710" s="181"/>
      <c r="Z710" s="183" t="s">
        <v>2406</v>
      </c>
      <c r="AA710" s="157"/>
      <c r="AB710" s="184" t="s">
        <v>2319</v>
      </c>
      <c r="AC710" s="132">
        <f t="shared" si="79"/>
        <v>0</v>
      </c>
    </row>
    <row r="711" s="132" customFormat="1" ht="30.05" spans="1:29">
      <c r="A711" s="150">
        <v>705</v>
      </c>
      <c r="B711" s="187" t="s">
        <v>4511</v>
      </c>
      <c r="C711" s="187" t="s">
        <v>526</v>
      </c>
      <c r="D711" s="153" t="s">
        <v>2339</v>
      </c>
      <c r="E711" s="154" t="s">
        <v>2370</v>
      </c>
      <c r="F711" s="154" t="s">
        <v>4512</v>
      </c>
      <c r="G711" s="166"/>
      <c r="H711" s="157" t="str">
        <f>IF(G711="","",VLOOKUP(G711,'附表8-合同明细采集底稿'!B:I,2,0))</f>
        <v/>
      </c>
      <c r="I711" s="165" t="str">
        <f>IF(G711="","",VLOOKUP(G711,'附表8-合同明细采集底稿'!B:I,3,0))</f>
        <v/>
      </c>
      <c r="J711" s="157" t="str">
        <f>IF(G711="","",VLOOKUP(G711,'附表8-合同明细采集底稿'!B:I,4,0))</f>
        <v/>
      </c>
      <c r="K711" s="157" t="s">
        <v>2355</v>
      </c>
      <c r="L711" s="168"/>
      <c r="M711" s="166" t="s">
        <v>4515</v>
      </c>
      <c r="N711" s="188">
        <v>1409.43</v>
      </c>
      <c r="O711" s="167">
        <v>1494</v>
      </c>
      <c r="P711" s="188">
        <v>1409.43</v>
      </c>
      <c r="Q711" s="167"/>
      <c r="R711" s="167">
        <f t="shared" si="85"/>
        <v>1409.43</v>
      </c>
      <c r="S711" s="178">
        <v>1</v>
      </c>
      <c r="T711" s="167">
        <f t="shared" si="86"/>
        <v>1409.43</v>
      </c>
      <c r="U711" s="236" t="s">
        <v>3678</v>
      </c>
      <c r="V711" s="179" t="s">
        <v>375</v>
      </c>
      <c r="W711" s="180">
        <f>IF('附表1-面积统计表'!$D$29=0,"",IF(AND(V711="共同成本费用",Z711="总建筑面积法"),ROUND(T711/'附表1-面积统计表'!$D$29*'附表1-面积统计表'!$D$5,2),IF(AND(V711="共同成本费用",Z711="可售建筑面积法"),ROUND(T711/'附表1-面积统计表'!$F$29*'附表1-面积统计表'!$F$5,2),"请手工填写")))</f>
        <v>682.82</v>
      </c>
      <c r="X711" s="180">
        <f>IF(SUM('附表1-面积统计表'!$D$6)=0,"",SUM(T711)-SUM(W711)-SUM(Y711))</f>
        <v>451.77</v>
      </c>
      <c r="Y711" s="180">
        <f>IF(SUM('附表1-面积统计表'!$D$6)=0,SUM(T711)-SUM(W711),IF('附表1-面积统计表'!$D$29=0,"",IF(AND(V711="共同成本费用",Z711="总建筑面积法"),ROUND(T711/'附表1-面积统计表'!$D$29*'附表1-面积统计表'!$D$7,2),IF(AND(V711="共同成本费用",Z711="可售建筑面积法"),ROUND(T711/'附表1-面积统计表'!$F$29*'附表1-面积统计表'!$F$7,2),"请手工填写"))))</f>
        <v>274.84</v>
      </c>
      <c r="Z711" s="183" t="s">
        <v>351</v>
      </c>
      <c r="AA711" s="157"/>
      <c r="AB711" s="184" t="s">
        <v>2319</v>
      </c>
      <c r="AC711" s="132">
        <f t="shared" si="79"/>
        <v>0</v>
      </c>
    </row>
    <row r="712" s="132" customFormat="1" ht="30.05" spans="1:29">
      <c r="A712" s="150">
        <v>706</v>
      </c>
      <c r="B712" s="187" t="s">
        <v>4511</v>
      </c>
      <c r="C712" s="187" t="s">
        <v>526</v>
      </c>
      <c r="D712" s="153" t="s">
        <v>2331</v>
      </c>
      <c r="E712" s="154" t="s">
        <v>3544</v>
      </c>
      <c r="F712" s="154" t="s">
        <v>4512</v>
      </c>
      <c r="G712" s="216" t="s">
        <v>4513</v>
      </c>
      <c r="H712" s="157" t="str">
        <f>IF(G712="","",VLOOKUP(G712,'附表8-合同明细采集底稿'!B:I,2,0))</f>
        <v>建设工程勘察合同（32#33#34#）</v>
      </c>
      <c r="I712" s="165" t="str">
        <f>IF(G712="","",VLOOKUP(G712,'附表8-合同明细采集底稿'!B:I,3,0))</f>
        <v>技术合同</v>
      </c>
      <c r="J712" s="157" t="str">
        <f>IF(G712="","",VLOOKUP(G712,'附表8-合同明细采集底稿'!B:I,4,0))</f>
        <v>巴州基安岩土工程勘察设计有限责任公司</v>
      </c>
      <c r="K712" s="157" t="s">
        <v>2355</v>
      </c>
      <c r="L712" s="168"/>
      <c r="M712" s="166" t="s">
        <v>4516</v>
      </c>
      <c r="N712" s="230">
        <v>1163.21</v>
      </c>
      <c r="O712" s="167">
        <v>1233</v>
      </c>
      <c r="P712" s="230">
        <v>1163.21</v>
      </c>
      <c r="Q712" s="167"/>
      <c r="R712" s="167">
        <f t="shared" si="85"/>
        <v>1163.21</v>
      </c>
      <c r="S712" s="178">
        <f>IFERROR(VLOOKUP(G712,'附表8-合同明细采集底稿'!B:N,12,0),100%)</f>
        <v>1</v>
      </c>
      <c r="T712" s="167">
        <f t="shared" si="86"/>
        <v>1163.21</v>
      </c>
      <c r="U712" s="186" t="s">
        <v>2405</v>
      </c>
      <c r="V712" s="179" t="s">
        <v>374</v>
      </c>
      <c r="W712" s="181">
        <v>0</v>
      </c>
      <c r="X712" s="181">
        <v>0</v>
      </c>
      <c r="Y712" s="181">
        <v>1163.21</v>
      </c>
      <c r="Z712" s="183" t="s">
        <v>2406</v>
      </c>
      <c r="AA712" s="157"/>
      <c r="AB712" s="184" t="s">
        <v>2319</v>
      </c>
      <c r="AC712" s="132">
        <f t="shared" ref="AC712:AC768" si="88">T712-W712-X712-Y712</f>
        <v>0</v>
      </c>
    </row>
    <row r="713" s="132" customFormat="1" ht="30.05" spans="1:29">
      <c r="A713" s="150">
        <v>707</v>
      </c>
      <c r="B713" s="187" t="s">
        <v>4511</v>
      </c>
      <c r="C713" s="187" t="s">
        <v>526</v>
      </c>
      <c r="D713" s="153" t="s">
        <v>2339</v>
      </c>
      <c r="E713" s="154" t="s">
        <v>2370</v>
      </c>
      <c r="F713" s="154" t="s">
        <v>4512</v>
      </c>
      <c r="G713" s="216" t="s">
        <v>2431</v>
      </c>
      <c r="H713" s="157" t="str">
        <f>IF(G713="","",VLOOKUP(G713,'附表8-合同明细采集底稿'!B:I,2,0))</f>
        <v>建设工程勘察合同（1#35#，19-24#楼）19-24#</v>
      </c>
      <c r="I713" s="165" t="str">
        <f>IF(G713="","",VLOOKUP(G713,'附表8-合同明细采集底稿'!B:I,3,0))</f>
        <v>技术合同</v>
      </c>
      <c r="J713" s="157" t="str">
        <f>IF(G713="","",VLOOKUP(G713,'附表8-合同明细采集底稿'!B:I,4,0))</f>
        <v>巴州基安岩土工程勘察设计有限责任公司</v>
      </c>
      <c r="K713" s="157" t="s">
        <v>2355</v>
      </c>
      <c r="L713" s="168"/>
      <c r="M713" s="166" t="s">
        <v>4516</v>
      </c>
      <c r="N713" s="230">
        <v>1325.47</v>
      </c>
      <c r="O713" s="167">
        <v>1405</v>
      </c>
      <c r="P713" s="230">
        <v>1325.47</v>
      </c>
      <c r="Q713" s="167"/>
      <c r="R713" s="167">
        <f t="shared" si="85"/>
        <v>1325.47</v>
      </c>
      <c r="S713" s="178">
        <f>IFERROR(VLOOKUP(G713,'附表8-合同明细采集底稿'!B:N,12,0),100%)</f>
        <v>1</v>
      </c>
      <c r="T713" s="167">
        <f t="shared" si="86"/>
        <v>1325.47</v>
      </c>
      <c r="U713" s="186" t="s">
        <v>2405</v>
      </c>
      <c r="V713" s="179" t="s">
        <v>374</v>
      </c>
      <c r="W713" s="181">
        <v>0</v>
      </c>
      <c r="X713" s="181">
        <v>0</v>
      </c>
      <c r="Y713" s="181">
        <v>1325.47</v>
      </c>
      <c r="Z713" s="183" t="s">
        <v>2406</v>
      </c>
      <c r="AA713" s="157"/>
      <c r="AB713" s="184" t="s">
        <v>2319</v>
      </c>
      <c r="AC713" s="132">
        <f t="shared" si="88"/>
        <v>0</v>
      </c>
    </row>
    <row r="714" s="132" customFormat="1" ht="30.05" spans="1:29">
      <c r="A714" s="150">
        <v>708</v>
      </c>
      <c r="B714" s="187" t="s">
        <v>4511</v>
      </c>
      <c r="C714" s="187" t="s">
        <v>526</v>
      </c>
      <c r="D714" s="153" t="s">
        <v>2339</v>
      </c>
      <c r="E714" s="154" t="s">
        <v>2370</v>
      </c>
      <c r="F714" s="154" t="s">
        <v>4512</v>
      </c>
      <c r="G714" s="216" t="s">
        <v>2431</v>
      </c>
      <c r="H714" s="157" t="str">
        <f>IF(G714="","",VLOOKUP(G714,'附表8-合同明细采集底稿'!B:I,2,0))</f>
        <v>建设工程勘察合同（1#35#，19-24#楼）19-24#</v>
      </c>
      <c r="I714" s="165" t="str">
        <f>IF(G714="","",VLOOKUP(G714,'附表8-合同明细采集底稿'!B:I,3,0))</f>
        <v>技术合同</v>
      </c>
      <c r="J714" s="157" t="str">
        <f>IF(G714="","",VLOOKUP(G714,'附表8-合同明细采集底稿'!B:I,4,0))</f>
        <v>巴州基安岩土工程勘察设计有限责任公司</v>
      </c>
      <c r="K714" s="157" t="s">
        <v>2355</v>
      </c>
      <c r="L714" s="168"/>
      <c r="M714" s="166" t="s">
        <v>4516</v>
      </c>
      <c r="N714" s="230">
        <v>341.51</v>
      </c>
      <c r="O714" s="167">
        <v>362</v>
      </c>
      <c r="P714" s="230">
        <v>341.51</v>
      </c>
      <c r="Q714" s="167"/>
      <c r="R714" s="167">
        <f t="shared" si="85"/>
        <v>341.51</v>
      </c>
      <c r="S714" s="178">
        <f>IFERROR(VLOOKUP(G714,'附表8-合同明细采集底稿'!B:N,12,0),100%)</f>
        <v>1</v>
      </c>
      <c r="T714" s="167">
        <f t="shared" si="86"/>
        <v>341.51</v>
      </c>
      <c r="U714" s="237" t="s">
        <v>2416</v>
      </c>
      <c r="V714" s="179" t="s">
        <v>374</v>
      </c>
      <c r="W714" s="182">
        <f>ROUND(T714*成本分摊比例!$G$13/(成本分摊比例!$G$13+成本分摊比例!$H$13+成本分摊比例!$I$13),2)</f>
        <v>184.52</v>
      </c>
      <c r="X714" s="182">
        <f>ROUND(T714*成本分摊比例!$H$13/(成本分摊比例!$G$13+成本分摊比例!$H$13+成本分摊比例!$I$13),2)</f>
        <v>122.08</v>
      </c>
      <c r="Y714" s="182">
        <f>T714-W714-X714</f>
        <v>34.91</v>
      </c>
      <c r="Z714" s="183" t="s">
        <v>2406</v>
      </c>
      <c r="AA714" s="157"/>
      <c r="AB714" s="184" t="s">
        <v>2319</v>
      </c>
      <c r="AC714" s="132">
        <f t="shared" si="88"/>
        <v>0</v>
      </c>
    </row>
    <row r="715" s="132" customFormat="1" ht="45.1" spans="1:29">
      <c r="A715" s="150">
        <v>709</v>
      </c>
      <c r="B715" s="166" t="s">
        <v>3204</v>
      </c>
      <c r="C715" s="209" t="s">
        <v>4517</v>
      </c>
      <c r="D715" s="153" t="s">
        <v>2331</v>
      </c>
      <c r="E715" s="154" t="s">
        <v>3544</v>
      </c>
      <c r="F715" s="189" t="s">
        <v>4518</v>
      </c>
      <c r="G715" s="186" t="s">
        <v>4519</v>
      </c>
      <c r="H715" s="157" t="str">
        <f>IF(G715="","",VLOOKUP(G715,'附表8-合同明细采集底稿'!B:I,2,0))</f>
        <v>建设工程监理合同</v>
      </c>
      <c r="I715" s="165" t="str">
        <f>IF(G715="","",VLOOKUP(G715,'附表8-合同明细采集底稿'!B:I,3,0))</f>
        <v>技术合同</v>
      </c>
      <c r="J715" s="157" t="str">
        <f>IF(G715="","",VLOOKUP(G715,'附表8-合同明细采集底稿'!B:I,4,0))</f>
        <v>巴州智诚工程项目管理服务有限公司</v>
      </c>
      <c r="K715" s="157" t="s">
        <v>2355</v>
      </c>
      <c r="L715" s="168">
        <v>6500174130</v>
      </c>
      <c r="M715" s="555" t="s">
        <v>4520</v>
      </c>
      <c r="N715" s="219">
        <v>52146.53</v>
      </c>
      <c r="O715" s="167">
        <v>52668</v>
      </c>
      <c r="P715" s="219">
        <v>52146.53</v>
      </c>
      <c r="Q715" s="167">
        <v>-34732.8666336634</v>
      </c>
      <c r="R715" s="167">
        <f t="shared" si="85"/>
        <v>17413.6633663366</v>
      </c>
      <c r="S715" s="178">
        <f>IFERROR(VLOOKUP(G715,'附表8-合同明细采集底稿'!B:N,12,0),100%)</f>
        <v>0.338555832480367</v>
      </c>
      <c r="T715" s="167">
        <f t="shared" si="86"/>
        <v>5895.5</v>
      </c>
      <c r="U715" s="236" t="s">
        <v>3678</v>
      </c>
      <c r="V715" s="179" t="s">
        <v>375</v>
      </c>
      <c r="W715" s="180">
        <f>IF('附表1-面积统计表'!$D$29=0,"",IF(AND(V715="共同成本费用",Z715="总建筑面积法"),ROUND(T715/'附表1-面积统计表'!$D$29*'附表1-面积统计表'!$D$5,2),IF(AND(V715="共同成本费用",Z715="可售建筑面积法"),ROUND(T715/'附表1-面积统计表'!$F$29*'附表1-面积统计表'!$F$5,2),"请手工填写")))</f>
        <v>2856.15</v>
      </c>
      <c r="X715" s="180">
        <f>IF(SUM('附表1-面积统计表'!$D$6)=0,"",SUM(T715)-SUM(W715)-SUM(Y715))</f>
        <v>1889.71</v>
      </c>
      <c r="Y715" s="180">
        <f>IF(SUM('附表1-面积统计表'!$D$6)=0,SUM(T715)-SUM(W715),IF('附表1-面积统计表'!$D$29=0,"",IF(AND(V715="共同成本费用",Z715="总建筑面积法"),ROUND(T715/'附表1-面积统计表'!$D$29*'附表1-面积统计表'!$D$7,2),IF(AND(V715="共同成本费用",Z715="可售建筑面积法"),ROUND(T715/'附表1-面积统计表'!$F$29*'附表1-面积统计表'!$F$7,2),"请手工填写"))))</f>
        <v>1149.64</v>
      </c>
      <c r="Z715" s="183" t="s">
        <v>351</v>
      </c>
      <c r="AA715" s="157"/>
      <c r="AB715" s="184" t="s">
        <v>2319</v>
      </c>
      <c r="AC715" s="132">
        <f t="shared" si="88"/>
        <v>0</v>
      </c>
    </row>
    <row r="716" s="132" customFormat="1" ht="30.05" spans="1:29">
      <c r="A716" s="150">
        <v>710</v>
      </c>
      <c r="B716" s="166" t="s">
        <v>4521</v>
      </c>
      <c r="C716" s="209" t="s">
        <v>4051</v>
      </c>
      <c r="D716" s="153" t="s">
        <v>2331</v>
      </c>
      <c r="E716" s="154" t="s">
        <v>3994</v>
      </c>
      <c r="F716" s="189" t="s">
        <v>4522</v>
      </c>
      <c r="G716" s="186" t="s">
        <v>3996</v>
      </c>
      <c r="H716" s="157" t="str">
        <f>IF(G716="","",VLOOKUP(G716,'附表8-合同明细采集底稿'!B:I,2,0))</f>
        <v>电缆采购合同-公共社区、幼儿园</v>
      </c>
      <c r="I716" s="165" t="str">
        <f>IF(G716="","",VLOOKUP(G716,'附表8-合同明细采集底稿'!B:I,3,0))</f>
        <v>其他合同</v>
      </c>
      <c r="J716" s="157" t="str">
        <f>IF(G716="","",VLOOKUP(G716,'附表8-合同明细采集底稿'!B:I,4,0))</f>
        <v>泰丰线缆有限公司</v>
      </c>
      <c r="K716" s="157" t="s">
        <v>2355</v>
      </c>
      <c r="L716" s="168">
        <v>6500174130</v>
      </c>
      <c r="M716" s="555" t="s">
        <v>4523</v>
      </c>
      <c r="N716" s="188">
        <v>837307.06</v>
      </c>
      <c r="O716" s="167">
        <v>946156.98</v>
      </c>
      <c r="P716" s="167">
        <v>837307.06</v>
      </c>
      <c r="Q716" s="167">
        <v>-685916.8</v>
      </c>
      <c r="R716" s="167">
        <f t="shared" si="85"/>
        <v>151390.26</v>
      </c>
      <c r="S716" s="178">
        <f>IFERROR(VLOOKUP(G716,'附表8-合同明细采集底稿'!B:N,12,0),100%)</f>
        <v>0.338555832480367</v>
      </c>
      <c r="T716" s="167">
        <f t="shared" si="86"/>
        <v>51254.06</v>
      </c>
      <c r="U716" s="157" t="s">
        <v>3999</v>
      </c>
      <c r="V716" s="179" t="s">
        <v>375</v>
      </c>
      <c r="W716" s="180">
        <f>IF('附表1-面积统计表'!$D$29=0,"",IF(AND(V716="共同成本费用",Z716="总建筑面积法"),ROUND(T716/'附表1-面积统计表'!$D$29*'附表1-面积统计表'!$D$5,2),IF(AND(V716="共同成本费用",Z716="可售建筑面积法"),ROUND(T716/'附表1-面积统计表'!$F$29*'附表1-面积统计表'!$F$5,2),"请手工填写")))</f>
        <v>24830.7</v>
      </c>
      <c r="X716" s="180">
        <f>IF(SUM('附表1-面积统计表'!$D$6)=0,"",SUM(T716)-SUM(W716)-SUM(Y716))</f>
        <v>16428.67</v>
      </c>
      <c r="Y716" s="180">
        <f>IF(SUM('附表1-面积统计表'!$D$6)=0,SUM(T716)-SUM(W716),IF('附表1-面积统计表'!$D$29=0,"",IF(AND(V716="共同成本费用",Z716="总建筑面积法"),ROUND(T716/'附表1-面积统计表'!$D$29*'附表1-面积统计表'!$D$7,2),IF(AND(V716="共同成本费用",Z716="可售建筑面积法"),ROUND(T716/'附表1-面积统计表'!$F$29*'附表1-面积统计表'!$F$7,2),"请手工填写"))))</f>
        <v>9994.69</v>
      </c>
      <c r="Z716" s="183" t="s">
        <v>351</v>
      </c>
      <c r="AA716" s="157"/>
      <c r="AB716" s="184" t="s">
        <v>2319</v>
      </c>
      <c r="AC716" s="132">
        <f t="shared" si="88"/>
        <v>0</v>
      </c>
    </row>
    <row r="717" s="132" customFormat="1" ht="30.05" spans="1:29">
      <c r="A717" s="150">
        <v>711</v>
      </c>
      <c r="B717" s="151">
        <v>43601</v>
      </c>
      <c r="C717" s="123" t="s">
        <v>2695</v>
      </c>
      <c r="D717" s="153" t="s">
        <v>2533</v>
      </c>
      <c r="E717" s="154" t="s">
        <v>2564</v>
      </c>
      <c r="F717" s="159" t="s">
        <v>4524</v>
      </c>
      <c r="G717" s="156" t="s">
        <v>2614</v>
      </c>
      <c r="H717" s="157" t="str">
        <f>IF(G717="","",VLOOKUP(G717,'附表8-合同明细采集底稿'!B:I,2,0))</f>
        <v>沁春锦苑1#35#、大门楼施工协议（1#.35#）</v>
      </c>
      <c r="I717" s="165" t="str">
        <f>IF(G717="","",VLOOKUP(G717,'附表8-合同明细采集底稿'!B:I,3,0))</f>
        <v>建设工程合同</v>
      </c>
      <c r="J717" s="159" t="s">
        <v>4524</v>
      </c>
      <c r="K717" s="157" t="s">
        <v>2355</v>
      </c>
      <c r="L717" s="166" t="s">
        <v>2393</v>
      </c>
      <c r="M717" s="554" t="s">
        <v>4525</v>
      </c>
      <c r="N717" s="219">
        <v>1108256.88</v>
      </c>
      <c r="O717" s="167">
        <v>1208000</v>
      </c>
      <c r="P717" s="219">
        <v>1108256.88</v>
      </c>
      <c r="Q717" s="167"/>
      <c r="R717" s="167">
        <f t="shared" si="85"/>
        <v>1108256.88</v>
      </c>
      <c r="S717" s="178">
        <f>IFERROR(VLOOKUP(G717,'附表8-合同明细采集底稿'!B:N,12,0),100%)</f>
        <v>1</v>
      </c>
      <c r="T717" s="167">
        <f t="shared" si="86"/>
        <v>1108256.88</v>
      </c>
      <c r="U717" s="237" t="s">
        <v>2405</v>
      </c>
      <c r="V717" s="179" t="s">
        <v>374</v>
      </c>
      <c r="W717" s="181">
        <v>0</v>
      </c>
      <c r="X717" s="181">
        <v>0</v>
      </c>
      <c r="Y717" s="181">
        <v>1108256.88</v>
      </c>
      <c r="Z717" s="183" t="s">
        <v>2406</v>
      </c>
      <c r="AA717" s="157"/>
      <c r="AB717" s="184" t="s">
        <v>2319</v>
      </c>
      <c r="AC717" s="132">
        <f t="shared" si="88"/>
        <v>0</v>
      </c>
    </row>
    <row r="718" s="132" customFormat="1" ht="30.05" spans="1:29">
      <c r="A718" s="150">
        <v>712</v>
      </c>
      <c r="B718" s="151">
        <v>43627</v>
      </c>
      <c r="C718" s="123" t="s">
        <v>2330</v>
      </c>
      <c r="D718" s="153" t="s">
        <v>2533</v>
      </c>
      <c r="E718" s="154" t="s">
        <v>2564</v>
      </c>
      <c r="F718" s="159" t="s">
        <v>4524</v>
      </c>
      <c r="G718" s="156" t="s">
        <v>2614</v>
      </c>
      <c r="H718" s="157" t="str">
        <f>IF(G718="","",VLOOKUP(G718,'附表8-合同明细采集底稿'!B:I,2,0))</f>
        <v>沁春锦苑1#35#、大门楼施工协议（1#.35#）</v>
      </c>
      <c r="I718" s="165" t="str">
        <f>IF(G718="","",VLOOKUP(G718,'附表8-合同明细采集底稿'!B:I,3,0))</f>
        <v>建设工程合同</v>
      </c>
      <c r="J718" s="159" t="s">
        <v>4524</v>
      </c>
      <c r="K718" s="157" t="s">
        <v>2355</v>
      </c>
      <c r="L718" s="166" t="s">
        <v>2530</v>
      </c>
      <c r="M718" s="555" t="s">
        <v>4526</v>
      </c>
      <c r="N718" s="188">
        <v>459876.82</v>
      </c>
      <c r="O718" s="167">
        <v>501265.73</v>
      </c>
      <c r="P718" s="188">
        <v>459876.82</v>
      </c>
      <c r="Q718" s="167"/>
      <c r="R718" s="167">
        <f t="shared" si="85"/>
        <v>459876.82</v>
      </c>
      <c r="S718" s="178">
        <f>IFERROR(VLOOKUP(G718,'附表8-合同明细采集底稿'!B:N,12,0),100%)</f>
        <v>1</v>
      </c>
      <c r="T718" s="167">
        <f t="shared" si="86"/>
        <v>459876.82</v>
      </c>
      <c r="U718" s="237" t="s">
        <v>2405</v>
      </c>
      <c r="V718" s="179" t="s">
        <v>374</v>
      </c>
      <c r="W718" s="181">
        <v>0</v>
      </c>
      <c r="X718" s="181">
        <v>0</v>
      </c>
      <c r="Y718" s="181">
        <v>459876.82</v>
      </c>
      <c r="Z718" s="183" t="s">
        <v>2406</v>
      </c>
      <c r="AA718" s="157"/>
      <c r="AB718" s="184" t="s">
        <v>2319</v>
      </c>
      <c r="AC718" s="132">
        <f t="shared" si="88"/>
        <v>0</v>
      </c>
    </row>
    <row r="719" s="132" customFormat="1" ht="30.05" spans="1:29">
      <c r="A719" s="150">
        <v>713</v>
      </c>
      <c r="B719" s="166" t="s">
        <v>4037</v>
      </c>
      <c r="C719" s="209" t="s">
        <v>3901</v>
      </c>
      <c r="D719" s="153" t="s">
        <v>2346</v>
      </c>
      <c r="E719" s="154" t="s">
        <v>3509</v>
      </c>
      <c r="F719" s="189" t="s">
        <v>4527</v>
      </c>
      <c r="G719" s="169" t="s">
        <v>4528</v>
      </c>
      <c r="H719" s="157" t="str">
        <f>IF(G719="","",VLOOKUP(G719,'附表8-合同明细采集底稿'!B:I,2,0))</f>
        <v>1#楼天然气安装工程</v>
      </c>
      <c r="I719" s="165" t="str">
        <f>IF(G719="","",VLOOKUP(G719,'附表8-合同明细采集底稿'!B:I,3,0))</f>
        <v>建设工程合同</v>
      </c>
      <c r="J719" s="157" t="str">
        <f>IF(G719="","",VLOOKUP(G719,'附表8-合同明细采集底稿'!B:I,4,0))</f>
        <v>新疆南天城建（集团）股份有限公司</v>
      </c>
      <c r="K719" s="157" t="s">
        <v>2355</v>
      </c>
      <c r="L719" s="166" t="s">
        <v>2530</v>
      </c>
      <c r="M719" s="166" t="s">
        <v>4529</v>
      </c>
      <c r="N719" s="219">
        <v>27902.11</v>
      </c>
      <c r="O719" s="167">
        <v>30413.3</v>
      </c>
      <c r="P719" s="219">
        <v>27902.11</v>
      </c>
      <c r="Q719" s="167"/>
      <c r="R719" s="167">
        <f t="shared" si="85"/>
        <v>27902.11</v>
      </c>
      <c r="S719" s="178">
        <f>IFERROR(VLOOKUP(G719,'附表8-合同明细采集底稿'!B:N,12,0),100%)</f>
        <v>1</v>
      </c>
      <c r="T719" s="167">
        <f t="shared" si="86"/>
        <v>27902.11</v>
      </c>
      <c r="U719" s="237" t="s">
        <v>2405</v>
      </c>
      <c r="V719" s="179" t="s">
        <v>374</v>
      </c>
      <c r="W719" s="181">
        <v>0</v>
      </c>
      <c r="X719" s="181">
        <v>0</v>
      </c>
      <c r="Y719" s="181">
        <v>27902.11</v>
      </c>
      <c r="Z719" s="183" t="s">
        <v>2406</v>
      </c>
      <c r="AA719" s="157"/>
      <c r="AB719" s="184" t="s">
        <v>2319</v>
      </c>
      <c r="AC719" s="132">
        <f t="shared" si="88"/>
        <v>0</v>
      </c>
    </row>
    <row r="720" s="132" customFormat="1" ht="45.1" spans="1:29">
      <c r="A720" s="150">
        <v>714</v>
      </c>
      <c r="B720" s="166" t="s">
        <v>3673</v>
      </c>
      <c r="C720" s="209" t="s">
        <v>4530</v>
      </c>
      <c r="D720" s="153" t="s">
        <v>2533</v>
      </c>
      <c r="E720" s="154" t="s">
        <v>2788</v>
      </c>
      <c r="F720" s="189" t="s">
        <v>4531</v>
      </c>
      <c r="G720" s="156" t="s">
        <v>2886</v>
      </c>
      <c r="H720" s="157" t="str">
        <f>IF(G720="","",VLOOKUP(G720,'附表8-合同明细采集底稿'!B:I,2,0))</f>
        <v>沁春锦苑1#35#楼大门外墙装修合同</v>
      </c>
      <c r="I720" s="165" t="str">
        <f>IF(G720="","",VLOOKUP(G720,'附表8-合同明细采集底稿'!B:I,3,0))</f>
        <v>建设工程合同</v>
      </c>
      <c r="J720" s="157" t="str">
        <f>IF(G720="","",VLOOKUP(G720,'附表8-合同明细采集底稿'!B:I,4,0))</f>
        <v>新疆通力建设集团股份有限公司（刘建军）</v>
      </c>
      <c r="K720" s="157" t="s">
        <v>2355</v>
      </c>
      <c r="L720" s="166" t="s">
        <v>2530</v>
      </c>
      <c r="M720" s="555" t="s">
        <v>4532</v>
      </c>
      <c r="N720" s="188">
        <v>926605.5</v>
      </c>
      <c r="O720" s="167">
        <v>1010000</v>
      </c>
      <c r="P720" s="188">
        <v>926605.5</v>
      </c>
      <c r="Q720" s="167"/>
      <c r="R720" s="167">
        <f t="shared" si="85"/>
        <v>926605.5</v>
      </c>
      <c r="S720" s="178">
        <f>IFERROR(VLOOKUP(G720,'附表8-合同明细采集底稿'!B:N,12,0),100%)</f>
        <v>1</v>
      </c>
      <c r="T720" s="167">
        <f t="shared" si="86"/>
        <v>926605.5</v>
      </c>
      <c r="U720" s="237" t="s">
        <v>2405</v>
      </c>
      <c r="V720" s="179" t="s">
        <v>374</v>
      </c>
      <c r="W720" s="181">
        <v>0</v>
      </c>
      <c r="X720" s="181">
        <v>0</v>
      </c>
      <c r="Y720" s="181">
        <v>926605.5</v>
      </c>
      <c r="Z720" s="183" t="s">
        <v>2406</v>
      </c>
      <c r="AA720" s="157"/>
      <c r="AB720" s="184" t="s">
        <v>2319</v>
      </c>
      <c r="AC720" s="132">
        <f t="shared" si="88"/>
        <v>0</v>
      </c>
    </row>
    <row r="721" s="132" customFormat="1" ht="45.1" spans="1:29">
      <c r="A721" s="150">
        <v>715</v>
      </c>
      <c r="B721" s="166" t="s">
        <v>3879</v>
      </c>
      <c r="C721" s="166" t="s">
        <v>3883</v>
      </c>
      <c r="D721" s="153" t="s">
        <v>2533</v>
      </c>
      <c r="E721" s="154" t="s">
        <v>2788</v>
      </c>
      <c r="F721" s="189" t="s">
        <v>3884</v>
      </c>
      <c r="G721" s="156" t="s">
        <v>2886</v>
      </c>
      <c r="H721" s="157" t="str">
        <f>IF(G721="","",VLOOKUP(G721,'附表8-合同明细采集底稿'!B:I,2,0))</f>
        <v>沁春锦苑1#35#楼大门外墙装修合同</v>
      </c>
      <c r="I721" s="165" t="str">
        <f>IF(G721="","",VLOOKUP(G721,'附表8-合同明细采集底稿'!B:I,3,0))</f>
        <v>建设工程合同</v>
      </c>
      <c r="J721" s="157" t="str">
        <f>IF(G721="","",VLOOKUP(G721,'附表8-合同明细采集底稿'!B:I,4,0))</f>
        <v>新疆通力建设集团股份有限公司（刘建军）</v>
      </c>
      <c r="K721" s="157" t="s">
        <v>2355</v>
      </c>
      <c r="L721" s="166" t="s">
        <v>2530</v>
      </c>
      <c r="M721" s="555" t="s">
        <v>3885</v>
      </c>
      <c r="N721" s="188">
        <v>277735.46</v>
      </c>
      <c r="O721" s="167">
        <v>302731.65</v>
      </c>
      <c r="P721" s="188">
        <v>277735.46</v>
      </c>
      <c r="Q721" s="167"/>
      <c r="R721" s="167">
        <f t="shared" si="85"/>
        <v>277735.46</v>
      </c>
      <c r="S721" s="178">
        <f>IFERROR(VLOOKUP(G721,'附表8-合同明细采集底稿'!B:N,12,0),100%)</f>
        <v>1</v>
      </c>
      <c r="T721" s="167">
        <f t="shared" si="86"/>
        <v>277735.46</v>
      </c>
      <c r="U721" s="237" t="s">
        <v>2405</v>
      </c>
      <c r="V721" s="179" t="s">
        <v>374</v>
      </c>
      <c r="W721" s="181">
        <v>0</v>
      </c>
      <c r="X721" s="181">
        <v>0</v>
      </c>
      <c r="Y721" s="181">
        <v>277735.46</v>
      </c>
      <c r="Z721" s="183" t="s">
        <v>2406</v>
      </c>
      <c r="AA721" s="157"/>
      <c r="AB721" s="184" t="s">
        <v>2319</v>
      </c>
      <c r="AC721" s="132">
        <f t="shared" si="88"/>
        <v>0</v>
      </c>
    </row>
    <row r="722" s="132" customFormat="1" ht="30.05" spans="1:29">
      <c r="A722" s="150">
        <v>716</v>
      </c>
      <c r="B722" s="214">
        <v>45535</v>
      </c>
      <c r="C722" s="166" t="s">
        <v>2925</v>
      </c>
      <c r="D722" s="153" t="s">
        <v>2533</v>
      </c>
      <c r="E722" s="154" t="s">
        <v>2564</v>
      </c>
      <c r="F722" s="187" t="s">
        <v>4533</v>
      </c>
      <c r="G722" s="186" t="s">
        <v>2886</v>
      </c>
      <c r="H722" s="157" t="str">
        <f>IF(G722="","",VLOOKUP(G722,'附表8-合同明细采集底稿'!B:I,2,0))</f>
        <v>沁春锦苑1#35#楼大门外墙装修合同</v>
      </c>
      <c r="I722" s="165" t="str">
        <f>IF(G722="","",VLOOKUP(G722,'附表8-合同明细采集底稿'!B:I,3,0))</f>
        <v>建设工程合同</v>
      </c>
      <c r="J722" s="157" t="str">
        <f>IF(G722="","",VLOOKUP(G722,'附表8-合同明细采集底稿'!B:I,4,0))</f>
        <v>新疆通力建设集团股份有限公司（刘建军）</v>
      </c>
      <c r="K722" s="157" t="s">
        <v>2355</v>
      </c>
      <c r="L722" s="168"/>
      <c r="M722" s="156" t="s">
        <v>4534</v>
      </c>
      <c r="N722" s="230">
        <v>118348.62</v>
      </c>
      <c r="O722" s="167">
        <v>129000</v>
      </c>
      <c r="P722" s="230">
        <v>118348.62</v>
      </c>
      <c r="Q722" s="167"/>
      <c r="R722" s="167">
        <f t="shared" si="85"/>
        <v>118348.62</v>
      </c>
      <c r="S722" s="178">
        <f>IFERROR(VLOOKUP(G722,'附表8-合同明细采集底稿'!B:N,12,0),100%)</f>
        <v>1</v>
      </c>
      <c r="T722" s="167">
        <f t="shared" si="86"/>
        <v>118348.62</v>
      </c>
      <c r="U722" s="157"/>
      <c r="V722" s="179" t="s">
        <v>374</v>
      </c>
      <c r="W722" s="181">
        <v>0</v>
      </c>
      <c r="X722" s="181">
        <v>0</v>
      </c>
      <c r="Y722" s="181">
        <v>118348.62</v>
      </c>
      <c r="Z722" s="183" t="s">
        <v>2406</v>
      </c>
      <c r="AA722" s="157"/>
      <c r="AB722" s="184" t="s">
        <v>2319</v>
      </c>
      <c r="AC722" s="132">
        <f t="shared" si="88"/>
        <v>0</v>
      </c>
    </row>
    <row r="723" s="132" customFormat="1" ht="30.05" spans="1:29">
      <c r="A723" s="150">
        <v>717</v>
      </c>
      <c r="B723" s="214">
        <v>45535</v>
      </c>
      <c r="C723" s="166" t="s">
        <v>2925</v>
      </c>
      <c r="D723" s="153" t="s">
        <v>2533</v>
      </c>
      <c r="E723" s="154" t="s">
        <v>2564</v>
      </c>
      <c r="F723" s="187" t="s">
        <v>4535</v>
      </c>
      <c r="G723" s="186" t="s">
        <v>2886</v>
      </c>
      <c r="H723" s="157" t="str">
        <f>IF(G723="","",VLOOKUP(G723,'附表8-合同明细采集底稿'!B:I,2,0))</f>
        <v>沁春锦苑1#35#楼大门外墙装修合同</v>
      </c>
      <c r="I723" s="165" t="str">
        <f>IF(G723="","",VLOOKUP(G723,'附表8-合同明细采集底稿'!B:I,3,0))</f>
        <v>建设工程合同</v>
      </c>
      <c r="J723" s="157" t="str">
        <f>IF(G723="","",VLOOKUP(G723,'附表8-合同明细采集底稿'!B:I,4,0))</f>
        <v>新疆通力建设集团股份有限公司（刘建军）</v>
      </c>
      <c r="K723" s="157" t="s">
        <v>2355</v>
      </c>
      <c r="L723" s="168"/>
      <c r="M723" s="156" t="s">
        <v>4534</v>
      </c>
      <c r="N723" s="230">
        <v>1206296.5</v>
      </c>
      <c r="O723" s="167">
        <v>1314863.19</v>
      </c>
      <c r="P723" s="230">
        <v>1206296.5</v>
      </c>
      <c r="Q723" s="167"/>
      <c r="R723" s="167">
        <f t="shared" si="85"/>
        <v>1206296.5</v>
      </c>
      <c r="S723" s="178">
        <f>IFERROR(VLOOKUP(G723,'附表8-合同明细采集底稿'!B:N,12,0),100%)</f>
        <v>1</v>
      </c>
      <c r="T723" s="167">
        <f t="shared" si="86"/>
        <v>1206296.5</v>
      </c>
      <c r="U723" s="157"/>
      <c r="V723" s="179" t="s">
        <v>374</v>
      </c>
      <c r="W723" s="181">
        <v>0</v>
      </c>
      <c r="X723" s="181">
        <v>0</v>
      </c>
      <c r="Y723" s="181">
        <v>1206296.5</v>
      </c>
      <c r="Z723" s="183" t="s">
        <v>2406</v>
      </c>
      <c r="AA723" s="157"/>
      <c r="AB723" s="184" t="s">
        <v>2319</v>
      </c>
      <c r="AC723" s="132">
        <f t="shared" si="88"/>
        <v>0</v>
      </c>
    </row>
    <row r="724" s="132" customFormat="1" ht="45.1" spans="1:29">
      <c r="A724" s="150">
        <v>718</v>
      </c>
      <c r="B724" s="214">
        <v>45535</v>
      </c>
      <c r="C724" s="166" t="s">
        <v>3059</v>
      </c>
      <c r="D724" s="153" t="s">
        <v>2533</v>
      </c>
      <c r="E724" s="154" t="s">
        <v>2690</v>
      </c>
      <c r="F724" s="187" t="s">
        <v>4536</v>
      </c>
      <c r="G724" s="186" t="s">
        <v>2919</v>
      </c>
      <c r="H724" s="157" t="str">
        <f>IF(G724="","",VLOOKUP(G724,'附表8-合同明细采集底稿'!B:I,2,0))</f>
        <v>1#19#20#-34#35#)室外</v>
      </c>
      <c r="I724" s="165" t="str">
        <f>IF(G724="","",VLOOKUP(G724,'附表8-合同明细采集底稿'!B:I,3,0))</f>
        <v>其他合同</v>
      </c>
      <c r="J724" s="157" t="str">
        <f>IF(G724="","",VLOOKUP(G724,'附表8-合同明细采集底稿'!B:I,4,0))</f>
        <v>新疆中洲建设工程有限责任公司（巩红卫）</v>
      </c>
      <c r="K724" s="157" t="s">
        <v>2355</v>
      </c>
      <c r="L724" s="168"/>
      <c r="M724" s="156" t="s">
        <v>4537</v>
      </c>
      <c r="N724" s="230">
        <v>95697.25</v>
      </c>
      <c r="O724" s="167">
        <v>104310</v>
      </c>
      <c r="P724" s="230">
        <v>95697.25</v>
      </c>
      <c r="Q724" s="167"/>
      <c r="R724" s="167">
        <f t="shared" si="85"/>
        <v>95697.25</v>
      </c>
      <c r="S724" s="178">
        <f>IFERROR(VLOOKUP(G724,'附表8-合同明细采集底稿'!B:N,12,0),100%)</f>
        <v>1</v>
      </c>
      <c r="T724" s="167">
        <f t="shared" si="86"/>
        <v>95697.25</v>
      </c>
      <c r="U724" s="157"/>
      <c r="V724" s="179" t="s">
        <v>374</v>
      </c>
      <c r="W724" s="182">
        <f>ROUND(T724*成本分摊比例!$G$13/(成本分摊比例!$G$13+成本分摊比例!$H$13+成本分摊比例!$I$13),2)</f>
        <v>51705.39</v>
      </c>
      <c r="X724" s="182">
        <f>ROUND(T724*成本分摊比例!$H$13/(成本分摊比例!$G$13+成本分摊比例!$H$13+成本分摊比例!$I$13),2)</f>
        <v>34209.71</v>
      </c>
      <c r="Y724" s="182">
        <f>T724-W724-X724</f>
        <v>9782.15</v>
      </c>
      <c r="Z724" s="183" t="s">
        <v>2406</v>
      </c>
      <c r="AA724" s="157"/>
      <c r="AB724" s="184" t="s">
        <v>2319</v>
      </c>
      <c r="AC724" s="132">
        <f t="shared" si="88"/>
        <v>0</v>
      </c>
    </row>
    <row r="725" s="132" customFormat="1" ht="45.1" spans="1:29">
      <c r="A725" s="150">
        <v>719</v>
      </c>
      <c r="B725" s="214">
        <v>45535</v>
      </c>
      <c r="C725" s="166" t="s">
        <v>3059</v>
      </c>
      <c r="D725" s="153" t="s">
        <v>2533</v>
      </c>
      <c r="E725" s="154" t="s">
        <v>2690</v>
      </c>
      <c r="F725" s="187" t="s">
        <v>4536</v>
      </c>
      <c r="G725" s="186" t="s">
        <v>4538</v>
      </c>
      <c r="H725" s="157" t="str">
        <f>IF(G725="","",VLOOKUP(G725,'附表8-合同明细采集底稿'!B:I,2,0))</f>
        <v>1#19#20#-34#35#)室外-1#.32-35#</v>
      </c>
      <c r="I725" s="165" t="str">
        <f>IF(G725="","",VLOOKUP(G725,'附表8-合同明细采集底稿'!B:I,3,0))</f>
        <v>其他合同</v>
      </c>
      <c r="J725" s="157" t="str">
        <f>IF(G725="","",VLOOKUP(G725,'附表8-合同明细采集底稿'!B:I,4,0))</f>
        <v>新疆中洲建设工程有限责任公司（巩红卫）</v>
      </c>
      <c r="K725" s="157" t="s">
        <v>2355</v>
      </c>
      <c r="L725" s="168"/>
      <c r="M725" s="156" t="s">
        <v>4537</v>
      </c>
      <c r="N725" s="230">
        <v>404302.75</v>
      </c>
      <c r="O725" s="167">
        <v>440690</v>
      </c>
      <c r="P725" s="230">
        <v>404302.75</v>
      </c>
      <c r="Q725" s="167"/>
      <c r="R725" s="167">
        <f t="shared" si="85"/>
        <v>404302.75</v>
      </c>
      <c r="S725" s="178">
        <f>IFERROR(VLOOKUP(G725,'附表8-合同明细采集底稿'!B:N,12,0),100%)</f>
        <v>1</v>
      </c>
      <c r="T725" s="167">
        <f t="shared" si="86"/>
        <v>404302.75</v>
      </c>
      <c r="U725" s="157"/>
      <c r="V725" s="179" t="s">
        <v>374</v>
      </c>
      <c r="W725" s="181">
        <v>0</v>
      </c>
      <c r="X725" s="181">
        <v>0</v>
      </c>
      <c r="Y725" s="181">
        <v>404302.75</v>
      </c>
      <c r="Z725" s="183" t="s">
        <v>2406</v>
      </c>
      <c r="AA725" s="157"/>
      <c r="AB725" s="184" t="s">
        <v>2319</v>
      </c>
      <c r="AC725" s="132">
        <f t="shared" si="88"/>
        <v>0</v>
      </c>
    </row>
    <row r="726" s="132" customFormat="1" ht="45.1" spans="1:29">
      <c r="A726" s="150">
        <v>720</v>
      </c>
      <c r="B726" s="214">
        <v>45535</v>
      </c>
      <c r="C726" s="166" t="s">
        <v>3770</v>
      </c>
      <c r="D726" s="153" t="s">
        <v>2533</v>
      </c>
      <c r="E726" s="154" t="s">
        <v>2690</v>
      </c>
      <c r="F726" s="187" t="s">
        <v>4539</v>
      </c>
      <c r="G726" s="186" t="s">
        <v>4540</v>
      </c>
      <c r="H726" s="157" t="str">
        <f>IF(G726="","",VLOOKUP(G726,'附表8-合同明细采集底稿'!B:I,2,0))</f>
        <v>（1#32#33#34#室内消防）</v>
      </c>
      <c r="I726" s="165" t="str">
        <f>IF(G726="","",VLOOKUP(G726,'附表8-合同明细采集底稿'!B:I,3,0))</f>
        <v>其他合同</v>
      </c>
      <c r="J726" s="157" t="str">
        <f>IF(G726="","",VLOOKUP(G726,'附表8-合同明细采集底稿'!B:I,4,0))</f>
        <v>新疆中洲建设工程有限责任公司（巩红卫）</v>
      </c>
      <c r="K726" s="157" t="s">
        <v>2355</v>
      </c>
      <c r="L726" s="168"/>
      <c r="M726" s="156" t="s">
        <v>4541</v>
      </c>
      <c r="N726" s="230">
        <v>169810.23</v>
      </c>
      <c r="O726" s="167">
        <v>185093.15</v>
      </c>
      <c r="P726" s="230">
        <v>169810.23</v>
      </c>
      <c r="Q726" s="167"/>
      <c r="R726" s="167">
        <f t="shared" si="85"/>
        <v>169810.23</v>
      </c>
      <c r="S726" s="178">
        <f>IFERROR(VLOOKUP(G726,'附表8-合同明细采集底稿'!B:N,12,0),100%)</f>
        <v>1</v>
      </c>
      <c r="T726" s="167">
        <f t="shared" si="86"/>
        <v>169810.23</v>
      </c>
      <c r="U726" s="157"/>
      <c r="V726" s="179" t="s">
        <v>374</v>
      </c>
      <c r="W726" s="181">
        <v>0</v>
      </c>
      <c r="X726" s="181">
        <v>0</v>
      </c>
      <c r="Y726" s="181">
        <v>169810.23</v>
      </c>
      <c r="Z726" s="183" t="s">
        <v>2406</v>
      </c>
      <c r="AA726" s="157"/>
      <c r="AB726" s="184" t="s">
        <v>2319</v>
      </c>
      <c r="AC726" s="132">
        <f t="shared" si="88"/>
        <v>0</v>
      </c>
    </row>
    <row r="727" s="132" customFormat="1" ht="45.1" spans="1:29">
      <c r="A727" s="150">
        <v>721</v>
      </c>
      <c r="B727" s="214">
        <v>45535</v>
      </c>
      <c r="C727" s="166" t="s">
        <v>3770</v>
      </c>
      <c r="D727" s="153" t="s">
        <v>2533</v>
      </c>
      <c r="E727" s="154" t="s">
        <v>2690</v>
      </c>
      <c r="F727" s="187" t="s">
        <v>4539</v>
      </c>
      <c r="G727" s="186" t="s">
        <v>4540</v>
      </c>
      <c r="H727" s="157" t="str">
        <f>IF(G727="","",VLOOKUP(G727,'附表8-合同明细采集底稿'!B:I,2,0))</f>
        <v>（1#32#33#34#室内消防）</v>
      </c>
      <c r="I727" s="165" t="str">
        <f>IF(G727="","",VLOOKUP(G727,'附表8-合同明细采集底稿'!B:I,3,0))</f>
        <v>其他合同</v>
      </c>
      <c r="J727" s="157" t="str">
        <f>IF(G727="","",VLOOKUP(G727,'附表8-合同明细采集底稿'!B:I,4,0))</f>
        <v>新疆中洲建设工程有限责任公司（巩红卫）</v>
      </c>
      <c r="K727" s="157" t="s">
        <v>2355</v>
      </c>
      <c r="L727" s="168"/>
      <c r="M727" s="156" t="s">
        <v>4541</v>
      </c>
      <c r="N727" s="230">
        <v>68721.88</v>
      </c>
      <c r="O727" s="167">
        <v>74906.85</v>
      </c>
      <c r="P727" s="230">
        <v>68721.88</v>
      </c>
      <c r="Q727" s="167"/>
      <c r="R727" s="167">
        <f t="shared" si="85"/>
        <v>68721.88</v>
      </c>
      <c r="S727" s="178">
        <f>IFERROR(VLOOKUP(G727,'附表8-合同明细采集底稿'!B:N,12,0),100%)</f>
        <v>1</v>
      </c>
      <c r="T727" s="167">
        <f t="shared" si="86"/>
        <v>68721.88</v>
      </c>
      <c r="U727" s="157"/>
      <c r="V727" s="179" t="s">
        <v>374</v>
      </c>
      <c r="W727" s="181">
        <v>0</v>
      </c>
      <c r="X727" s="181">
        <v>0</v>
      </c>
      <c r="Y727" s="181">
        <v>68721.88</v>
      </c>
      <c r="Z727" s="183" t="s">
        <v>2406</v>
      </c>
      <c r="AA727" s="157"/>
      <c r="AB727" s="184" t="s">
        <v>2319</v>
      </c>
      <c r="AC727" s="132">
        <f t="shared" si="88"/>
        <v>0</v>
      </c>
    </row>
    <row r="728" s="132" customFormat="1" ht="30.05" spans="1:29">
      <c r="A728" s="150">
        <v>722</v>
      </c>
      <c r="B728" s="214" t="s">
        <v>3958</v>
      </c>
      <c r="C728" s="166" t="s">
        <v>3959</v>
      </c>
      <c r="D728" s="153" t="s">
        <v>2339</v>
      </c>
      <c r="E728" s="154" t="s">
        <v>2370</v>
      </c>
      <c r="F728" s="187" t="s">
        <v>3960</v>
      </c>
      <c r="G728" s="186"/>
      <c r="H728" s="157" t="str">
        <f>IF(G728="","",VLOOKUP(G728,'附表8-合同明细采集底稿'!B:I,2,0))</f>
        <v/>
      </c>
      <c r="I728" s="165" t="str">
        <f>IF(G728="","",VLOOKUP(G728,'附表8-合同明细采集底稿'!B:I,3,0))</f>
        <v/>
      </c>
      <c r="J728" s="157" t="str">
        <f>IF(G728="","",VLOOKUP(G728,'附表8-合同明细采集底稿'!B:I,4,0))</f>
        <v/>
      </c>
      <c r="K728" s="157" t="s">
        <v>2355</v>
      </c>
      <c r="L728" s="168">
        <v>6500174130</v>
      </c>
      <c r="M728" s="156" t="s">
        <v>3962</v>
      </c>
      <c r="N728" s="230">
        <v>5073.32</v>
      </c>
      <c r="O728" s="167">
        <v>5124.05</v>
      </c>
      <c r="P728" s="230">
        <v>5073.32</v>
      </c>
      <c r="Q728" s="167"/>
      <c r="R728" s="167">
        <f t="shared" si="85"/>
        <v>5073.32</v>
      </c>
      <c r="S728" s="178">
        <f>IFERROR(VLOOKUP(G728,'附表8-合同明细采集底稿'!B:N,12,0),100%)</f>
        <v>1</v>
      </c>
      <c r="T728" s="167">
        <f t="shared" si="86"/>
        <v>5073.32</v>
      </c>
      <c r="U728" s="157"/>
      <c r="V728" s="179" t="s">
        <v>374</v>
      </c>
      <c r="W728" s="181">
        <v>0</v>
      </c>
      <c r="X728" s="181">
        <v>0</v>
      </c>
      <c r="Y728" s="181">
        <v>5073.32</v>
      </c>
      <c r="Z728" s="183" t="s">
        <v>2406</v>
      </c>
      <c r="AA728" s="157"/>
      <c r="AB728" s="184" t="s">
        <v>2319</v>
      </c>
      <c r="AC728" s="132">
        <f t="shared" si="88"/>
        <v>0</v>
      </c>
    </row>
    <row r="729" s="132" customFormat="1" ht="45.1" spans="1:29">
      <c r="A729" s="150">
        <v>723</v>
      </c>
      <c r="B729" s="214" t="s">
        <v>4542</v>
      </c>
      <c r="C729" s="166" t="s">
        <v>4543</v>
      </c>
      <c r="D729" s="153" t="s">
        <v>2533</v>
      </c>
      <c r="E729" s="154" t="s">
        <v>2690</v>
      </c>
      <c r="F729" s="187" t="s">
        <v>4544</v>
      </c>
      <c r="G729" s="186" t="s">
        <v>4545</v>
      </c>
      <c r="H729" s="157" t="str">
        <f>IF(G729="","",VLOOKUP(G729,'附表8-合同明细采集底稿'!B:I,2,0))</f>
        <v>1#楼改造施工协议</v>
      </c>
      <c r="I729" s="165" t="str">
        <f>IF(G729="","",VLOOKUP(G729,'附表8-合同明细采集底稿'!B:I,3,0))</f>
        <v>建设工程合同</v>
      </c>
      <c r="J729" s="157" t="str">
        <f>IF(G729="","",VLOOKUP(G729,'附表8-合同明细采集底稿'!B:I,4,0))</f>
        <v>新疆精诚所至装饰工程有限责任公司（金克）</v>
      </c>
      <c r="K729" s="157" t="s">
        <v>2355</v>
      </c>
      <c r="L729" s="168">
        <v>6500174130</v>
      </c>
      <c r="M729" s="156" t="s">
        <v>4546</v>
      </c>
      <c r="N729" s="230">
        <v>22844.23</v>
      </c>
      <c r="O729" s="167">
        <v>23072.67</v>
      </c>
      <c r="P729" s="230">
        <v>22844.23</v>
      </c>
      <c r="Q729" s="167">
        <v>-685.33</v>
      </c>
      <c r="R729" s="167">
        <f t="shared" si="85"/>
        <v>22158.9</v>
      </c>
      <c r="S729" s="178">
        <f>IFERROR(VLOOKUP(G729,'附表8-合同明细采集底稿'!B:N,12,0),100%)</f>
        <v>1</v>
      </c>
      <c r="T729" s="167">
        <f t="shared" si="86"/>
        <v>22158.9</v>
      </c>
      <c r="U729" s="157"/>
      <c r="V729" s="179" t="s">
        <v>374</v>
      </c>
      <c r="W729" s="181">
        <v>0</v>
      </c>
      <c r="X729" s="181">
        <v>0</v>
      </c>
      <c r="Y729" s="181">
        <f>T729</f>
        <v>22158.9</v>
      </c>
      <c r="Z729" s="183" t="s">
        <v>2406</v>
      </c>
      <c r="AA729" s="157"/>
      <c r="AB729" s="184" t="s">
        <v>2319</v>
      </c>
      <c r="AC729" s="132">
        <f t="shared" si="88"/>
        <v>0</v>
      </c>
    </row>
    <row r="730" s="132" customFormat="1" ht="21" customHeight="1" spans="1:29">
      <c r="A730" s="150">
        <v>724</v>
      </c>
      <c r="B730" s="214" t="s">
        <v>4547</v>
      </c>
      <c r="C730" s="166" t="s">
        <v>4548</v>
      </c>
      <c r="D730" s="153" t="s">
        <v>2533</v>
      </c>
      <c r="E730" s="154" t="s">
        <v>2690</v>
      </c>
      <c r="F730" s="187" t="s">
        <v>4549</v>
      </c>
      <c r="G730" s="186" t="s">
        <v>4550</v>
      </c>
      <c r="H730" s="157" t="str">
        <f>IF(G730="","",VLOOKUP(G730,'附表8-合同明细采集底稿'!B:I,2,0))</f>
        <v>沁春锦苑1#商业楼改造工程，为固定总价合同。不含税价为108910.89元，税款暂定为1089.11元。</v>
      </c>
      <c r="I730" s="165" t="str">
        <f>IF(G730="","",VLOOKUP(G730,'附表8-合同明细采集底稿'!B:I,3,0))</f>
        <v>建设工程合同</v>
      </c>
      <c r="J730" s="157" t="str">
        <f>IF(G730="","",VLOOKUP(G730,'附表8-合同明细采集底稿'!B:I,4,0))</f>
        <v>巴州冠弘建筑装饰有限公司</v>
      </c>
      <c r="K730" s="157" t="s">
        <v>2355</v>
      </c>
      <c r="L730" s="168"/>
      <c r="M730" s="156" t="s">
        <v>4551</v>
      </c>
      <c r="N730" s="230">
        <v>32673.27</v>
      </c>
      <c r="O730" s="167">
        <v>33000</v>
      </c>
      <c r="P730" s="230">
        <v>32673.27</v>
      </c>
      <c r="Q730" s="167"/>
      <c r="R730" s="167">
        <f>P730+Q730</f>
        <v>32673.27</v>
      </c>
      <c r="S730" s="178">
        <f>IFERROR(VLOOKUP(G730,'附表8-合同明细采集底稿'!B:N,12,0),100%)</f>
        <v>1</v>
      </c>
      <c r="T730" s="167">
        <f t="shared" si="86"/>
        <v>32673.27</v>
      </c>
      <c r="U730" s="157"/>
      <c r="V730" s="179" t="s">
        <v>374</v>
      </c>
      <c r="W730" s="181">
        <v>0</v>
      </c>
      <c r="X730" s="181">
        <v>0</v>
      </c>
      <c r="Y730" s="181">
        <v>32673.27</v>
      </c>
      <c r="Z730" s="183" t="s">
        <v>2406</v>
      </c>
      <c r="AA730" s="157"/>
      <c r="AB730" s="184" t="s">
        <v>2319</v>
      </c>
      <c r="AC730" s="132">
        <f t="shared" si="88"/>
        <v>0</v>
      </c>
    </row>
    <row r="731" s="132" customFormat="1" ht="21" customHeight="1" spans="1:29">
      <c r="A731" s="150">
        <v>725</v>
      </c>
      <c r="B731" s="214" t="s">
        <v>4406</v>
      </c>
      <c r="C731" s="166" t="s">
        <v>4552</v>
      </c>
      <c r="D731" s="153" t="s">
        <v>2533</v>
      </c>
      <c r="E731" s="154" t="s">
        <v>2690</v>
      </c>
      <c r="F731" s="187" t="s">
        <v>4553</v>
      </c>
      <c r="G731" s="186" t="s">
        <v>4550</v>
      </c>
      <c r="H731" s="157" t="str">
        <f>IF(G731="","",VLOOKUP(G731,'附表8-合同明细采集底稿'!B:I,2,0))</f>
        <v>沁春锦苑1#商业楼改造工程，为固定总价合同。不含税价为108910.89元，税款暂定为1089.11元。</v>
      </c>
      <c r="I731" s="165" t="str">
        <f>IF(G731="","",VLOOKUP(G731,'附表8-合同明细采集底稿'!B:I,3,0))</f>
        <v>建设工程合同</v>
      </c>
      <c r="J731" s="157" t="str">
        <f>IF(G731="","",VLOOKUP(G731,'附表8-合同明细采集底稿'!B:I,4,0))</f>
        <v>巴州冠弘建筑装饰有限公司</v>
      </c>
      <c r="K731" s="157" t="s">
        <v>2355</v>
      </c>
      <c r="L731" s="168"/>
      <c r="M731" s="156" t="s">
        <v>4554</v>
      </c>
      <c r="N731" s="230">
        <v>54455.45</v>
      </c>
      <c r="O731" s="167">
        <v>55000</v>
      </c>
      <c r="P731" s="230">
        <v>54455.45</v>
      </c>
      <c r="Q731" s="167"/>
      <c r="R731" s="167">
        <f>P731+Q731</f>
        <v>54455.45</v>
      </c>
      <c r="S731" s="178">
        <f>IFERROR(VLOOKUP(G731,'附表8-合同明细采集底稿'!B:N,12,0),100%)</f>
        <v>1</v>
      </c>
      <c r="T731" s="167">
        <f t="shared" si="86"/>
        <v>54455.45</v>
      </c>
      <c r="U731" s="157"/>
      <c r="V731" s="179" t="s">
        <v>374</v>
      </c>
      <c r="W731" s="181">
        <v>0</v>
      </c>
      <c r="X731" s="181">
        <v>0</v>
      </c>
      <c r="Y731" s="181">
        <v>54455.45</v>
      </c>
      <c r="Z731" s="183" t="s">
        <v>2406</v>
      </c>
      <c r="AA731" s="157"/>
      <c r="AB731" s="184" t="s">
        <v>2319</v>
      </c>
      <c r="AC731" s="132">
        <f t="shared" si="88"/>
        <v>0</v>
      </c>
    </row>
    <row r="732" s="132" customFormat="1" ht="21" customHeight="1" spans="1:29">
      <c r="A732" s="150">
        <v>726</v>
      </c>
      <c r="B732" s="214" t="s">
        <v>4555</v>
      </c>
      <c r="C732" s="166" t="s">
        <v>4263</v>
      </c>
      <c r="D732" s="153" t="s">
        <v>2331</v>
      </c>
      <c r="E732" s="154" t="s">
        <v>3994</v>
      </c>
      <c r="F732" s="187" t="s">
        <v>4556</v>
      </c>
      <c r="G732" s="186" t="s">
        <v>4557</v>
      </c>
      <c r="H732" s="157" t="str">
        <f>IF(G732="","",VLOOKUP(G732,'附表8-合同明细采集底稿'!B:I,2,0))</f>
        <v>37#社区用房壁挂炉</v>
      </c>
      <c r="I732" s="165" t="str">
        <f>IF(G732="","",VLOOKUP(G732,'附表8-合同明细采集底稿'!B:I,3,0))</f>
        <v>买卖合同</v>
      </c>
      <c r="J732" s="157" t="str">
        <f>IF(G732="","",VLOOKUP(G732,'附表8-合同明细采集底稿'!B:I,4,0))</f>
        <v>库尔勒刘世春电器维修部</v>
      </c>
      <c r="K732" s="157" t="s">
        <v>2355</v>
      </c>
      <c r="L732" s="168"/>
      <c r="M732" s="156" t="s">
        <v>4558</v>
      </c>
      <c r="N732" s="230">
        <v>44660.19</v>
      </c>
      <c r="O732" s="167">
        <v>46000</v>
      </c>
      <c r="P732" s="230">
        <v>44660.19</v>
      </c>
      <c r="Q732" s="167">
        <v>-44660.19</v>
      </c>
      <c r="R732" s="167">
        <f>P732+Q732</f>
        <v>0</v>
      </c>
      <c r="S732" s="178">
        <f>IFERROR(VLOOKUP(G732,'附表8-合同明细采集底稿'!B:N,12,0),100%)</f>
        <v>0.338555832480367</v>
      </c>
      <c r="T732" s="167">
        <f t="shared" ref="T732:T737" si="89">ROUND(SUM(R732)*SUM(S732),2)</f>
        <v>0</v>
      </c>
      <c r="U732" s="157"/>
      <c r="V732" s="179" t="s">
        <v>375</v>
      </c>
      <c r="W732" s="181">
        <f>IF('附表1-面积统计表'!$D$29=0,"",IF(AND(V732="共同成本费用",Z732="总建筑面积法"),ROUND(T732/'附表1-面积统计表'!$D$29*'附表1-面积统计表'!$D$5,2),IF(AND(V732="共同成本费用",Z732="可售建筑面积法"),ROUND(T732/'附表1-面积统计表'!$F$29*'附表1-面积统计表'!$F$5,2),"请手工填写")))</f>
        <v>0</v>
      </c>
      <c r="X732" s="181">
        <f>IF(SUM('附表1-面积统计表'!$D$6)=0,"",SUM(T732)-SUM(W732)-SUM(Y732))</f>
        <v>0</v>
      </c>
      <c r="Y732" s="181">
        <f>IF(SUM('附表1-面积统计表'!$D$6)=0,SUM(T732)-SUM(W732),IF('附表1-面积统计表'!$D$29=0,"",IF(AND(V732="共同成本费用",Z732="总建筑面积法"),ROUND(T732/'附表1-面积统计表'!$D$29*'附表1-面积统计表'!$D$7,2),IF(AND(V732="共同成本费用",Z732="可售建筑面积法"),ROUND(T732/'附表1-面积统计表'!$F$29*'附表1-面积统计表'!$F$7,2),"请手工填写"))))</f>
        <v>0</v>
      </c>
      <c r="Z732" s="183" t="s">
        <v>351</v>
      </c>
      <c r="AA732" s="157"/>
      <c r="AB732" s="184" t="s">
        <v>2319</v>
      </c>
      <c r="AC732" s="132">
        <f t="shared" si="88"/>
        <v>0</v>
      </c>
    </row>
    <row r="733" s="128" customFormat="1" ht="30.05" spans="1:29">
      <c r="A733" s="222"/>
      <c r="B733" s="223" t="s">
        <v>4559</v>
      </c>
      <c r="C733" s="224" t="s">
        <v>4560</v>
      </c>
      <c r="D733" s="225" t="s">
        <v>2470</v>
      </c>
      <c r="E733" s="226" t="s">
        <v>3314</v>
      </c>
      <c r="F733" s="227" t="s">
        <v>4561</v>
      </c>
      <c r="G733" s="102"/>
      <c r="H733" s="228"/>
      <c r="I733" s="231"/>
      <c r="J733" s="228"/>
      <c r="K733" s="228"/>
      <c r="L733" s="127"/>
      <c r="M733" s="127"/>
      <c r="N733" s="232"/>
      <c r="O733" s="233"/>
      <c r="P733" s="234">
        <v>6044.38</v>
      </c>
      <c r="Q733" s="233"/>
      <c r="R733" s="167">
        <f>P733+Q733</f>
        <v>6044.38</v>
      </c>
      <c r="S733" s="178">
        <v>0.338555832480367</v>
      </c>
      <c r="T733" s="167">
        <f t="shared" si="89"/>
        <v>2046.36</v>
      </c>
      <c r="U733" s="228"/>
      <c r="V733" s="179" t="s">
        <v>375</v>
      </c>
      <c r="W733" s="181">
        <f>IF('附表1-面积统计表'!$D$29=0,"",IF(AND(V733="共同成本费用",Z733="总建筑面积法"),ROUND(T733/'附表1-面积统计表'!$D$29*'附表1-面积统计表'!$D$5,2),IF(AND(V733="共同成本费用",Z733="可售建筑面积法"),ROUND(T733/'附表1-面积统计表'!$F$29*'附表1-面积统计表'!$F$5,2),"请手工填写")))</f>
        <v>991.39</v>
      </c>
      <c r="X733" s="181">
        <f>IF(SUM('附表1-面积统计表'!$D$6)=0,"",SUM(T733)-SUM(W733)-SUM(Y733))</f>
        <v>655.92</v>
      </c>
      <c r="Y733" s="181">
        <f>IF(SUM('附表1-面积统计表'!$D$6)=0,SUM(T733)-SUM(W733),IF('附表1-面积统计表'!$D$29=0,"",IF(AND(V733="共同成本费用",Z733="总建筑面积法"),ROUND(T733/'附表1-面积统计表'!$D$29*'附表1-面积统计表'!$D$7,2),IF(AND(V733="共同成本费用",Z733="可售建筑面积法"),ROUND(T733/'附表1-面积统计表'!$F$29*'附表1-面积统计表'!$F$7,2),"请手工填写"))))</f>
        <v>399.05</v>
      </c>
      <c r="Z733" s="183" t="s">
        <v>351</v>
      </c>
      <c r="AA733" s="157"/>
      <c r="AB733" s="184" t="s">
        <v>2319</v>
      </c>
      <c r="AC733" s="132">
        <f t="shared" si="88"/>
        <v>0</v>
      </c>
    </row>
    <row r="734" s="128" customFormat="1" ht="30.05" spans="1:29">
      <c r="A734" s="222"/>
      <c r="B734" s="223" t="s">
        <v>4562</v>
      </c>
      <c r="C734" s="224" t="s">
        <v>2997</v>
      </c>
      <c r="D734" s="225" t="s">
        <v>2470</v>
      </c>
      <c r="E734" s="226" t="s">
        <v>3314</v>
      </c>
      <c r="F734" s="227" t="s">
        <v>4563</v>
      </c>
      <c r="G734" s="102"/>
      <c r="H734" s="228"/>
      <c r="I734" s="231"/>
      <c r="J734" s="228"/>
      <c r="K734" s="228"/>
      <c r="L734" s="127"/>
      <c r="M734" s="127"/>
      <c r="N734" s="232"/>
      <c r="O734" s="233"/>
      <c r="P734" s="234">
        <v>90667.73</v>
      </c>
      <c r="Q734" s="233"/>
      <c r="R734" s="167">
        <f>P734+Q734</f>
        <v>90667.73</v>
      </c>
      <c r="S734" s="178">
        <v>0.338555832480367</v>
      </c>
      <c r="T734" s="167">
        <f t="shared" si="89"/>
        <v>30696.09</v>
      </c>
      <c r="U734" s="228"/>
      <c r="V734" s="179" t="s">
        <v>375</v>
      </c>
      <c r="W734" s="181">
        <f>IF('附表1-面积统计表'!$D$29=0,"",IF(AND(V734="共同成本费用",Z734="总建筑面积法"),ROUND(T734/'附表1-面积统计表'!$D$29*'附表1-面积统计表'!$D$5,2),IF(AND(V734="共同成本费用",Z734="可售建筑面积法"),ROUND(T734/'附表1-面积统计表'!$F$29*'附表1-面积统计表'!$F$5,2),"请手工填写")))</f>
        <v>14871.12</v>
      </c>
      <c r="X734" s="181">
        <f>IF(SUM('附表1-面积统计表'!$D$6)=0,"",SUM(T734)-SUM(W734)-SUM(Y734))</f>
        <v>9839.15</v>
      </c>
      <c r="Y734" s="181">
        <f>IF(SUM('附表1-面积统计表'!$D$6)=0,SUM(T734)-SUM(W734),IF('附表1-面积统计表'!$D$29=0,"",IF(AND(V734="共同成本费用",Z734="总建筑面积法"),ROUND(T734/'附表1-面积统计表'!$D$29*'附表1-面积统计表'!$D$7,2),IF(AND(V734="共同成本费用",Z734="可售建筑面积法"),ROUND(T734/'附表1-面积统计表'!$F$29*'附表1-面积统计表'!$F$7,2),"请手工填写"))))</f>
        <v>5985.82</v>
      </c>
      <c r="Z734" s="183" t="s">
        <v>351</v>
      </c>
      <c r="AA734" s="157"/>
      <c r="AB734" s="184" t="s">
        <v>2319</v>
      </c>
      <c r="AC734" s="132">
        <f t="shared" si="88"/>
        <v>0</v>
      </c>
    </row>
    <row r="735" s="128" customFormat="1" ht="30.05" spans="1:29">
      <c r="A735" s="222"/>
      <c r="B735" s="223" t="s">
        <v>3915</v>
      </c>
      <c r="C735" s="224" t="s">
        <v>2991</v>
      </c>
      <c r="D735" s="225" t="s">
        <v>2470</v>
      </c>
      <c r="E735" s="226" t="s">
        <v>3314</v>
      </c>
      <c r="F735" s="227" t="s">
        <v>4564</v>
      </c>
      <c r="G735" s="102"/>
      <c r="H735" s="228"/>
      <c r="I735" s="231"/>
      <c r="J735" s="228"/>
      <c r="K735" s="228"/>
      <c r="L735" s="127"/>
      <c r="M735" s="127"/>
      <c r="N735" s="232"/>
      <c r="O735" s="233"/>
      <c r="P735" s="234">
        <v>87286.94</v>
      </c>
      <c r="Q735" s="233"/>
      <c r="R735" s="167">
        <f t="shared" ref="R735:R766" si="90">P735+Q735</f>
        <v>87286.94</v>
      </c>
      <c r="S735" s="178">
        <v>0.338555832480367</v>
      </c>
      <c r="T735" s="167">
        <f t="shared" si="89"/>
        <v>29551.5</v>
      </c>
      <c r="U735" s="228"/>
      <c r="V735" s="179" t="s">
        <v>375</v>
      </c>
      <c r="W735" s="181">
        <f>IF('附表1-面积统计表'!$D$29=0,"",IF(AND(V735="共同成本费用",Z735="总建筑面积法"),ROUND(T735/'附表1-面积统计表'!$D$29*'附表1-面积统计表'!$D$5,2),IF(AND(V735="共同成本费用",Z735="可售建筑面积法"),ROUND(T735/'附表1-面积统计表'!$F$29*'附表1-面积统计表'!$F$5,2),"请手工填写")))</f>
        <v>14316.61</v>
      </c>
      <c r="X735" s="181">
        <f>IF(SUM('附表1-面积统计表'!$D$6)=0,"",SUM(T735)-SUM(W735)-SUM(Y735))</f>
        <v>9472.26</v>
      </c>
      <c r="Y735" s="181">
        <f>IF(SUM('附表1-面积统计表'!$D$6)=0,SUM(T735)-SUM(W735),IF('附表1-面积统计表'!$D$29=0,"",IF(AND(V735="共同成本费用",Z735="总建筑面积法"),ROUND(T735/'附表1-面积统计表'!$D$29*'附表1-面积统计表'!$D$7,2),IF(AND(V735="共同成本费用",Z735="可售建筑面积法"),ROUND(T735/'附表1-面积统计表'!$F$29*'附表1-面积统计表'!$F$7,2),"请手工填写"))))</f>
        <v>5762.63</v>
      </c>
      <c r="Z735" s="183" t="s">
        <v>351</v>
      </c>
      <c r="AA735" s="157"/>
      <c r="AB735" s="184" t="s">
        <v>2319</v>
      </c>
      <c r="AC735" s="132">
        <f t="shared" si="88"/>
        <v>0</v>
      </c>
    </row>
    <row r="736" s="128" customFormat="1" ht="30.05" spans="1:29">
      <c r="A736" s="222"/>
      <c r="B736" s="223" t="s">
        <v>4565</v>
      </c>
      <c r="C736" s="224" t="s">
        <v>3411</v>
      </c>
      <c r="D736" s="225" t="s">
        <v>2470</v>
      </c>
      <c r="E736" s="226" t="s">
        <v>3314</v>
      </c>
      <c r="F736" s="227" t="s">
        <v>4566</v>
      </c>
      <c r="G736" s="102"/>
      <c r="H736" s="228"/>
      <c r="I736" s="231"/>
      <c r="J736" s="228"/>
      <c r="K736" s="228"/>
      <c r="L736" s="127"/>
      <c r="M736" s="127"/>
      <c r="N736" s="232"/>
      <c r="O736" s="233"/>
      <c r="P736" s="234">
        <v>415700</v>
      </c>
      <c r="Q736" s="233"/>
      <c r="R736" s="167">
        <f t="shared" si="90"/>
        <v>415700</v>
      </c>
      <c r="S736" s="178">
        <v>0.338555832480367</v>
      </c>
      <c r="T736" s="167">
        <f t="shared" si="89"/>
        <v>140737.66</v>
      </c>
      <c r="U736" s="228"/>
      <c r="V736" s="179" t="s">
        <v>375</v>
      </c>
      <c r="W736" s="181">
        <f>IF('附表1-面积统计表'!$D$29=0,"",IF(AND(V736="共同成本费用",Z736="总建筑面积法"),ROUND(T736/'附表1-面积统计表'!$D$29*'附表1-面积统计表'!$D$5,2),IF(AND(V736="共同成本费用",Z736="可售建筑面积法"),ROUND(T736/'附表1-面积统计表'!$F$29*'附表1-面积统计表'!$F$5,2),"请手工填写")))</f>
        <v>68182.2</v>
      </c>
      <c r="X736" s="181">
        <f>IF(SUM('附表1-面积统计表'!$D$6)=0,"",SUM(T736)-SUM(W736)-SUM(Y736))</f>
        <v>45111.22</v>
      </c>
      <c r="Y736" s="181">
        <f>IF(SUM('附表1-面积统计表'!$D$6)=0,SUM(T736)-SUM(W736),IF('附表1-面积统计表'!$D$29=0,"",IF(AND(V736="共同成本费用",Z736="总建筑面积法"),ROUND(T736/'附表1-面积统计表'!$D$29*'附表1-面积统计表'!$D$7,2),IF(AND(V736="共同成本费用",Z736="可售建筑面积法"),ROUND(T736/'附表1-面积统计表'!$F$29*'附表1-面积统计表'!$F$7,2),"请手工填写"))))</f>
        <v>27444.24</v>
      </c>
      <c r="Z736" s="183" t="s">
        <v>351</v>
      </c>
      <c r="AA736" s="157"/>
      <c r="AB736" s="184" t="s">
        <v>2319</v>
      </c>
      <c r="AC736" s="132">
        <f t="shared" si="88"/>
        <v>0</v>
      </c>
    </row>
    <row r="737" s="128" customFormat="1" ht="30.05" spans="1:29">
      <c r="A737" s="222"/>
      <c r="B737" s="223" t="s">
        <v>4567</v>
      </c>
      <c r="C737" s="224" t="s">
        <v>4084</v>
      </c>
      <c r="D737" s="225" t="s">
        <v>2470</v>
      </c>
      <c r="E737" s="226" t="s">
        <v>3314</v>
      </c>
      <c r="F737" s="227" t="s">
        <v>4568</v>
      </c>
      <c r="G737" s="102"/>
      <c r="H737" s="228"/>
      <c r="I737" s="231"/>
      <c r="J737" s="228"/>
      <c r="K737" s="228"/>
      <c r="L737" s="127"/>
      <c r="M737" s="127"/>
      <c r="N737" s="232"/>
      <c r="O737" s="233"/>
      <c r="P737" s="234">
        <v>17512.02</v>
      </c>
      <c r="Q737" s="233"/>
      <c r="R737" s="167">
        <f t="shared" si="90"/>
        <v>17512.02</v>
      </c>
      <c r="S737" s="178">
        <v>0.338555832480367</v>
      </c>
      <c r="T737" s="167">
        <f t="shared" si="89"/>
        <v>5928.8</v>
      </c>
      <c r="U737" s="228"/>
      <c r="V737" s="179" t="s">
        <v>375</v>
      </c>
      <c r="W737" s="181">
        <f>IF('附表1-面积统计表'!$D$29=0,"",IF(AND(V737="共同成本费用",Z737="总建筑面积法"),ROUND(T737/'附表1-面积统计表'!$D$29*'附表1-面积统计表'!$D$5,2),IF(AND(V737="共同成本费用",Z737="可售建筑面积法"),ROUND(T737/'附表1-面积统计表'!$F$29*'附表1-面积统计表'!$F$5,2),"请手工填写")))</f>
        <v>2872.28</v>
      </c>
      <c r="X737" s="181">
        <f>IF(SUM('附表1-面积统计表'!$D$6)=0,"",SUM(T737)-SUM(W737)-SUM(Y737))</f>
        <v>1900.39</v>
      </c>
      <c r="Y737" s="181">
        <f>IF(SUM('附表1-面积统计表'!$D$6)=0,SUM(T737)-SUM(W737),IF('附表1-面积统计表'!$D$29=0,"",IF(AND(V737="共同成本费用",Z737="总建筑面积法"),ROUND(T737/'附表1-面积统计表'!$D$29*'附表1-面积统计表'!$D$7,2),IF(AND(V737="共同成本费用",Z737="可售建筑面积法"),ROUND(T737/'附表1-面积统计表'!$F$29*'附表1-面积统计表'!$F$7,2),"请手工填写"))))</f>
        <v>1156.13</v>
      </c>
      <c r="Z737" s="183" t="s">
        <v>351</v>
      </c>
      <c r="AA737" s="157"/>
      <c r="AB737" s="184" t="s">
        <v>2319</v>
      </c>
      <c r="AC737" s="132">
        <f t="shared" si="88"/>
        <v>0</v>
      </c>
    </row>
    <row r="738" s="128" customFormat="1" ht="30.05" spans="1:29">
      <c r="A738" s="222"/>
      <c r="B738" s="223" t="s">
        <v>4569</v>
      </c>
      <c r="C738" s="224" t="s">
        <v>2925</v>
      </c>
      <c r="D738" s="225" t="s">
        <v>2470</v>
      </c>
      <c r="E738" s="226" t="s">
        <v>3314</v>
      </c>
      <c r="F738" s="227" t="s">
        <v>3469</v>
      </c>
      <c r="G738" s="102"/>
      <c r="H738" s="228"/>
      <c r="I738" s="231"/>
      <c r="J738" s="228"/>
      <c r="K738" s="228"/>
      <c r="L738" s="127"/>
      <c r="M738" s="127"/>
      <c r="N738" s="232"/>
      <c r="O738" s="233"/>
      <c r="P738" s="234">
        <v>80119</v>
      </c>
      <c r="Q738" s="233"/>
      <c r="R738" s="167">
        <f t="shared" si="90"/>
        <v>80119</v>
      </c>
      <c r="S738" s="178">
        <v>0.338555832480367</v>
      </c>
      <c r="T738" s="167">
        <f t="shared" ref="T738:T768" si="91">ROUND(SUM(R738)*SUM(S738),2)</f>
        <v>27124.75</v>
      </c>
      <c r="U738" s="228"/>
      <c r="V738" s="179" t="s">
        <v>375</v>
      </c>
      <c r="W738" s="181">
        <f>IF('附表1-面积统计表'!$D$29=0,"",IF(AND(V738="共同成本费用",Z738="总建筑面积法"),ROUND(T738/'附表1-面积统计表'!$D$29*'附表1-面积统计表'!$D$5,2),IF(AND(V738="共同成本费用",Z738="可售建筑面积法"),ROUND(T738/'附表1-面积统计表'!$F$29*'附表1-面积统计表'!$F$5,2),"请手工填写")))</f>
        <v>13140.94</v>
      </c>
      <c r="X738" s="181">
        <f>IF(SUM('附表1-面积统计表'!$D$6)=0,"",SUM(T738)-SUM(W738)-SUM(Y738))</f>
        <v>8694.41</v>
      </c>
      <c r="Y738" s="181">
        <f>IF(SUM('附表1-面积统计表'!$D$6)=0,SUM(T738)-SUM(W738),IF('附表1-面积统计表'!$D$29=0,"",IF(AND(V738="共同成本费用",Z738="总建筑面积法"),ROUND(T738/'附表1-面积统计表'!$D$29*'附表1-面积统计表'!$D$7,2),IF(AND(V738="共同成本费用",Z738="可售建筑面积法"),ROUND(T738/'附表1-面积统计表'!$F$29*'附表1-面积统计表'!$F$7,2),"请手工填写"))))</f>
        <v>5289.4</v>
      </c>
      <c r="Z738" s="183" t="s">
        <v>351</v>
      </c>
      <c r="AA738" s="157"/>
      <c r="AB738" s="184" t="s">
        <v>2319</v>
      </c>
      <c r="AC738" s="132">
        <f t="shared" si="88"/>
        <v>0</v>
      </c>
    </row>
    <row r="739" s="128" customFormat="1" ht="30.05" spans="1:29">
      <c r="A739" s="222"/>
      <c r="B739" s="223" t="s">
        <v>4023</v>
      </c>
      <c r="C739" s="224" t="s">
        <v>3140</v>
      </c>
      <c r="D739" s="225" t="s">
        <v>2470</v>
      </c>
      <c r="E739" s="226" t="s">
        <v>3314</v>
      </c>
      <c r="F739" s="227" t="s">
        <v>4570</v>
      </c>
      <c r="G739" s="102"/>
      <c r="H739" s="228"/>
      <c r="I739" s="231"/>
      <c r="J739" s="228"/>
      <c r="K739" s="228"/>
      <c r="L739" s="127"/>
      <c r="M739" s="127"/>
      <c r="N739" s="232"/>
      <c r="O739" s="233"/>
      <c r="P739" s="234">
        <v>80126</v>
      </c>
      <c r="Q739" s="233"/>
      <c r="R739" s="167">
        <f t="shared" si="90"/>
        <v>80126</v>
      </c>
      <c r="S739" s="178">
        <v>0.338555832480367</v>
      </c>
      <c r="T739" s="167">
        <f t="shared" si="91"/>
        <v>27127.12</v>
      </c>
      <c r="U739" s="228"/>
      <c r="V739" s="179" t="s">
        <v>375</v>
      </c>
      <c r="W739" s="181">
        <f>IF('附表1-面积统计表'!$D$29=0,"",IF(AND(V739="共同成本费用",Z739="总建筑面积法"),ROUND(T739/'附表1-面积统计表'!$D$29*'附表1-面积统计表'!$D$5,2),IF(AND(V739="共同成本费用",Z739="可售建筑面积法"),ROUND(T739/'附表1-面积统计表'!$F$29*'附表1-面积统计表'!$F$5,2),"请手工填写")))</f>
        <v>13142.09</v>
      </c>
      <c r="X739" s="181">
        <f>IF(SUM('附表1-面积统计表'!$D$6)=0,"",SUM(T739)-SUM(W739)-SUM(Y739))</f>
        <v>8695.17</v>
      </c>
      <c r="Y739" s="181">
        <f>IF(SUM('附表1-面积统计表'!$D$6)=0,SUM(T739)-SUM(W739),IF('附表1-面积统计表'!$D$29=0,"",IF(AND(V739="共同成本费用",Z739="总建筑面积法"),ROUND(T739/'附表1-面积统计表'!$D$29*'附表1-面积统计表'!$D$7,2),IF(AND(V739="共同成本费用",Z739="可售建筑面积法"),ROUND(T739/'附表1-面积统计表'!$F$29*'附表1-面积统计表'!$F$7,2),"请手工填写"))))</f>
        <v>5289.86</v>
      </c>
      <c r="Z739" s="183" t="s">
        <v>351</v>
      </c>
      <c r="AA739" s="157"/>
      <c r="AB739" s="184" t="s">
        <v>2319</v>
      </c>
      <c r="AC739" s="132">
        <f t="shared" si="88"/>
        <v>0</v>
      </c>
    </row>
    <row r="740" s="128" customFormat="1" ht="30.05" spans="1:29">
      <c r="A740" s="222"/>
      <c r="B740" s="223" t="s">
        <v>4071</v>
      </c>
      <c r="C740" s="224" t="s">
        <v>3770</v>
      </c>
      <c r="D740" s="225" t="s">
        <v>2470</v>
      </c>
      <c r="E740" s="226" t="s">
        <v>3314</v>
      </c>
      <c r="F740" s="227" t="s">
        <v>4571</v>
      </c>
      <c r="G740" s="102"/>
      <c r="H740" s="228"/>
      <c r="I740" s="231"/>
      <c r="J740" s="228"/>
      <c r="K740" s="228"/>
      <c r="L740" s="127"/>
      <c r="M740" s="127"/>
      <c r="N740" s="232"/>
      <c r="O740" s="233"/>
      <c r="P740" s="234">
        <v>168926</v>
      </c>
      <c r="Q740" s="233"/>
      <c r="R740" s="167">
        <f t="shared" si="90"/>
        <v>168926</v>
      </c>
      <c r="S740" s="178">
        <v>0.338555832480367</v>
      </c>
      <c r="T740" s="167">
        <f t="shared" si="91"/>
        <v>57190.88</v>
      </c>
      <c r="U740" s="228"/>
      <c r="V740" s="179" t="s">
        <v>375</v>
      </c>
      <c r="W740" s="181">
        <f>IF('附表1-面积统计表'!$D$29=0,"",IF(AND(V740="共同成本费用",Z740="总建筑面积法"),ROUND(T740/'附表1-面积统计表'!$D$29*'附表1-面积统计表'!$D$5,2),IF(AND(V740="共同成本费用",Z740="可售建筑面积法"),ROUND(T740/'附表1-面积统计表'!$F$29*'附表1-面积统计表'!$F$5,2),"请手工填写")))</f>
        <v>27706.87</v>
      </c>
      <c r="X740" s="181">
        <f>IF(SUM('附表1-面积统计表'!$D$6)=0,"",SUM(T740)-SUM(W740)-SUM(Y740))</f>
        <v>18331.63</v>
      </c>
      <c r="Y740" s="181">
        <f>IF(SUM('附表1-面积统计表'!$D$6)=0,SUM(T740)-SUM(W740),IF('附表1-面积统计表'!$D$29=0,"",IF(AND(V740="共同成本费用",Z740="总建筑面积法"),ROUND(T740/'附表1-面积统计表'!$D$29*'附表1-面积统计表'!$D$7,2),IF(AND(V740="共同成本费用",Z740="可售建筑面积法"),ROUND(T740/'附表1-面积统计表'!$F$29*'附表1-面积统计表'!$F$7,2),"请手工填写"))))</f>
        <v>11152.38</v>
      </c>
      <c r="Z740" s="183" t="s">
        <v>351</v>
      </c>
      <c r="AA740" s="157"/>
      <c r="AB740" s="184" t="s">
        <v>2319</v>
      </c>
      <c r="AC740" s="132">
        <f t="shared" si="88"/>
        <v>0</v>
      </c>
    </row>
    <row r="741" s="128" customFormat="1" ht="30.05" spans="1:29">
      <c r="A741" s="222"/>
      <c r="B741" s="223" t="s">
        <v>4079</v>
      </c>
      <c r="C741" s="224" t="s">
        <v>2902</v>
      </c>
      <c r="D741" s="225" t="s">
        <v>2470</v>
      </c>
      <c r="E741" s="226" t="s">
        <v>3314</v>
      </c>
      <c r="F741" s="227" t="s">
        <v>4572</v>
      </c>
      <c r="G741" s="102"/>
      <c r="H741" s="228"/>
      <c r="I741" s="231"/>
      <c r="J741" s="228"/>
      <c r="K741" s="228"/>
      <c r="L741" s="127"/>
      <c r="M741" s="127"/>
      <c r="N741" s="232"/>
      <c r="O741" s="233"/>
      <c r="P741" s="234">
        <v>19568.81</v>
      </c>
      <c r="Q741" s="233"/>
      <c r="R741" s="167">
        <f t="shared" si="90"/>
        <v>19568.81</v>
      </c>
      <c r="S741" s="178">
        <v>0.338555832480367</v>
      </c>
      <c r="T741" s="167">
        <f t="shared" si="91"/>
        <v>6625.13</v>
      </c>
      <c r="U741" s="228"/>
      <c r="V741" s="179" t="s">
        <v>375</v>
      </c>
      <c r="W741" s="181">
        <f>IF('附表1-面积统计表'!$D$29=0,"",IF(AND(V741="共同成本费用",Z741="总建筑面积法"),ROUND(T741/'附表1-面积统计表'!$D$29*'附表1-面积统计表'!$D$5,2),IF(AND(V741="共同成本费用",Z741="可售建筑面积法"),ROUND(T741/'附表1-面积统计表'!$F$29*'附表1-面积统计表'!$F$5,2),"请手工填写")))</f>
        <v>3209.63</v>
      </c>
      <c r="X741" s="181">
        <f>IF(SUM('附表1-面积统计表'!$D$6)=0,"",SUM(T741)-SUM(W741)-SUM(Y741))</f>
        <v>2123.58</v>
      </c>
      <c r="Y741" s="181">
        <f>IF(SUM('附表1-面积统计表'!$D$6)=0,SUM(T741)-SUM(W741),IF('附表1-面积统计表'!$D$29=0,"",IF(AND(V741="共同成本费用",Z741="总建筑面积法"),ROUND(T741/'附表1-面积统计表'!$D$29*'附表1-面积统计表'!$D$7,2),IF(AND(V741="共同成本费用",Z741="可售建筑面积法"),ROUND(T741/'附表1-面积统计表'!$F$29*'附表1-面积统计表'!$F$7,2),"请手工填写"))))</f>
        <v>1291.92</v>
      </c>
      <c r="Z741" s="183" t="s">
        <v>351</v>
      </c>
      <c r="AA741" s="157"/>
      <c r="AB741" s="184" t="s">
        <v>2319</v>
      </c>
      <c r="AC741" s="132">
        <f t="shared" si="88"/>
        <v>0</v>
      </c>
    </row>
    <row r="742" s="128" customFormat="1" ht="30.05" spans="1:29">
      <c r="A742" s="222"/>
      <c r="B742" s="223" t="s">
        <v>4573</v>
      </c>
      <c r="C742" s="224" t="s">
        <v>4574</v>
      </c>
      <c r="D742" s="225" t="s">
        <v>2470</v>
      </c>
      <c r="E742" s="226" t="s">
        <v>3314</v>
      </c>
      <c r="F742" s="227" t="s">
        <v>4575</v>
      </c>
      <c r="G742" s="102"/>
      <c r="H742" s="228"/>
      <c r="I742" s="231"/>
      <c r="J742" s="228"/>
      <c r="K742" s="228"/>
      <c r="L742" s="127"/>
      <c r="M742" s="127"/>
      <c r="N742" s="232"/>
      <c r="O742" s="233"/>
      <c r="P742" s="234">
        <v>83325</v>
      </c>
      <c r="Q742" s="233"/>
      <c r="R742" s="167">
        <f t="shared" si="90"/>
        <v>83325</v>
      </c>
      <c r="S742" s="178">
        <v>0.338555832480367</v>
      </c>
      <c r="T742" s="167">
        <f t="shared" si="91"/>
        <v>28210.16</v>
      </c>
      <c r="U742" s="228"/>
      <c r="V742" s="179" t="s">
        <v>375</v>
      </c>
      <c r="W742" s="181">
        <f>IF('附表1-面积统计表'!$D$29=0,"",IF(AND(V742="共同成本费用",Z742="总建筑面积法"),ROUND(T742/'附表1-面积统计表'!$D$29*'附表1-面积统计表'!$D$5,2),IF(AND(V742="共同成本费用",Z742="可售建筑面积法"),ROUND(T742/'附表1-面积统计表'!$F$29*'附表1-面积统计表'!$F$5,2),"请手工填写")))</f>
        <v>13666.78</v>
      </c>
      <c r="X742" s="181">
        <f>IF(SUM('附表1-面积统计表'!$D$6)=0,"",SUM(T742)-SUM(W742)-SUM(Y742))</f>
        <v>9042.32</v>
      </c>
      <c r="Y742" s="181">
        <f>IF(SUM('附表1-面积统计表'!$D$6)=0,SUM(T742)-SUM(W742),IF('附表1-面积统计表'!$D$29=0,"",IF(AND(V742="共同成本费用",Z742="总建筑面积法"),ROUND(T742/'附表1-面积统计表'!$D$29*'附表1-面积统计表'!$D$7,2),IF(AND(V742="共同成本费用",Z742="可售建筑面积法"),ROUND(T742/'附表1-面积统计表'!$F$29*'附表1-面积统计表'!$F$7,2),"请手工填写"))))</f>
        <v>5501.06</v>
      </c>
      <c r="Z742" s="183" t="s">
        <v>351</v>
      </c>
      <c r="AA742" s="157"/>
      <c r="AB742" s="184" t="s">
        <v>2319</v>
      </c>
      <c r="AC742" s="132">
        <f t="shared" si="88"/>
        <v>0</v>
      </c>
    </row>
    <row r="743" s="128" customFormat="1" ht="30.05" spans="1:29">
      <c r="A743" s="222"/>
      <c r="B743" s="223" t="s">
        <v>4576</v>
      </c>
      <c r="C743" s="224" t="s">
        <v>3808</v>
      </c>
      <c r="D743" s="225" t="s">
        <v>2470</v>
      </c>
      <c r="E743" s="226" t="s">
        <v>3314</v>
      </c>
      <c r="F743" s="227" t="s">
        <v>4577</v>
      </c>
      <c r="G743" s="102"/>
      <c r="H743" s="228"/>
      <c r="I743" s="231"/>
      <c r="J743" s="228"/>
      <c r="K743" s="228"/>
      <c r="L743" s="127"/>
      <c r="M743" s="127"/>
      <c r="N743" s="232"/>
      <c r="O743" s="233"/>
      <c r="P743" s="234">
        <v>5975.27</v>
      </c>
      <c r="Q743" s="233"/>
      <c r="R743" s="167">
        <f t="shared" si="90"/>
        <v>5975.27</v>
      </c>
      <c r="S743" s="178">
        <v>0.338555832480367</v>
      </c>
      <c r="T743" s="167">
        <f t="shared" si="91"/>
        <v>2022.96</v>
      </c>
      <c r="U743" s="228"/>
      <c r="V743" s="179" t="s">
        <v>375</v>
      </c>
      <c r="W743" s="181">
        <f>IF('附表1-面积统计表'!$D$29=0,"",IF(AND(V743="共同成本费用",Z743="总建筑面积法"),ROUND(T743/'附表1-面积统计表'!$D$29*'附表1-面积统计表'!$D$5,2),IF(AND(V743="共同成本费用",Z743="可售建筑面积法"),ROUND(T743/'附表1-面积统计表'!$F$29*'附表1-面积统计表'!$F$5,2),"请手工填写")))</f>
        <v>980.05</v>
      </c>
      <c r="X743" s="181">
        <f>IF(SUM('附表1-面积统计表'!$D$6)=0,"",SUM(T743)-SUM(W743)-SUM(Y743))</f>
        <v>648.43</v>
      </c>
      <c r="Y743" s="181">
        <f>IF(SUM('附表1-面积统计表'!$D$6)=0,SUM(T743)-SUM(W743),IF('附表1-面积统计表'!$D$29=0,"",IF(AND(V743="共同成本费用",Z743="总建筑面积法"),ROUND(T743/'附表1-面积统计表'!$D$29*'附表1-面积统计表'!$D$7,2),IF(AND(V743="共同成本费用",Z743="可售建筑面积法"),ROUND(T743/'附表1-面积统计表'!$F$29*'附表1-面积统计表'!$F$7,2),"请手工填写"))))</f>
        <v>394.48</v>
      </c>
      <c r="Z743" s="183" t="s">
        <v>351</v>
      </c>
      <c r="AA743" s="157"/>
      <c r="AB743" s="184" t="s">
        <v>2319</v>
      </c>
      <c r="AC743" s="132">
        <f t="shared" si="88"/>
        <v>0</v>
      </c>
    </row>
    <row r="744" s="20" customFormat="1" ht="30.05" spans="1:29">
      <c r="A744" s="222"/>
      <c r="B744" s="223" t="s">
        <v>4578</v>
      </c>
      <c r="C744" s="224" t="s">
        <v>3411</v>
      </c>
      <c r="D744" s="225" t="s">
        <v>2470</v>
      </c>
      <c r="E744" s="226" t="s">
        <v>3314</v>
      </c>
      <c r="F744" s="227" t="s">
        <v>4579</v>
      </c>
      <c r="G744" s="102"/>
      <c r="H744" s="228"/>
      <c r="I744" s="231"/>
      <c r="J744" s="228"/>
      <c r="K744" s="228"/>
      <c r="L744" s="127"/>
      <c r="M744" s="127"/>
      <c r="N744" s="232"/>
      <c r="O744" s="233"/>
      <c r="P744" s="234">
        <v>113890</v>
      </c>
      <c r="Q744" s="233"/>
      <c r="R744" s="167">
        <f t="shared" si="90"/>
        <v>113890</v>
      </c>
      <c r="S744" s="178">
        <v>0.338555832480367</v>
      </c>
      <c r="T744" s="167">
        <f t="shared" si="91"/>
        <v>38558.12</v>
      </c>
      <c r="U744" s="228"/>
      <c r="V744" s="179" t="s">
        <v>375</v>
      </c>
      <c r="W744" s="181">
        <f>IF('附表1-面积统计表'!$D$29=0,"",IF(AND(V744="共同成本费用",Z744="总建筑面积法"),ROUND(T744/'附表1-面积统计表'!$D$29*'附表1-面积统计表'!$D$5,2),IF(AND(V744="共同成本费用",Z744="可售建筑面积法"),ROUND(T744/'附表1-面积统计表'!$F$29*'附表1-面积统计表'!$F$5,2),"请手工填写")))</f>
        <v>18679.99</v>
      </c>
      <c r="X744" s="181">
        <f>IF(SUM('附表1-面积统计表'!$D$6)=0,"",SUM(T744)-SUM(W744)-SUM(Y744))</f>
        <v>12359.19</v>
      </c>
      <c r="Y744" s="181">
        <f>IF(SUM('附表1-面积统计表'!$D$6)=0,SUM(T744)-SUM(W744),IF('附表1-面积统计表'!$D$29=0,"",IF(AND(V744="共同成本费用",Z744="总建筑面积法"),ROUND(T744/'附表1-面积统计表'!$D$29*'附表1-面积统计表'!$D$7,2),IF(AND(V744="共同成本费用",Z744="可售建筑面积法"),ROUND(T744/'附表1-面积统计表'!$F$29*'附表1-面积统计表'!$F$7,2),"请手工填写"))))</f>
        <v>7518.94</v>
      </c>
      <c r="Z744" s="183" t="s">
        <v>351</v>
      </c>
      <c r="AA744" s="157"/>
      <c r="AB744" s="184" t="s">
        <v>2319</v>
      </c>
      <c r="AC744" s="132">
        <f t="shared" si="88"/>
        <v>0</v>
      </c>
    </row>
    <row r="745" s="20" customFormat="1" ht="30.05" spans="1:29">
      <c r="A745" s="222"/>
      <c r="B745" s="223" t="s">
        <v>4580</v>
      </c>
      <c r="C745" s="224" t="s">
        <v>4581</v>
      </c>
      <c r="D745" s="225" t="s">
        <v>2470</v>
      </c>
      <c r="E745" s="226" t="s">
        <v>3314</v>
      </c>
      <c r="F745" s="227" t="s">
        <v>4582</v>
      </c>
      <c r="G745" s="102"/>
      <c r="H745" s="228"/>
      <c r="I745" s="231"/>
      <c r="J745" s="228"/>
      <c r="K745" s="228"/>
      <c r="L745" s="127"/>
      <c r="M745" s="127"/>
      <c r="N745" s="232"/>
      <c r="O745" s="233"/>
      <c r="P745" s="234">
        <v>5498.6</v>
      </c>
      <c r="Q745" s="233"/>
      <c r="R745" s="167">
        <f t="shared" si="90"/>
        <v>5498.6</v>
      </c>
      <c r="S745" s="178">
        <v>0.338555832480367</v>
      </c>
      <c r="T745" s="167">
        <f t="shared" si="91"/>
        <v>1861.58</v>
      </c>
      <c r="U745" s="228"/>
      <c r="V745" s="179" t="s">
        <v>375</v>
      </c>
      <c r="W745" s="181">
        <f>IF('附表1-面积统计表'!$D$29=0,"",IF(AND(V745="共同成本费用",Z745="总建筑面积法"),ROUND(T745/'附表1-面积统计表'!$D$29*'附表1-面积统计表'!$D$5,2),IF(AND(V745="共同成本费用",Z745="可售建筑面积法"),ROUND(T745/'附表1-面积统计表'!$F$29*'附表1-面积统计表'!$F$5,2),"请手工填写")))</f>
        <v>901.87</v>
      </c>
      <c r="X745" s="181">
        <f>IF(SUM('附表1-面积统计表'!$D$6)=0,"",SUM(T745)-SUM(W745)-SUM(Y745))</f>
        <v>596.7</v>
      </c>
      <c r="Y745" s="181">
        <f>IF(SUM('附表1-面积统计表'!$D$6)=0,SUM(T745)-SUM(W745),IF('附表1-面积统计表'!$D$29=0,"",IF(AND(V745="共同成本费用",Z745="总建筑面积法"),ROUND(T745/'附表1-面积统计表'!$D$29*'附表1-面积统计表'!$D$7,2),IF(AND(V745="共同成本费用",Z745="可售建筑面积法"),ROUND(T745/'附表1-面积统计表'!$F$29*'附表1-面积统计表'!$F$7,2),"请手工填写"))))</f>
        <v>363.01</v>
      </c>
      <c r="Z745" s="183" t="s">
        <v>351</v>
      </c>
      <c r="AA745" s="157"/>
      <c r="AB745" s="184" t="s">
        <v>2319</v>
      </c>
      <c r="AC745" s="132">
        <f t="shared" si="88"/>
        <v>0</v>
      </c>
    </row>
    <row r="746" s="20" customFormat="1" ht="30.05" spans="1:29">
      <c r="A746" s="222"/>
      <c r="B746" s="223" t="s">
        <v>4583</v>
      </c>
      <c r="C746" s="224" t="s">
        <v>4058</v>
      </c>
      <c r="D746" s="225" t="s">
        <v>2470</v>
      </c>
      <c r="E746" s="226" t="s">
        <v>3314</v>
      </c>
      <c r="F746" s="227" t="s">
        <v>4584</v>
      </c>
      <c r="G746" s="102"/>
      <c r="H746" s="228"/>
      <c r="I746" s="231"/>
      <c r="J746" s="228"/>
      <c r="K746" s="228"/>
      <c r="L746" s="127"/>
      <c r="M746" s="127"/>
      <c r="N746" s="232"/>
      <c r="O746" s="233"/>
      <c r="P746" s="234">
        <v>114125</v>
      </c>
      <c r="Q746" s="233"/>
      <c r="R746" s="167">
        <f t="shared" si="90"/>
        <v>114125</v>
      </c>
      <c r="S746" s="178">
        <v>0.338555832480367</v>
      </c>
      <c r="T746" s="167">
        <f t="shared" si="91"/>
        <v>38637.68</v>
      </c>
      <c r="U746" s="228"/>
      <c r="V746" s="179" t="s">
        <v>375</v>
      </c>
      <c r="W746" s="181">
        <f>IF('附表1-面积统计表'!$D$29=0,"",IF(AND(V746="共同成本费用",Z746="总建筑面积法"),ROUND(T746/'附表1-面积统计表'!$D$29*'附表1-面积统计表'!$D$5,2),IF(AND(V746="共同成本费用",Z746="可售建筑面积法"),ROUND(T746/'附表1-面积统计表'!$F$29*'附表1-面积统计表'!$F$5,2),"请手工填写")))</f>
        <v>18718.53</v>
      </c>
      <c r="X746" s="181">
        <f>IF(SUM('附表1-面积统计表'!$D$6)=0,"",SUM(T746)-SUM(W746)-SUM(Y746))</f>
        <v>12384.69</v>
      </c>
      <c r="Y746" s="181">
        <f>IF(SUM('附表1-面积统计表'!$D$6)=0,SUM(T746)-SUM(W746),IF('附表1-面积统计表'!$D$29=0,"",IF(AND(V746="共同成本费用",Z746="总建筑面积法"),ROUND(T746/'附表1-面积统计表'!$D$29*'附表1-面积统计表'!$D$7,2),IF(AND(V746="共同成本费用",Z746="可售建筑面积法"),ROUND(T746/'附表1-面积统计表'!$F$29*'附表1-面积统计表'!$F$7,2),"请手工填写"))))</f>
        <v>7534.46</v>
      </c>
      <c r="Z746" s="183" t="s">
        <v>351</v>
      </c>
      <c r="AA746" s="157"/>
      <c r="AB746" s="184" t="s">
        <v>2319</v>
      </c>
      <c r="AC746" s="132">
        <f t="shared" si="88"/>
        <v>0</v>
      </c>
    </row>
    <row r="747" s="20" customFormat="1" ht="30.05" spans="1:29">
      <c r="A747" s="222"/>
      <c r="B747" s="223" t="s">
        <v>4585</v>
      </c>
      <c r="C747" s="224" t="s">
        <v>3682</v>
      </c>
      <c r="D747" s="225" t="s">
        <v>2470</v>
      </c>
      <c r="E747" s="226" t="s">
        <v>3314</v>
      </c>
      <c r="F747" s="227" t="s">
        <v>4586</v>
      </c>
      <c r="G747" s="102"/>
      <c r="H747" s="228"/>
      <c r="I747" s="231"/>
      <c r="J747" s="228"/>
      <c r="K747" s="228"/>
      <c r="L747" s="127"/>
      <c r="M747" s="127"/>
      <c r="N747" s="232"/>
      <c r="O747" s="233"/>
      <c r="P747" s="234">
        <v>4402.78</v>
      </c>
      <c r="Q747" s="233"/>
      <c r="R747" s="167">
        <f t="shared" si="90"/>
        <v>4402.78</v>
      </c>
      <c r="S747" s="178">
        <v>0.338555832480367</v>
      </c>
      <c r="T747" s="167">
        <f t="shared" si="91"/>
        <v>1490.59</v>
      </c>
      <c r="U747" s="228"/>
      <c r="V747" s="179" t="s">
        <v>375</v>
      </c>
      <c r="W747" s="181">
        <f>IF('附表1-面积统计表'!$D$29=0,"",IF(AND(V747="共同成本费用",Z747="总建筑面积法"),ROUND(T747/'附表1-面积统计表'!$D$29*'附表1-面积统计表'!$D$5,2),IF(AND(V747="共同成本费用",Z747="可售建筑面积法"),ROUND(T747/'附表1-面积统计表'!$F$29*'附表1-面积统计表'!$F$5,2),"请手工填写")))</f>
        <v>722.14</v>
      </c>
      <c r="X747" s="181">
        <f>IF(SUM('附表1-面积统计表'!$D$6)=0,"",SUM(T747)-SUM(W747)-SUM(Y747))</f>
        <v>477.78</v>
      </c>
      <c r="Y747" s="181">
        <f>IF(SUM('附表1-面积统计表'!$D$6)=0,SUM(T747)-SUM(W747),IF('附表1-面积统计表'!$D$29=0,"",IF(AND(V747="共同成本费用",Z747="总建筑面积法"),ROUND(T747/'附表1-面积统计表'!$D$29*'附表1-面积统计表'!$D$7,2),IF(AND(V747="共同成本费用",Z747="可售建筑面积法"),ROUND(T747/'附表1-面积统计表'!$F$29*'附表1-面积统计表'!$F$7,2),"请手工填写"))))</f>
        <v>290.67</v>
      </c>
      <c r="Z747" s="183" t="s">
        <v>351</v>
      </c>
      <c r="AA747" s="157"/>
      <c r="AB747" s="184" t="s">
        <v>2319</v>
      </c>
      <c r="AC747" s="132">
        <f t="shared" si="88"/>
        <v>0</v>
      </c>
    </row>
    <row r="748" s="20" customFormat="1" ht="30.05" spans="1:29">
      <c r="A748" s="222"/>
      <c r="B748" s="223" t="s">
        <v>4587</v>
      </c>
      <c r="C748" s="224" t="s">
        <v>3411</v>
      </c>
      <c r="D748" s="225" t="s">
        <v>2470</v>
      </c>
      <c r="E748" s="226" t="s">
        <v>3314</v>
      </c>
      <c r="F748" s="227" t="s">
        <v>4588</v>
      </c>
      <c r="G748" s="102"/>
      <c r="H748" s="228"/>
      <c r="I748" s="231"/>
      <c r="J748" s="228"/>
      <c r="K748" s="228"/>
      <c r="L748" s="127"/>
      <c r="M748" s="127"/>
      <c r="N748" s="232"/>
      <c r="O748" s="233"/>
      <c r="P748" s="234">
        <v>103129</v>
      </c>
      <c r="Q748" s="233"/>
      <c r="R748" s="167">
        <f t="shared" si="90"/>
        <v>103129</v>
      </c>
      <c r="S748" s="178">
        <v>0.338555832480367</v>
      </c>
      <c r="T748" s="167">
        <f t="shared" si="91"/>
        <v>34914.92</v>
      </c>
      <c r="U748" s="228"/>
      <c r="V748" s="179" t="s">
        <v>375</v>
      </c>
      <c r="W748" s="181">
        <f>IF('附表1-面积统计表'!$D$29=0,"",IF(AND(V748="共同成本费用",Z748="总建筑面积法"),ROUND(T748/'附表1-面积统计表'!$D$29*'附表1-面积统计表'!$D$5,2),IF(AND(V748="共同成本费用",Z748="可售建筑面积法"),ROUND(T748/'附表1-面积统计表'!$F$29*'附表1-面积统计表'!$F$5,2),"请手工填写")))</f>
        <v>16914.99</v>
      </c>
      <c r="X748" s="181">
        <f>IF(SUM('附表1-面积统计表'!$D$6)=0,"",SUM(T748)-SUM(W748)-SUM(Y748))</f>
        <v>11191.42</v>
      </c>
      <c r="Y748" s="181">
        <f>IF(SUM('附表1-面积统计表'!$D$6)=0,SUM(T748)-SUM(W748),IF('附表1-面积统计表'!$D$29=0,"",IF(AND(V748="共同成本费用",Z748="总建筑面积法"),ROUND(T748/'附表1-面积统计表'!$D$29*'附表1-面积统计表'!$D$7,2),IF(AND(V748="共同成本费用",Z748="可售建筑面积法"),ROUND(T748/'附表1-面积统计表'!$F$29*'附表1-面积统计表'!$F$7,2),"请手工填写"))))</f>
        <v>6808.51</v>
      </c>
      <c r="Z748" s="183" t="s">
        <v>351</v>
      </c>
      <c r="AA748" s="157"/>
      <c r="AB748" s="184" t="s">
        <v>2319</v>
      </c>
      <c r="AC748" s="132">
        <f t="shared" si="88"/>
        <v>0</v>
      </c>
    </row>
    <row r="749" s="20" customFormat="1" ht="30.05" spans="1:29">
      <c r="A749" s="222"/>
      <c r="B749" s="223" t="s">
        <v>4589</v>
      </c>
      <c r="C749" s="224" t="s">
        <v>4233</v>
      </c>
      <c r="D749" s="225" t="s">
        <v>2470</v>
      </c>
      <c r="E749" s="226" t="s">
        <v>3314</v>
      </c>
      <c r="F749" s="227" t="s">
        <v>4590</v>
      </c>
      <c r="G749" s="102"/>
      <c r="H749" s="228"/>
      <c r="I749" s="231"/>
      <c r="J749" s="228"/>
      <c r="K749" s="228"/>
      <c r="L749" s="127"/>
      <c r="M749" s="127"/>
      <c r="N749" s="232"/>
      <c r="O749" s="233"/>
      <c r="P749" s="234">
        <v>5513.3</v>
      </c>
      <c r="Q749" s="233"/>
      <c r="R749" s="167">
        <f t="shared" si="90"/>
        <v>5513.3</v>
      </c>
      <c r="S749" s="178">
        <v>0.338555832480367</v>
      </c>
      <c r="T749" s="167">
        <f t="shared" si="91"/>
        <v>1866.56</v>
      </c>
      <c r="U749" s="228"/>
      <c r="V749" s="179" t="s">
        <v>375</v>
      </c>
      <c r="W749" s="181">
        <f>IF('附表1-面积统计表'!$D$29=0,"",IF(AND(V749="共同成本费用",Z749="总建筑面积法"),ROUND(T749/'附表1-面积统计表'!$D$29*'附表1-面积统计表'!$D$5,2),IF(AND(V749="共同成本费用",Z749="可售建筑面积法"),ROUND(T749/'附表1-面积统计表'!$F$29*'附表1-面积统计表'!$F$5,2),"请手工填写")))</f>
        <v>904.28</v>
      </c>
      <c r="X749" s="181">
        <f>IF(SUM('附表1-面积统计表'!$D$6)=0,"",SUM(T749)-SUM(W749)-SUM(Y749))</f>
        <v>598.3</v>
      </c>
      <c r="Y749" s="181">
        <f>IF(SUM('附表1-面积统计表'!$D$6)=0,SUM(T749)-SUM(W749),IF('附表1-面积统计表'!$D$29=0,"",IF(AND(V749="共同成本费用",Z749="总建筑面积法"),ROUND(T749/'附表1-面积统计表'!$D$29*'附表1-面积统计表'!$D$7,2),IF(AND(V749="共同成本费用",Z749="可售建筑面积法"),ROUND(T749/'附表1-面积统计表'!$F$29*'附表1-面积统计表'!$F$7,2),"请手工填写"))))</f>
        <v>363.98</v>
      </c>
      <c r="Z749" s="183" t="s">
        <v>351</v>
      </c>
      <c r="AA749" s="157"/>
      <c r="AB749" s="184" t="s">
        <v>2319</v>
      </c>
      <c r="AC749" s="132">
        <f t="shared" si="88"/>
        <v>0</v>
      </c>
    </row>
    <row r="750" s="20" customFormat="1" ht="30.05" spans="1:29">
      <c r="A750" s="222"/>
      <c r="B750" s="223" t="s">
        <v>4507</v>
      </c>
      <c r="C750" s="224" t="s">
        <v>4591</v>
      </c>
      <c r="D750" s="225" t="s">
        <v>2470</v>
      </c>
      <c r="E750" s="226" t="s">
        <v>3314</v>
      </c>
      <c r="F750" s="227" t="s">
        <v>4592</v>
      </c>
      <c r="G750" s="102"/>
      <c r="H750" s="228"/>
      <c r="I750" s="231"/>
      <c r="J750" s="228"/>
      <c r="K750" s="228"/>
      <c r="L750" s="127"/>
      <c r="M750" s="127"/>
      <c r="N750" s="232"/>
      <c r="O750" s="233"/>
      <c r="P750" s="234">
        <v>123921</v>
      </c>
      <c r="Q750" s="233"/>
      <c r="R750" s="167">
        <f t="shared" si="90"/>
        <v>123921</v>
      </c>
      <c r="S750" s="178">
        <v>0.338555832480367</v>
      </c>
      <c r="T750" s="167">
        <f t="shared" si="91"/>
        <v>41954.18</v>
      </c>
      <c r="U750" s="228"/>
      <c r="V750" s="179" t="s">
        <v>375</v>
      </c>
      <c r="W750" s="181">
        <f>IF('附表1-面积统计表'!$D$29=0,"",IF(AND(V750="共同成本费用",Z750="总建筑面积法"),ROUND(T750/'附表1-面积统计表'!$D$29*'附表1-面积统计表'!$D$5,2),IF(AND(V750="共同成本费用",Z750="可售建筑面积法"),ROUND(T750/'附表1-面积统计表'!$F$29*'附表1-面积统计表'!$F$5,2),"请手工填写")))</f>
        <v>20325.25</v>
      </c>
      <c r="X750" s="181">
        <f>IF(SUM('附表1-面积统计表'!$D$6)=0,"",SUM(T750)-SUM(W750)-SUM(Y750))</f>
        <v>13447.75</v>
      </c>
      <c r="Y750" s="181">
        <f>IF(SUM('附表1-面积统计表'!$D$6)=0,SUM(T750)-SUM(W750),IF('附表1-面积统计表'!$D$29=0,"",IF(AND(V750="共同成本费用",Z750="总建筑面积法"),ROUND(T750/'附表1-面积统计表'!$D$29*'附表1-面积统计表'!$D$7,2),IF(AND(V750="共同成本费用",Z750="可售建筑面积法"),ROUND(T750/'附表1-面积统计表'!$F$29*'附表1-面积统计表'!$F$7,2),"请手工填写"))))</f>
        <v>8181.18</v>
      </c>
      <c r="Z750" s="183" t="s">
        <v>351</v>
      </c>
      <c r="AA750" s="157"/>
      <c r="AB750" s="184" t="s">
        <v>2319</v>
      </c>
      <c r="AC750" s="132">
        <f t="shared" si="88"/>
        <v>0</v>
      </c>
    </row>
    <row r="751" s="20" customFormat="1" ht="30.05" spans="1:29">
      <c r="A751" s="222"/>
      <c r="B751" s="223" t="s">
        <v>4201</v>
      </c>
      <c r="C751" s="224" t="s">
        <v>3430</v>
      </c>
      <c r="D751" s="225" t="s">
        <v>2470</v>
      </c>
      <c r="E751" s="226" t="s">
        <v>3314</v>
      </c>
      <c r="F751" s="227" t="s">
        <v>4593</v>
      </c>
      <c r="G751" s="102"/>
      <c r="H751" s="228"/>
      <c r="I751" s="231"/>
      <c r="J751" s="228"/>
      <c r="K751" s="228"/>
      <c r="L751" s="127"/>
      <c r="M751" s="127"/>
      <c r="N751" s="232"/>
      <c r="O751" s="233"/>
      <c r="P751" s="234">
        <v>7710.82</v>
      </c>
      <c r="Q751" s="233"/>
      <c r="R751" s="167">
        <f t="shared" si="90"/>
        <v>7710.82</v>
      </c>
      <c r="S751" s="178">
        <v>0.338555832480367</v>
      </c>
      <c r="T751" s="167">
        <f t="shared" si="91"/>
        <v>2610.54</v>
      </c>
      <c r="U751" s="228"/>
      <c r="V751" s="179" t="s">
        <v>375</v>
      </c>
      <c r="W751" s="181">
        <f>IF('附表1-面积统计表'!$D$29=0,"",IF(AND(V751="共同成本费用",Z751="总建筑面积法"),ROUND(T751/'附表1-面积统计表'!$D$29*'附表1-面积统计表'!$D$5,2),IF(AND(V751="共同成本费用",Z751="可售建筑面积法"),ROUND(T751/'附表1-面积统计表'!$F$29*'附表1-面积统计表'!$F$5,2),"请手工填写")))</f>
        <v>1264.71</v>
      </c>
      <c r="X751" s="181">
        <f>IF(SUM('附表1-面积统计表'!$D$6)=0,"",SUM(T751)-SUM(W751)-SUM(Y751))</f>
        <v>836.77</v>
      </c>
      <c r="Y751" s="181">
        <f>IF(SUM('附表1-面积统计表'!$D$6)=0,SUM(T751)-SUM(W751),IF('附表1-面积统计表'!$D$29=0,"",IF(AND(V751="共同成本费用",Z751="总建筑面积法"),ROUND(T751/'附表1-面积统计表'!$D$29*'附表1-面积统计表'!$D$7,2),IF(AND(V751="共同成本费用",Z751="可售建筑面积法"),ROUND(T751/'附表1-面积统计表'!$F$29*'附表1-面积统计表'!$F$7,2),"请手工填写"))))</f>
        <v>509.06</v>
      </c>
      <c r="Z751" s="183" t="s">
        <v>351</v>
      </c>
      <c r="AA751" s="157"/>
      <c r="AB751" s="184" t="s">
        <v>2319</v>
      </c>
      <c r="AC751" s="132">
        <f t="shared" si="88"/>
        <v>0</v>
      </c>
    </row>
    <row r="752" s="20" customFormat="1" ht="30.05" spans="1:29">
      <c r="A752" s="222"/>
      <c r="B752" s="223" t="s">
        <v>4594</v>
      </c>
      <c r="C752" s="224" t="s">
        <v>3739</v>
      </c>
      <c r="D752" s="225" t="s">
        <v>2470</v>
      </c>
      <c r="E752" s="226" t="s">
        <v>3314</v>
      </c>
      <c r="F752" s="227" t="s">
        <v>4595</v>
      </c>
      <c r="G752" s="102"/>
      <c r="H752" s="228"/>
      <c r="I752" s="231"/>
      <c r="J752" s="228"/>
      <c r="K752" s="228"/>
      <c r="L752" s="127"/>
      <c r="M752" s="127"/>
      <c r="N752" s="232"/>
      <c r="O752" s="233"/>
      <c r="P752" s="234">
        <v>115330</v>
      </c>
      <c r="Q752" s="233"/>
      <c r="R752" s="167">
        <f t="shared" si="90"/>
        <v>115330</v>
      </c>
      <c r="S752" s="178">
        <v>0.338555832480367</v>
      </c>
      <c r="T752" s="167">
        <f t="shared" si="91"/>
        <v>39045.64</v>
      </c>
      <c r="U752" s="228"/>
      <c r="V752" s="179" t="s">
        <v>375</v>
      </c>
      <c r="W752" s="181">
        <f>IF('附表1-面积统计表'!$D$29=0,"",IF(AND(V752="共同成本费用",Z752="总建筑面积法"),ROUND(T752/'附表1-面积统计表'!$D$29*'附表1-面积统计表'!$D$5,2),IF(AND(V752="共同成本费用",Z752="可售建筑面积法"),ROUND(T752/'附表1-面积统计表'!$F$29*'附表1-面积统计表'!$F$5,2),"请手工填写")))</f>
        <v>18916.17</v>
      </c>
      <c r="X752" s="181">
        <f>IF(SUM('附表1-面积统计表'!$D$6)=0,"",SUM(T752)-SUM(W752)-SUM(Y752))</f>
        <v>12515.46</v>
      </c>
      <c r="Y752" s="181">
        <f>IF(SUM('附表1-面积统计表'!$D$6)=0,SUM(T752)-SUM(W752),IF('附表1-面积统计表'!$D$29=0,"",IF(AND(V752="共同成本费用",Z752="总建筑面积法"),ROUND(T752/'附表1-面积统计表'!$D$29*'附表1-面积统计表'!$D$7,2),IF(AND(V752="共同成本费用",Z752="可售建筑面积法"),ROUND(T752/'附表1-面积统计表'!$F$29*'附表1-面积统计表'!$F$7,2),"请手工填写"))))</f>
        <v>7614.01</v>
      </c>
      <c r="Z752" s="183" t="s">
        <v>351</v>
      </c>
      <c r="AA752" s="157"/>
      <c r="AB752" s="184" t="s">
        <v>2319</v>
      </c>
      <c r="AC752" s="132">
        <f t="shared" si="88"/>
        <v>0</v>
      </c>
    </row>
    <row r="753" s="20" customFormat="1" ht="30.05" spans="1:29">
      <c r="A753" s="222"/>
      <c r="B753" s="223" t="s">
        <v>4596</v>
      </c>
      <c r="C753" s="224" t="s">
        <v>3640</v>
      </c>
      <c r="D753" s="225" t="s">
        <v>2470</v>
      </c>
      <c r="E753" s="226" t="s">
        <v>3314</v>
      </c>
      <c r="F753" s="227" t="s">
        <v>4597</v>
      </c>
      <c r="G753" s="102"/>
      <c r="H753" s="228"/>
      <c r="I753" s="231"/>
      <c r="J753" s="228"/>
      <c r="K753" s="228"/>
      <c r="L753" s="127"/>
      <c r="M753" s="127"/>
      <c r="N753" s="232"/>
      <c r="O753" s="233"/>
      <c r="P753" s="234">
        <v>-115330</v>
      </c>
      <c r="Q753" s="233"/>
      <c r="R753" s="167">
        <f t="shared" si="90"/>
        <v>-115330</v>
      </c>
      <c r="S753" s="178">
        <v>0.338555832480367</v>
      </c>
      <c r="T753" s="167">
        <f t="shared" si="91"/>
        <v>-39045.64</v>
      </c>
      <c r="U753" s="228"/>
      <c r="V753" s="179" t="s">
        <v>375</v>
      </c>
      <c r="W753" s="181">
        <f>IF('附表1-面积统计表'!$D$29=0,"",IF(AND(V753="共同成本费用",Z753="总建筑面积法"),ROUND(T753/'附表1-面积统计表'!$D$29*'附表1-面积统计表'!$D$5,2),IF(AND(V753="共同成本费用",Z753="可售建筑面积法"),ROUND(T753/'附表1-面积统计表'!$F$29*'附表1-面积统计表'!$F$5,2),"请手工填写")))</f>
        <v>-18916.17</v>
      </c>
      <c r="X753" s="181">
        <f>IF(SUM('附表1-面积统计表'!$D$6)=0,"",SUM(T753)-SUM(W753)-SUM(Y753))</f>
        <v>-12515.46</v>
      </c>
      <c r="Y753" s="181">
        <f>IF(SUM('附表1-面积统计表'!$D$6)=0,SUM(T753)-SUM(W753),IF('附表1-面积统计表'!$D$29=0,"",IF(AND(V753="共同成本费用",Z753="总建筑面积法"),ROUND(T753/'附表1-面积统计表'!$D$29*'附表1-面积统计表'!$D$7,2),IF(AND(V753="共同成本费用",Z753="可售建筑面积法"),ROUND(T753/'附表1-面积统计表'!$F$29*'附表1-面积统计表'!$F$7,2),"请手工填写"))))</f>
        <v>-7614.01</v>
      </c>
      <c r="Z753" s="183" t="s">
        <v>351</v>
      </c>
      <c r="AA753" s="157"/>
      <c r="AB753" s="184" t="s">
        <v>2319</v>
      </c>
      <c r="AC753" s="132">
        <f t="shared" si="88"/>
        <v>0</v>
      </c>
    </row>
    <row r="754" s="20" customFormat="1" ht="30.05" spans="1:29">
      <c r="A754" s="222"/>
      <c r="B754" s="223" t="s">
        <v>4596</v>
      </c>
      <c r="C754" s="224" t="s">
        <v>3640</v>
      </c>
      <c r="D754" s="225" t="s">
        <v>2470</v>
      </c>
      <c r="E754" s="226" t="s">
        <v>3314</v>
      </c>
      <c r="F754" s="227" t="s">
        <v>4597</v>
      </c>
      <c r="G754" s="102"/>
      <c r="H754" s="228"/>
      <c r="I754" s="231"/>
      <c r="J754" s="228"/>
      <c r="K754" s="228"/>
      <c r="L754" s="127"/>
      <c r="M754" s="127"/>
      <c r="N754" s="232"/>
      <c r="O754" s="233"/>
      <c r="P754" s="234">
        <v>115330</v>
      </c>
      <c r="Q754" s="233"/>
      <c r="R754" s="167">
        <f t="shared" si="90"/>
        <v>115330</v>
      </c>
      <c r="S754" s="178">
        <v>0.338555832480367</v>
      </c>
      <c r="T754" s="167">
        <f t="shared" si="91"/>
        <v>39045.64</v>
      </c>
      <c r="U754" s="228"/>
      <c r="V754" s="179" t="s">
        <v>375</v>
      </c>
      <c r="W754" s="181">
        <f>IF('附表1-面积统计表'!$D$29=0,"",IF(AND(V754="共同成本费用",Z754="总建筑面积法"),ROUND(T754/'附表1-面积统计表'!$D$29*'附表1-面积统计表'!$D$5,2),IF(AND(V754="共同成本费用",Z754="可售建筑面积法"),ROUND(T754/'附表1-面积统计表'!$F$29*'附表1-面积统计表'!$F$5,2),"请手工填写")))</f>
        <v>18916.17</v>
      </c>
      <c r="X754" s="181">
        <f>IF(SUM('附表1-面积统计表'!$D$6)=0,"",SUM(T754)-SUM(W754)-SUM(Y754))</f>
        <v>12515.46</v>
      </c>
      <c r="Y754" s="181">
        <f>IF(SUM('附表1-面积统计表'!$D$6)=0,SUM(T754)-SUM(W754),IF('附表1-面积统计表'!$D$29=0,"",IF(AND(V754="共同成本费用",Z754="总建筑面积法"),ROUND(T754/'附表1-面积统计表'!$D$29*'附表1-面积统计表'!$D$7,2),IF(AND(V754="共同成本费用",Z754="可售建筑面积法"),ROUND(T754/'附表1-面积统计表'!$F$29*'附表1-面积统计表'!$F$7,2),"请手工填写"))))</f>
        <v>7614.01</v>
      </c>
      <c r="Z754" s="183" t="s">
        <v>351</v>
      </c>
      <c r="AA754" s="157"/>
      <c r="AB754" s="184" t="s">
        <v>2319</v>
      </c>
      <c r="AC754" s="132">
        <f t="shared" si="88"/>
        <v>0</v>
      </c>
    </row>
    <row r="755" s="20" customFormat="1" ht="30.05" spans="1:29">
      <c r="A755" s="222"/>
      <c r="B755" s="223" t="s">
        <v>4598</v>
      </c>
      <c r="C755" s="224" t="s">
        <v>3034</v>
      </c>
      <c r="D755" s="225" t="s">
        <v>2470</v>
      </c>
      <c r="E755" s="226" t="s">
        <v>3314</v>
      </c>
      <c r="F755" s="227" t="s">
        <v>4599</v>
      </c>
      <c r="G755" s="102"/>
      <c r="H755" s="228"/>
      <c r="I755" s="231"/>
      <c r="J755" s="228"/>
      <c r="K755" s="228"/>
      <c r="L755" s="127"/>
      <c r="M755" s="127"/>
      <c r="N755" s="232"/>
      <c r="O755" s="233"/>
      <c r="P755" s="234">
        <v>8401.2</v>
      </c>
      <c r="Q755" s="233"/>
      <c r="R755" s="167">
        <f t="shared" si="90"/>
        <v>8401.2</v>
      </c>
      <c r="S755" s="178">
        <v>0.338555832480367</v>
      </c>
      <c r="T755" s="167">
        <f t="shared" si="91"/>
        <v>2844.28</v>
      </c>
      <c r="U755" s="228"/>
      <c r="V755" s="179" t="s">
        <v>375</v>
      </c>
      <c r="W755" s="181">
        <f>IF('附表1-面积统计表'!$D$29=0,"",IF(AND(V755="共同成本费用",Z755="总建筑面积法"),ROUND(T755/'附表1-面积统计表'!$D$29*'附表1-面积统计表'!$D$5,2),IF(AND(V755="共同成本费用",Z755="可售建筑面积法"),ROUND(T755/'附表1-面积统计表'!$F$29*'附表1-面积统计表'!$F$5,2),"请手工填写")))</f>
        <v>1377.95</v>
      </c>
      <c r="X755" s="181">
        <f>IF(SUM('附表1-面积统计表'!$D$6)=0,"",SUM(T755)-SUM(W755)-SUM(Y755))</f>
        <v>911.69</v>
      </c>
      <c r="Y755" s="181">
        <f>IF(SUM('附表1-面积统计表'!$D$6)=0,SUM(T755)-SUM(W755),IF('附表1-面积统计表'!$D$29=0,"",IF(AND(V755="共同成本费用",Z755="总建筑面积法"),ROUND(T755/'附表1-面积统计表'!$D$29*'附表1-面积统计表'!$D$7,2),IF(AND(V755="共同成本费用",Z755="可售建筑面积法"),ROUND(T755/'附表1-面积统计表'!$F$29*'附表1-面积统计表'!$F$7,2),"请手工填写"))))</f>
        <v>554.64</v>
      </c>
      <c r="Z755" s="183" t="s">
        <v>351</v>
      </c>
      <c r="AA755" s="157"/>
      <c r="AB755" s="184" t="s">
        <v>2319</v>
      </c>
      <c r="AC755" s="132">
        <f t="shared" si="88"/>
        <v>0</v>
      </c>
    </row>
    <row r="756" s="20" customFormat="1" ht="30.05" spans="1:29">
      <c r="A756" s="222"/>
      <c r="B756" s="223" t="s">
        <v>4219</v>
      </c>
      <c r="C756" s="224" t="s">
        <v>4058</v>
      </c>
      <c r="D756" s="225" t="s">
        <v>2470</v>
      </c>
      <c r="E756" s="226" t="s">
        <v>3314</v>
      </c>
      <c r="F756" s="227" t="s">
        <v>4600</v>
      </c>
      <c r="G756" s="102"/>
      <c r="H756" s="228"/>
      <c r="I756" s="231"/>
      <c r="J756" s="228"/>
      <c r="K756" s="228"/>
      <c r="L756" s="127"/>
      <c r="M756" s="127"/>
      <c r="N756" s="232"/>
      <c r="O756" s="233"/>
      <c r="P756" s="234">
        <v>114130</v>
      </c>
      <c r="Q756" s="233"/>
      <c r="R756" s="167">
        <f t="shared" si="90"/>
        <v>114130</v>
      </c>
      <c r="S756" s="178">
        <v>0.338555832480367</v>
      </c>
      <c r="T756" s="167">
        <f t="shared" si="91"/>
        <v>38639.38</v>
      </c>
      <c r="U756" s="228"/>
      <c r="V756" s="179" t="s">
        <v>375</v>
      </c>
      <c r="W756" s="181">
        <f>IF('附表1-面积统计表'!$D$29=0,"",IF(AND(V756="共同成本费用",Z756="总建筑面积法"),ROUND(T756/'附表1-面积统计表'!$D$29*'附表1-面积统计表'!$D$5,2),IF(AND(V756="共同成本费用",Z756="可售建筑面积法"),ROUND(T756/'附表1-面积统计表'!$F$29*'附表1-面积统计表'!$F$5,2),"请手工填写")))</f>
        <v>18719.35</v>
      </c>
      <c r="X756" s="181">
        <f>IF(SUM('附表1-面积统计表'!$D$6)=0,"",SUM(T756)-SUM(W756)-SUM(Y756))</f>
        <v>12385.24</v>
      </c>
      <c r="Y756" s="181">
        <f>IF(SUM('附表1-面积统计表'!$D$6)=0,SUM(T756)-SUM(W756),IF('附表1-面积统计表'!$D$29=0,"",IF(AND(V756="共同成本费用",Z756="总建筑面积法"),ROUND(T756/'附表1-面积统计表'!$D$29*'附表1-面积统计表'!$D$7,2),IF(AND(V756="共同成本费用",Z756="可售建筑面积法"),ROUND(T756/'附表1-面积统计表'!$F$29*'附表1-面积统计表'!$F$7,2),"请手工填写"))))</f>
        <v>7534.79</v>
      </c>
      <c r="Z756" s="183" t="s">
        <v>351</v>
      </c>
      <c r="AA756" s="157"/>
      <c r="AB756" s="184" t="s">
        <v>2319</v>
      </c>
      <c r="AC756" s="132">
        <f t="shared" si="88"/>
        <v>0</v>
      </c>
    </row>
    <row r="757" s="20" customFormat="1" ht="30.05" spans="1:29">
      <c r="A757" s="222"/>
      <c r="B757" s="223" t="s">
        <v>4219</v>
      </c>
      <c r="C757" s="224" t="s">
        <v>3107</v>
      </c>
      <c r="D757" s="225" t="s">
        <v>2470</v>
      </c>
      <c r="E757" s="226" t="s">
        <v>3314</v>
      </c>
      <c r="F757" s="227" t="s">
        <v>4601</v>
      </c>
      <c r="G757" s="102"/>
      <c r="H757" s="228"/>
      <c r="I757" s="231"/>
      <c r="J757" s="228"/>
      <c r="K757" s="228"/>
      <c r="L757" s="127"/>
      <c r="M757" s="127"/>
      <c r="N757" s="232"/>
      <c r="O757" s="233"/>
      <c r="P757" s="234">
        <v>4332.06</v>
      </c>
      <c r="Q757" s="233"/>
      <c r="R757" s="167">
        <f t="shared" si="90"/>
        <v>4332.06</v>
      </c>
      <c r="S757" s="178">
        <v>0.338555832480367</v>
      </c>
      <c r="T757" s="167">
        <f t="shared" si="91"/>
        <v>1466.64</v>
      </c>
      <c r="U757" s="228"/>
      <c r="V757" s="179" t="s">
        <v>375</v>
      </c>
      <c r="W757" s="181">
        <f>IF('附表1-面积统计表'!$D$29=0,"",IF(AND(V757="共同成本费用",Z757="总建筑面积法"),ROUND(T757/'附表1-面积统计表'!$D$29*'附表1-面积统计表'!$D$5,2),IF(AND(V757="共同成本费用",Z757="可售建筑面积法"),ROUND(T757/'附表1-面积统计表'!$F$29*'附表1-面积统计表'!$F$5,2),"请手工填写")))</f>
        <v>710.53</v>
      </c>
      <c r="X757" s="181">
        <f>IF(SUM('附表1-面积统计表'!$D$6)=0,"",SUM(T757)-SUM(W757)-SUM(Y757))</f>
        <v>470.11</v>
      </c>
      <c r="Y757" s="181">
        <f>IF(SUM('附表1-面积统计表'!$D$6)=0,SUM(T757)-SUM(W757),IF('附表1-面积统计表'!$D$29=0,"",IF(AND(V757="共同成本费用",Z757="总建筑面积法"),ROUND(T757/'附表1-面积统计表'!$D$29*'附表1-面积统计表'!$D$7,2),IF(AND(V757="共同成本费用",Z757="可售建筑面积法"),ROUND(T757/'附表1-面积统计表'!$F$29*'附表1-面积统计表'!$F$7,2),"请手工填写"))))</f>
        <v>286</v>
      </c>
      <c r="Z757" s="183" t="s">
        <v>351</v>
      </c>
      <c r="AA757" s="157"/>
      <c r="AB757" s="184" t="s">
        <v>2319</v>
      </c>
      <c r="AC757" s="132">
        <f t="shared" si="88"/>
        <v>0</v>
      </c>
    </row>
    <row r="758" s="20" customFormat="1" ht="30.05" spans="1:29">
      <c r="A758" s="222"/>
      <c r="B758" s="223" t="s">
        <v>4219</v>
      </c>
      <c r="C758" s="224" t="s">
        <v>3808</v>
      </c>
      <c r="D758" s="225" t="s">
        <v>2470</v>
      </c>
      <c r="E758" s="226" t="s">
        <v>3314</v>
      </c>
      <c r="F758" s="227" t="s">
        <v>4602</v>
      </c>
      <c r="G758" s="102"/>
      <c r="H758" s="228"/>
      <c r="I758" s="231"/>
      <c r="J758" s="228"/>
      <c r="K758" s="228"/>
      <c r="L758" s="127"/>
      <c r="M758" s="127"/>
      <c r="N758" s="232"/>
      <c r="O758" s="233"/>
      <c r="P758" s="234">
        <v>105685.84</v>
      </c>
      <c r="Q758" s="233"/>
      <c r="R758" s="167">
        <f t="shared" si="90"/>
        <v>105685.84</v>
      </c>
      <c r="S758" s="178">
        <v>0.338555832480367</v>
      </c>
      <c r="T758" s="167">
        <f t="shared" si="91"/>
        <v>35780.56</v>
      </c>
      <c r="U758" s="228"/>
      <c r="V758" s="179" t="s">
        <v>375</v>
      </c>
      <c r="W758" s="181">
        <f>IF('附表1-面积统计表'!$D$29=0,"",IF(AND(V758="共同成本费用",Z758="总建筑面积法"),ROUND(T758/'附表1-面积统计表'!$D$29*'附表1-面积统计表'!$D$5,2),IF(AND(V758="共同成本费用",Z758="可售建筑面积法"),ROUND(T758/'附表1-面积统计表'!$F$29*'附表1-面积统计表'!$F$5,2),"请手工填写")))</f>
        <v>17334.36</v>
      </c>
      <c r="X758" s="181">
        <f>IF(SUM('附表1-面积统计表'!$D$6)=0,"",SUM(T758)-SUM(W758)-SUM(Y758))</f>
        <v>11468.89</v>
      </c>
      <c r="Y758" s="181">
        <f>IF(SUM('附表1-面积统计表'!$D$6)=0,SUM(T758)-SUM(W758),IF('附表1-面积统计表'!$D$29=0,"",IF(AND(V758="共同成本费用",Z758="总建筑面积法"),ROUND(T758/'附表1-面积统计表'!$D$29*'附表1-面积统计表'!$D$7,2),IF(AND(V758="共同成本费用",Z758="可售建筑面积法"),ROUND(T758/'附表1-面积统计表'!$F$29*'附表1-面积统计表'!$F$7,2),"请手工填写"))))</f>
        <v>6977.31</v>
      </c>
      <c r="Z758" s="183" t="s">
        <v>351</v>
      </c>
      <c r="AA758" s="157"/>
      <c r="AB758" s="184" t="s">
        <v>2319</v>
      </c>
      <c r="AC758" s="132">
        <f t="shared" si="88"/>
        <v>0</v>
      </c>
    </row>
    <row r="759" s="20" customFormat="1" ht="30.05" spans="1:29">
      <c r="A759" s="222"/>
      <c r="B759" s="223" t="s">
        <v>4219</v>
      </c>
      <c r="C759" s="224" t="s">
        <v>3847</v>
      </c>
      <c r="D759" s="225" t="s">
        <v>2470</v>
      </c>
      <c r="E759" s="226" t="s">
        <v>3314</v>
      </c>
      <c r="F759" s="227" t="s">
        <v>4603</v>
      </c>
      <c r="G759" s="102"/>
      <c r="H759" s="228"/>
      <c r="I759" s="231"/>
      <c r="J759" s="228"/>
      <c r="K759" s="228"/>
      <c r="L759" s="127"/>
      <c r="M759" s="127"/>
      <c r="N759" s="232"/>
      <c r="O759" s="233"/>
      <c r="P759" s="234">
        <v>4332.06</v>
      </c>
      <c r="Q759" s="233"/>
      <c r="R759" s="167">
        <f t="shared" si="90"/>
        <v>4332.06</v>
      </c>
      <c r="S759" s="178">
        <v>0.338555832480367</v>
      </c>
      <c r="T759" s="167">
        <f t="shared" si="91"/>
        <v>1466.64</v>
      </c>
      <c r="U759" s="228"/>
      <c r="V759" s="179" t="s">
        <v>375</v>
      </c>
      <c r="W759" s="181">
        <f>IF('附表1-面积统计表'!$D$29=0,"",IF(AND(V759="共同成本费用",Z759="总建筑面积法"),ROUND(T759/'附表1-面积统计表'!$D$29*'附表1-面积统计表'!$D$5,2),IF(AND(V759="共同成本费用",Z759="可售建筑面积法"),ROUND(T759/'附表1-面积统计表'!$F$29*'附表1-面积统计表'!$F$5,2),"请手工填写")))</f>
        <v>710.53</v>
      </c>
      <c r="X759" s="181">
        <f>IF(SUM('附表1-面积统计表'!$D$6)=0,"",SUM(T759)-SUM(W759)-SUM(Y759))</f>
        <v>470.11</v>
      </c>
      <c r="Y759" s="181">
        <f>IF(SUM('附表1-面积统计表'!$D$6)=0,SUM(T759)-SUM(W759),IF('附表1-面积统计表'!$D$29=0,"",IF(AND(V759="共同成本费用",Z759="总建筑面积法"),ROUND(T759/'附表1-面积统计表'!$D$29*'附表1-面积统计表'!$D$7,2),IF(AND(V759="共同成本费用",Z759="可售建筑面积法"),ROUND(T759/'附表1-面积统计表'!$F$29*'附表1-面积统计表'!$F$7,2),"请手工填写"))))</f>
        <v>286</v>
      </c>
      <c r="Z759" s="183" t="s">
        <v>351</v>
      </c>
      <c r="AA759" s="157"/>
      <c r="AB759" s="184" t="s">
        <v>2319</v>
      </c>
      <c r="AC759" s="132">
        <f t="shared" si="88"/>
        <v>0</v>
      </c>
    </row>
    <row r="760" s="20" customFormat="1" ht="30.05" spans="1:29">
      <c r="A760" s="222"/>
      <c r="B760" s="223" t="s">
        <v>4219</v>
      </c>
      <c r="C760" s="224" t="s">
        <v>3126</v>
      </c>
      <c r="D760" s="225" t="s">
        <v>2470</v>
      </c>
      <c r="E760" s="226" t="s">
        <v>3314</v>
      </c>
      <c r="F760" s="227" t="s">
        <v>4604</v>
      </c>
      <c r="G760" s="102"/>
      <c r="H760" s="228"/>
      <c r="I760" s="231"/>
      <c r="J760" s="228"/>
      <c r="K760" s="228"/>
      <c r="L760" s="127"/>
      <c r="M760" s="127"/>
      <c r="N760" s="232"/>
      <c r="O760" s="233"/>
      <c r="P760" s="234">
        <v>65220.22</v>
      </c>
      <c r="Q760" s="233"/>
      <c r="R760" s="167">
        <f t="shared" si="90"/>
        <v>65220.22</v>
      </c>
      <c r="S760" s="178">
        <v>0.338555832480367</v>
      </c>
      <c r="T760" s="167">
        <f t="shared" si="91"/>
        <v>22080.69</v>
      </c>
      <c r="U760" s="228"/>
      <c r="V760" s="179" t="s">
        <v>375</v>
      </c>
      <c r="W760" s="181">
        <f>IF('附表1-面积统计表'!$D$29=0,"",IF(AND(V760="共同成本费用",Z760="总建筑面积法"),ROUND(T760/'附表1-面积统计表'!$D$29*'附表1-面积统计表'!$D$5,2),IF(AND(V760="共同成本费用",Z760="可售建筑面积法"),ROUND(T760/'附表1-面积统计表'!$F$29*'附表1-面积统计表'!$F$5,2),"请手工填写")))</f>
        <v>10697.28</v>
      </c>
      <c r="X760" s="181">
        <f>IF(SUM('附表1-面积统计表'!$D$6)=0,"",SUM(T760)-SUM(W760)-SUM(Y760))</f>
        <v>7077.61</v>
      </c>
      <c r="Y760" s="181">
        <f>IF(SUM('附表1-面积统计表'!$D$6)=0,SUM(T760)-SUM(W760),IF('附表1-面积统计表'!$D$29=0,"",IF(AND(V760="共同成本费用",Z760="总建筑面积法"),ROUND(T760/'附表1-面积统计表'!$D$29*'附表1-面积统计表'!$D$7,2),IF(AND(V760="共同成本费用",Z760="可售建筑面积法"),ROUND(T760/'附表1-面积统计表'!$F$29*'附表1-面积统计表'!$F$7,2),"请手工填写"))))</f>
        <v>4305.8</v>
      </c>
      <c r="Z760" s="183" t="s">
        <v>351</v>
      </c>
      <c r="AA760" s="157"/>
      <c r="AB760" s="184" t="s">
        <v>2319</v>
      </c>
      <c r="AC760" s="132">
        <f t="shared" si="88"/>
        <v>0</v>
      </c>
    </row>
    <row r="761" s="20" customFormat="1" ht="30.05" spans="1:29">
      <c r="A761" s="222"/>
      <c r="B761" s="223" t="s">
        <v>4605</v>
      </c>
      <c r="C761" s="224" t="s">
        <v>3399</v>
      </c>
      <c r="D761" s="225" t="s">
        <v>2470</v>
      </c>
      <c r="E761" s="226" t="s">
        <v>3314</v>
      </c>
      <c r="F761" s="227" t="s">
        <v>3469</v>
      </c>
      <c r="G761" s="102"/>
      <c r="H761" s="228"/>
      <c r="I761" s="231"/>
      <c r="J761" s="228"/>
      <c r="K761" s="228"/>
      <c r="L761" s="127"/>
      <c r="M761" s="127"/>
      <c r="N761" s="232"/>
      <c r="O761" s="233"/>
      <c r="P761" s="234">
        <v>50414.64</v>
      </c>
      <c r="Q761" s="233"/>
      <c r="R761" s="167">
        <f t="shared" si="90"/>
        <v>50414.64</v>
      </c>
      <c r="S761" s="178">
        <v>0.338555832480367</v>
      </c>
      <c r="T761" s="167">
        <f t="shared" si="91"/>
        <v>17068.17</v>
      </c>
      <c r="U761" s="228"/>
      <c r="V761" s="179" t="s">
        <v>375</v>
      </c>
      <c r="W761" s="181">
        <f>IF('附表1-面积统计表'!$D$29=0,"",IF(AND(V761="共同成本费用",Z761="总建筑面积法"),ROUND(T761/'附表1-面积统计表'!$D$29*'附表1-面积统计表'!$D$5,2),IF(AND(V761="共同成本费用",Z761="可售建筑面积法"),ROUND(T761/'附表1-面积统计表'!$F$29*'附表1-面积统计表'!$F$5,2),"请手工填写")))</f>
        <v>8268.9</v>
      </c>
      <c r="X761" s="181">
        <f>IF(SUM('附表1-面积统计表'!$D$6)=0,"",SUM(T761)-SUM(W761)-SUM(Y761))</f>
        <v>5470.93</v>
      </c>
      <c r="Y761" s="181">
        <f>IF(SUM('附表1-面积统计表'!$D$6)=0,SUM(T761)-SUM(W761),IF('附表1-面积统计表'!$D$29=0,"",IF(AND(V761="共同成本费用",Z761="总建筑面积法"),ROUND(T761/'附表1-面积统计表'!$D$29*'附表1-面积统计表'!$D$7,2),IF(AND(V761="共同成本费用",Z761="可售建筑面积法"),ROUND(T761/'附表1-面积统计表'!$F$29*'附表1-面积统计表'!$F$7,2),"请手工填写"))))</f>
        <v>3328.34</v>
      </c>
      <c r="Z761" s="183" t="s">
        <v>351</v>
      </c>
      <c r="AA761" s="157"/>
      <c r="AB761" s="184" t="s">
        <v>2319</v>
      </c>
      <c r="AC761" s="132">
        <f t="shared" si="88"/>
        <v>0</v>
      </c>
    </row>
    <row r="762" s="20" customFormat="1" ht="30.05" spans="1:29">
      <c r="A762" s="222"/>
      <c r="B762" s="223" t="s">
        <v>4605</v>
      </c>
      <c r="C762" s="224" t="s">
        <v>4606</v>
      </c>
      <c r="D762" s="225" t="s">
        <v>2470</v>
      </c>
      <c r="E762" s="226" t="s">
        <v>3314</v>
      </c>
      <c r="F762" s="227" t="s">
        <v>4607</v>
      </c>
      <c r="G762" s="102"/>
      <c r="H762" s="228"/>
      <c r="I762" s="231"/>
      <c r="J762" s="228"/>
      <c r="K762" s="228"/>
      <c r="L762" s="127"/>
      <c r="M762" s="127"/>
      <c r="N762" s="232"/>
      <c r="O762" s="233"/>
      <c r="P762" s="234">
        <v>7446.7</v>
      </c>
      <c r="Q762" s="233"/>
      <c r="R762" s="167">
        <f t="shared" si="90"/>
        <v>7446.7</v>
      </c>
      <c r="S762" s="178">
        <v>0.338555832480367</v>
      </c>
      <c r="T762" s="167">
        <f t="shared" si="91"/>
        <v>2521.12</v>
      </c>
      <c r="U762" s="228"/>
      <c r="V762" s="179" t="s">
        <v>375</v>
      </c>
      <c r="W762" s="181">
        <f>IF('附表1-面积统计表'!$D$29=0,"",IF(AND(V762="共同成本费用",Z762="总建筑面积法"),ROUND(T762/'附表1-面积统计表'!$D$29*'附表1-面积统计表'!$D$5,2),IF(AND(V762="共同成本费用",Z762="可售建筑面积法"),ROUND(T762/'附表1-面积统计表'!$F$29*'附表1-面积统计表'!$F$5,2),"请手工填写")))</f>
        <v>1221.39</v>
      </c>
      <c r="X762" s="181">
        <f>IF(SUM('附表1-面积统计表'!$D$6)=0,"",SUM(T762)-SUM(W762)-SUM(Y762))</f>
        <v>808.1</v>
      </c>
      <c r="Y762" s="181">
        <f>IF(SUM('附表1-面积统计表'!$D$6)=0,SUM(T762)-SUM(W762),IF('附表1-面积统计表'!$D$29=0,"",IF(AND(V762="共同成本费用",Z762="总建筑面积法"),ROUND(T762/'附表1-面积统计表'!$D$29*'附表1-面积统计表'!$D$7,2),IF(AND(V762="共同成本费用",Z762="可售建筑面积法"),ROUND(T762/'附表1-面积统计表'!$F$29*'附表1-面积统计表'!$F$7,2),"请手工填写"))))</f>
        <v>491.63</v>
      </c>
      <c r="Z762" s="183" t="s">
        <v>351</v>
      </c>
      <c r="AA762" s="157"/>
      <c r="AB762" s="184" t="s">
        <v>2319</v>
      </c>
      <c r="AC762" s="132">
        <f t="shared" si="88"/>
        <v>0</v>
      </c>
    </row>
    <row r="763" s="20" customFormat="1" ht="30.05" spans="1:29">
      <c r="A763" s="222"/>
      <c r="B763" s="223" t="s">
        <v>4605</v>
      </c>
      <c r="C763" s="224" t="s">
        <v>4608</v>
      </c>
      <c r="D763" s="225" t="s">
        <v>2470</v>
      </c>
      <c r="E763" s="226" t="s">
        <v>3314</v>
      </c>
      <c r="F763" s="227" t="s">
        <v>4568</v>
      </c>
      <c r="G763" s="102"/>
      <c r="H763" s="228"/>
      <c r="I763" s="231"/>
      <c r="J763" s="228"/>
      <c r="K763" s="228"/>
      <c r="L763" s="127"/>
      <c r="M763" s="127"/>
      <c r="N763" s="232"/>
      <c r="O763" s="233"/>
      <c r="P763" s="234">
        <v>4332.06</v>
      </c>
      <c r="Q763" s="233"/>
      <c r="R763" s="167">
        <f t="shared" si="90"/>
        <v>4332.06</v>
      </c>
      <c r="S763" s="178">
        <v>0.338555832480367</v>
      </c>
      <c r="T763" s="167">
        <f t="shared" si="91"/>
        <v>1466.64</v>
      </c>
      <c r="U763" s="228"/>
      <c r="V763" s="179" t="s">
        <v>375</v>
      </c>
      <c r="W763" s="181">
        <f>IF('附表1-面积统计表'!$D$29=0,"",IF(AND(V763="共同成本费用",Z763="总建筑面积法"),ROUND(T763/'附表1-面积统计表'!$D$29*'附表1-面积统计表'!$D$5,2),IF(AND(V763="共同成本费用",Z763="可售建筑面积法"),ROUND(T763/'附表1-面积统计表'!$F$29*'附表1-面积统计表'!$F$5,2),"请手工填写")))</f>
        <v>710.53</v>
      </c>
      <c r="X763" s="181">
        <f>IF(SUM('附表1-面积统计表'!$D$6)=0,"",SUM(T763)-SUM(W763)-SUM(Y763))</f>
        <v>470.11</v>
      </c>
      <c r="Y763" s="181">
        <f>IF(SUM('附表1-面积统计表'!$D$6)=0,SUM(T763)-SUM(W763),IF('附表1-面积统计表'!$D$29=0,"",IF(AND(V763="共同成本费用",Z763="总建筑面积法"),ROUND(T763/'附表1-面积统计表'!$D$29*'附表1-面积统计表'!$D$7,2),IF(AND(V763="共同成本费用",Z763="可售建筑面积法"),ROUND(T763/'附表1-面积统计表'!$F$29*'附表1-面积统计表'!$F$7,2),"请手工填写"))))</f>
        <v>286</v>
      </c>
      <c r="Z763" s="183" t="s">
        <v>351</v>
      </c>
      <c r="AA763" s="157"/>
      <c r="AB763" s="184" t="s">
        <v>2319</v>
      </c>
      <c r="AC763" s="132">
        <f t="shared" si="88"/>
        <v>0</v>
      </c>
    </row>
    <row r="764" s="20" customFormat="1" ht="30.05" spans="1:29">
      <c r="A764" s="222"/>
      <c r="B764" s="223" t="s">
        <v>4609</v>
      </c>
      <c r="C764" s="224" t="s">
        <v>4392</v>
      </c>
      <c r="D764" s="225" t="s">
        <v>2470</v>
      </c>
      <c r="E764" s="226" t="s">
        <v>3314</v>
      </c>
      <c r="F764" s="229" t="s">
        <v>4610</v>
      </c>
      <c r="G764" s="102"/>
      <c r="H764" s="228"/>
      <c r="I764" s="231"/>
      <c r="J764" s="228"/>
      <c r="K764" s="228"/>
      <c r="L764" s="127"/>
      <c r="M764" s="127"/>
      <c r="N764" s="232"/>
      <c r="O764" s="233"/>
      <c r="P764" s="235">
        <v>133170</v>
      </c>
      <c r="Q764" s="233"/>
      <c r="R764" s="167">
        <f t="shared" si="90"/>
        <v>133170</v>
      </c>
      <c r="S764" s="178">
        <v>0.338555832480367</v>
      </c>
      <c r="T764" s="167">
        <f t="shared" si="91"/>
        <v>45085.48</v>
      </c>
      <c r="U764" s="228"/>
      <c r="V764" s="179" t="s">
        <v>375</v>
      </c>
      <c r="W764" s="181">
        <f>IF('附表1-面积统计表'!$D$29=0,"",IF(AND(V764="共同成本费用",Z764="总建筑面积法"),ROUND(T764/'附表1-面积统计表'!$D$29*'附表1-面积统计表'!$D$5,2),IF(AND(V764="共同成本费用",Z764="可售建筑面积法"),ROUND(T764/'附表1-面积统计表'!$F$29*'附表1-面积统计表'!$F$5,2),"请手工填写")))</f>
        <v>21842.25</v>
      </c>
      <c r="X764" s="181">
        <f>IF(SUM('附表1-面积统计表'!$D$6)=0,"",SUM(T764)-SUM(W764)-SUM(Y764))</f>
        <v>14451.43</v>
      </c>
      <c r="Y764" s="181">
        <f>IF(SUM('附表1-面积统计表'!$D$6)=0,SUM(T764)-SUM(W764),IF('附表1-面积统计表'!$D$29=0,"",IF(AND(V764="共同成本费用",Z764="总建筑面积法"),ROUND(T764/'附表1-面积统计表'!$D$29*'附表1-面积统计表'!$D$7,2),IF(AND(V764="共同成本费用",Z764="可售建筑面积法"),ROUND(T764/'附表1-面积统计表'!$F$29*'附表1-面积统计表'!$F$7,2),"请手工填写"))))</f>
        <v>8791.8</v>
      </c>
      <c r="Z764" s="183" t="s">
        <v>351</v>
      </c>
      <c r="AA764" s="157"/>
      <c r="AB764" s="184" t="s">
        <v>2319</v>
      </c>
      <c r="AC764" s="132">
        <f t="shared" si="88"/>
        <v>0</v>
      </c>
    </row>
    <row r="765" s="20" customFormat="1" ht="30.05" spans="1:29">
      <c r="A765" s="222"/>
      <c r="B765" s="223" t="s">
        <v>4611</v>
      </c>
      <c r="C765" s="224" t="s">
        <v>4612</v>
      </c>
      <c r="D765" s="225" t="s">
        <v>2470</v>
      </c>
      <c r="E765" s="226" t="s">
        <v>3314</v>
      </c>
      <c r="F765" s="229" t="s">
        <v>4600</v>
      </c>
      <c r="G765" s="102"/>
      <c r="H765" s="228"/>
      <c r="I765" s="231"/>
      <c r="J765" s="228"/>
      <c r="K765" s="228"/>
      <c r="L765" s="127"/>
      <c r="M765" s="127"/>
      <c r="N765" s="232"/>
      <c r="O765" s="233"/>
      <c r="P765" s="235">
        <v>125915.13</v>
      </c>
      <c r="Q765" s="233"/>
      <c r="R765" s="167">
        <f t="shared" si="90"/>
        <v>125915.13</v>
      </c>
      <c r="S765" s="178">
        <v>0.338555832480367</v>
      </c>
      <c r="T765" s="167">
        <f t="shared" si="91"/>
        <v>42629.3</v>
      </c>
      <c r="U765" s="228"/>
      <c r="V765" s="179" t="s">
        <v>375</v>
      </c>
      <c r="W765" s="181">
        <f>IF('附表1-面积统计表'!$D$29=0,"",IF(AND(V765="共同成本费用",Z765="总建筑面积法"),ROUND(T765/'附表1-面积统计表'!$D$29*'附表1-面积统计表'!$D$5,2),IF(AND(V765="共同成本费用",Z765="可售建筑面积法"),ROUND(T765/'附表1-面积统计表'!$F$29*'附表1-面积统计表'!$F$5,2),"请手工填写")))</f>
        <v>20652.32</v>
      </c>
      <c r="X765" s="181">
        <f>IF(SUM('附表1-面积统计表'!$D$6)=0,"",SUM(T765)-SUM(W765)-SUM(Y765))</f>
        <v>13664.15</v>
      </c>
      <c r="Y765" s="181">
        <f>IF(SUM('附表1-面积统计表'!$D$6)=0,SUM(T765)-SUM(W765),IF('附表1-面积统计表'!$D$29=0,"",IF(AND(V765="共同成本费用",Z765="总建筑面积法"),ROUND(T765/'附表1-面积统计表'!$D$29*'附表1-面积统计表'!$D$7,2),IF(AND(V765="共同成本费用",Z765="可售建筑面积法"),ROUND(T765/'附表1-面积统计表'!$F$29*'附表1-面积统计表'!$F$7,2),"请手工填写"))))</f>
        <v>8312.83</v>
      </c>
      <c r="Z765" s="183" t="s">
        <v>351</v>
      </c>
      <c r="AA765" s="157"/>
      <c r="AB765" s="184" t="s">
        <v>2319</v>
      </c>
      <c r="AC765" s="132">
        <f t="shared" si="88"/>
        <v>0</v>
      </c>
    </row>
    <row r="766" s="20" customFormat="1" ht="30.05" spans="1:29">
      <c r="A766" s="222"/>
      <c r="B766" s="223" t="s">
        <v>4613</v>
      </c>
      <c r="C766" s="224" t="s">
        <v>4614</v>
      </c>
      <c r="D766" s="225" t="s">
        <v>2470</v>
      </c>
      <c r="E766" s="226" t="s">
        <v>3314</v>
      </c>
      <c r="F766" s="229" t="s">
        <v>4615</v>
      </c>
      <c r="G766" s="102"/>
      <c r="H766" s="228"/>
      <c r="I766" s="231"/>
      <c r="J766" s="228"/>
      <c r="K766" s="228"/>
      <c r="L766" s="127"/>
      <c r="M766" s="127"/>
      <c r="N766" s="232"/>
      <c r="O766" s="233"/>
      <c r="P766" s="235">
        <v>32831</v>
      </c>
      <c r="Q766" s="233"/>
      <c r="R766" s="167">
        <f t="shared" si="90"/>
        <v>32831</v>
      </c>
      <c r="S766" s="178">
        <v>0.338555832480367</v>
      </c>
      <c r="T766" s="167">
        <f t="shared" si="91"/>
        <v>11115.13</v>
      </c>
      <c r="U766" s="228"/>
      <c r="V766" s="179" t="s">
        <v>375</v>
      </c>
      <c r="W766" s="181">
        <f>IF('附表1-面积统计表'!$D$29=0,"",IF(AND(V766="共同成本费用",Z766="总建筑面积法"),ROUND(T766/'附表1-面积统计表'!$D$29*'附表1-面积统计表'!$D$5,2),IF(AND(V766="共同成本费用",Z766="可售建筑面积法"),ROUND(T766/'附表1-面积统计表'!$F$29*'附表1-面积统计表'!$F$5,2),"请手工填写")))</f>
        <v>5384.87</v>
      </c>
      <c r="X766" s="181">
        <f>IF(SUM('附表1-面积统计表'!$D$6)=0,"",SUM(T766)-SUM(W766)-SUM(Y766))</f>
        <v>3562.78</v>
      </c>
      <c r="Y766" s="181">
        <f>IF(SUM('附表1-面积统计表'!$D$6)=0,SUM(T766)-SUM(W766),IF('附表1-面积统计表'!$D$29=0,"",IF(AND(V766="共同成本费用",Z766="总建筑面积法"),ROUND(T766/'附表1-面积统计表'!$D$29*'附表1-面积统计表'!$D$7,2),IF(AND(V766="共同成本费用",Z766="可售建筑面积法"),ROUND(T766/'附表1-面积统计表'!$F$29*'附表1-面积统计表'!$F$7,2),"请手工填写"))))</f>
        <v>2167.48</v>
      </c>
      <c r="Z766" s="183" t="s">
        <v>351</v>
      </c>
      <c r="AA766" s="157"/>
      <c r="AB766" s="184" t="s">
        <v>2319</v>
      </c>
      <c r="AC766" s="132">
        <f t="shared" si="88"/>
        <v>0</v>
      </c>
    </row>
    <row r="767" s="132" customFormat="1" ht="24" customHeight="1" spans="1:29">
      <c r="A767" s="150">
        <v>278</v>
      </c>
      <c r="B767" s="166" t="s">
        <v>4616</v>
      </c>
      <c r="C767" s="166" t="s">
        <v>4617</v>
      </c>
      <c r="D767" s="157" t="s">
        <v>2533</v>
      </c>
      <c r="E767" s="158" t="s">
        <v>2564</v>
      </c>
      <c r="F767" s="189" t="s">
        <v>3171</v>
      </c>
      <c r="G767" s="156" t="s">
        <v>2952</v>
      </c>
      <c r="H767" s="157" t="str">
        <f>IF(G767="","",VLOOKUP(G767,'[3]附表8-合同明细采集底稿'!B:I,2,0))</f>
        <v>承揽合同（铝合金窗28.29.30）</v>
      </c>
      <c r="I767" s="165" t="str">
        <f>IF(G767="","",VLOOKUP(G767,'[3]附表8-合同明细采集底稿'!B:I,3,0))</f>
        <v>买卖合同</v>
      </c>
      <c r="J767" s="187" t="s">
        <v>2556</v>
      </c>
      <c r="K767" s="157" t="s">
        <v>2355</v>
      </c>
      <c r="L767" s="191">
        <v>6500193130</v>
      </c>
      <c r="M767" s="155" t="s">
        <v>4618</v>
      </c>
      <c r="N767" s="167">
        <v>162344.06</v>
      </c>
      <c r="O767" s="167">
        <f>N767*1.13</f>
        <v>183448.7878</v>
      </c>
      <c r="P767" s="167">
        <f>N767</f>
        <v>162344.06</v>
      </c>
      <c r="Q767" s="167"/>
      <c r="R767" s="167">
        <f>P767</f>
        <v>162344.06</v>
      </c>
      <c r="S767" s="178">
        <f>IFERROR(VLOOKUP(G767,'[3]附表8-合同明细采集底稿'!B:N,12,0),100%)</f>
        <v>1</v>
      </c>
      <c r="T767" s="167">
        <f t="shared" si="91"/>
        <v>162344.06</v>
      </c>
      <c r="U767" s="157" t="s">
        <v>2416</v>
      </c>
      <c r="V767" s="179" t="s">
        <v>374</v>
      </c>
      <c r="W767" s="182">
        <f>ROUND(T767*成本分摊比例!$G$13/(成本分摊比例!$G$13+成本分摊比例!$H$13+成本分摊比例!$I$13),2)</f>
        <v>87714.78</v>
      </c>
      <c r="X767" s="182">
        <f>ROUND(T767*成本分摊比例!$H$13/(成本分摊比例!$G$13+成本分摊比例!$H$13+成本分摊比例!$I$13),2)</f>
        <v>58034.52</v>
      </c>
      <c r="Y767" s="182">
        <f>T767-W767-X767</f>
        <v>16594.76</v>
      </c>
      <c r="Z767" s="183" t="s">
        <v>351</v>
      </c>
      <c r="AA767" s="157"/>
      <c r="AB767" s="184" t="s">
        <v>2319</v>
      </c>
      <c r="AC767" s="132">
        <f t="shared" si="88"/>
        <v>0</v>
      </c>
    </row>
    <row r="768" s="132" customFormat="1" ht="24" customHeight="1" spans="1:29">
      <c r="A768" s="150">
        <v>278</v>
      </c>
      <c r="B768" s="166" t="s">
        <v>4616</v>
      </c>
      <c r="C768" s="166" t="s">
        <v>4617</v>
      </c>
      <c r="D768" s="157" t="s">
        <v>2533</v>
      </c>
      <c r="E768" s="158" t="s">
        <v>2564</v>
      </c>
      <c r="F768" s="189" t="s">
        <v>3171</v>
      </c>
      <c r="G768" s="91" t="s">
        <v>4086</v>
      </c>
      <c r="H768" s="157" t="str">
        <f>IF(G768="","",VLOOKUP(G768,'[3]附表8-合同明细采集底稿'!B:I,2,0))</f>
        <v>承揽合同（铝合金窗32.33）</v>
      </c>
      <c r="I768" s="165" t="str">
        <f>IF(G768="","",VLOOKUP(G768,'[3]附表8-合同明细采集底稿'!B:I,3,0))</f>
        <v>买卖合同</v>
      </c>
      <c r="J768" s="187" t="s">
        <v>2556</v>
      </c>
      <c r="K768" s="157" t="s">
        <v>2355</v>
      </c>
      <c r="L768" s="191">
        <v>6500193130</v>
      </c>
      <c r="M768" s="155" t="s">
        <v>4618</v>
      </c>
      <c r="N768" s="167">
        <v>70752.05</v>
      </c>
      <c r="O768" s="167">
        <v>79949.8</v>
      </c>
      <c r="P768" s="167">
        <v>70752.05</v>
      </c>
      <c r="Q768" s="167"/>
      <c r="R768" s="167">
        <f>P768</f>
        <v>70752.05</v>
      </c>
      <c r="S768" s="178">
        <f>IFERROR(VLOOKUP(G768,'[3]附表8-合同明细采集底稿'!B:N,12,0),100%)</f>
        <v>1</v>
      </c>
      <c r="T768" s="167">
        <f t="shared" si="91"/>
        <v>70752.05</v>
      </c>
      <c r="U768" s="157" t="s">
        <v>2416</v>
      </c>
      <c r="V768" s="179" t="s">
        <v>374</v>
      </c>
      <c r="W768" s="182">
        <f>ROUND(T768*成本分摊比例!$G$13/(成本分摊比例!$G$13+成本分摊比例!$H$13+成本分摊比例!$I$13),2)</f>
        <v>38227.46</v>
      </c>
      <c r="X768" s="182">
        <f>ROUND(T768*成本分摊比例!$H$13/(成本分摊比例!$G$13+成本分摊比例!$H$13+成本分摊比例!$I$13),2)</f>
        <v>25292.34</v>
      </c>
      <c r="Y768" s="182">
        <f>T768-W768-X768</f>
        <v>7232.25</v>
      </c>
      <c r="Z768" s="183" t="s">
        <v>351</v>
      </c>
      <c r="AA768" s="157"/>
      <c r="AB768" s="184" t="s">
        <v>2319</v>
      </c>
      <c r="AC768" s="132">
        <f t="shared" si="88"/>
        <v>0</v>
      </c>
    </row>
  </sheetData>
  <mergeCells count="2">
    <mergeCell ref="A1:AB1"/>
    <mergeCell ref="A2:AB2"/>
  </mergeCells>
  <conditionalFormatting sqref="G346">
    <cfRule type="duplicateValues" dxfId="0" priority="92"/>
  </conditionalFormatting>
  <conditionalFormatting sqref="G699">
    <cfRule type="duplicateValues" dxfId="0" priority="95"/>
  </conditionalFormatting>
  <conditionalFormatting sqref="G701">
    <cfRule type="duplicateValues" dxfId="0" priority="41"/>
  </conditionalFormatting>
  <conditionalFormatting sqref="G703">
    <cfRule type="duplicateValues" dxfId="0" priority="85"/>
  </conditionalFormatting>
  <conditionalFormatting sqref="G704">
    <cfRule type="duplicateValues" dxfId="0" priority="84"/>
  </conditionalFormatting>
  <conditionalFormatting sqref="G705">
    <cfRule type="duplicateValues" dxfId="0" priority="82"/>
  </conditionalFormatting>
  <conditionalFormatting sqref="G706">
    <cfRule type="duplicateValues" dxfId="0" priority="80"/>
  </conditionalFormatting>
  <conditionalFormatting sqref="G708">
    <cfRule type="duplicateValues" dxfId="0" priority="40"/>
  </conditionalFormatting>
  <conditionalFormatting sqref="G709">
    <cfRule type="duplicateValues" dxfId="0" priority="35"/>
  </conditionalFormatting>
  <conditionalFormatting sqref="U709">
    <cfRule type="duplicateValues" dxfId="0" priority="32"/>
  </conditionalFormatting>
  <conditionalFormatting sqref="G710">
    <cfRule type="duplicateValues" dxfId="0" priority="6"/>
  </conditionalFormatting>
  <conditionalFormatting sqref="U710">
    <cfRule type="duplicateValues" dxfId="0" priority="5"/>
  </conditionalFormatting>
  <conditionalFormatting sqref="G712">
    <cfRule type="duplicateValues" dxfId="0" priority="33"/>
  </conditionalFormatting>
  <conditionalFormatting sqref="U712">
    <cfRule type="duplicateValues" dxfId="0" priority="31"/>
  </conditionalFormatting>
  <conditionalFormatting sqref="G713">
    <cfRule type="duplicateValues" dxfId="0" priority="3"/>
  </conditionalFormatting>
  <conditionalFormatting sqref="U713">
    <cfRule type="duplicateValues" dxfId="0" priority="2"/>
  </conditionalFormatting>
  <conditionalFormatting sqref="G714">
    <cfRule type="duplicateValues" dxfId="0" priority="34"/>
  </conditionalFormatting>
  <conditionalFormatting sqref="G716">
    <cfRule type="duplicateValues" dxfId="0" priority="29"/>
  </conditionalFormatting>
  <conditionalFormatting sqref="G719">
    <cfRule type="duplicateValues" dxfId="0" priority="23"/>
  </conditionalFormatting>
  <conditionalFormatting sqref="G725">
    <cfRule type="duplicateValues" dxfId="0" priority="15"/>
  </conditionalFormatting>
  <conditionalFormatting sqref="N717:N718">
    <cfRule type="duplicateValues" dxfId="0" priority="26"/>
  </conditionalFormatting>
  <dataValidations count="12">
    <dataValidation type="list" allowBlank="1" showInputMessage="1" showErrorMessage="1" sqref="E210 E15:E208 E212:E237 E239:E289 E291:E381 E383:E392 E394:E575 E577:E649 E651:E688 E699:E700">
      <formula1>OFFSET([1]数据对照表!#REF!,,MATCH($D15,[1]数据对照表!#REF!,0)-1,COUNTA(OFFSET([1]数据对照表!#REF!,,MATCH($D15,[1]数据对照表!#REF!,0)-1,255)))</formula1>
    </dataValidation>
    <dataValidation type="list" showInputMessage="1" showErrorMessage="1" sqref="G624 G7:G8 G15:G93 G97:G114 G116:G221 G223:G296 G298:G345 G347:G358 G360:G566 G568:G622 G626:G688">
      <formula1>OFFSET('[1]附表8-合同明细采集底稿'!#REF!,,,COUNTA('[1]附表8-合同明细采集底稿'!#REF!),1)</formula1>
    </dataValidation>
    <dataValidation type="list" allowBlank="1" showInputMessage="1" showErrorMessage="1" sqref="E650 E7:E14 E689:E698 E701:E766 E769:E1048576">
      <formula1>OFFSET(数据对照表!$B$2,,MATCH($D7,数据对照表!$B$1:$I$1,0)-1,COUNTA(OFFSET(数据对照表!$B$2,,MATCH($D7,数据对照表!$B$1:$I$1,0)-1,255)))</formula1>
    </dataValidation>
    <dataValidation type="list" allowBlank="1" showInputMessage="1" showErrorMessage="1" sqref="K669 K7:K14 K689:K690 K693:K766 K769:K1048576">
      <formula1>OFFSET(数据对照表!$J$2,,,COUNTA(数据对照表!J:J)-1,1)</formula1>
    </dataValidation>
    <dataValidation allowBlank="1" showInputMessage="1" sqref="H699:I699 H704:J704 J689:J690 H700:J701 H717:I718 H767:I768 H708:J716 H7:I690 H702:I703 H705:I707 H691:J698 H719:J732"/>
    <dataValidation type="list" showInputMessage="1" showErrorMessage="1" sqref="G702 G689:G690 G693:G697 G717:G718 G733:G766 G769:G1048576">
      <formula1>OFFSET('附表8-合同明细采集底稿'!$B$6,,,COUNTA('附表8-合同明细采集底稿'!$B$6:$B$236),1)</formula1>
    </dataValidation>
    <dataValidation type="list" allowBlank="1" showInputMessage="1" showErrorMessage="1" sqref="D7:D14 D689:D698 D701:D766 D769:D1048576">
      <formula1>OFFSET(数据对照表!$B$1,,,1,COUNTA(数据对照表!$B$1:$I$1))</formula1>
    </dataValidation>
    <dataValidation type="list" allowBlank="1" showInputMessage="1" showErrorMessage="1" sqref="D15:D289 D291:D381 D383:D392 D394:D575 D577:D649 D651:D688 D699:D700 V7:V391 V393:V690 V693:V694">
      <formula1>OFFSET([1]数据对照表!#REF!,,,1,COUNTA([1]数据对照表!#REF!))</formula1>
    </dataValidation>
    <dataValidation type="list" allowBlank="1" showInputMessage="1" showErrorMessage="1" sqref="K15:K53 K55:K319 K321:K346 K349:K371 K374:K386 K388:K396 K398:K413 K415:K668 K670:K688 K691:K692">
      <formula1>OFFSET([1]数据对照表!#REF!,,,COUNTA([1]数据对照表!#REF!)-1,1)</formula1>
    </dataValidation>
    <dataValidation type="list" allowBlank="1" showInputMessage="1" showErrorMessage="1" sqref="V691:V692 V695:V766 V769:V1048576">
      <formula1>OFFSET(数据对照表!$K$1,,,1,COUNTA(数据对照表!$K$1:$L$1))</formula1>
    </dataValidation>
    <dataValidation type="list" allowBlank="1" showInputMessage="1" showErrorMessage="1" sqref="Z7:Z1048576">
      <formula1>OFFSET(数据对照表!$K$2,,MATCH($V7,数据对照表!$K$1:$L$1,0)-1,COUNTA(OFFSET(数据对照表!$K$2,,MATCH($V7,数据对照表!$K$1:$L$1,0)-1,255)))</formula1>
    </dataValidation>
    <dataValidation type="list" allowBlank="1" showInputMessage="1" showErrorMessage="1" sqref="AB7:AB766 AB769:AB1048576">
      <formula1>OFFSET(数据对照表!$M$2,,MATCH($D7,数据对照表!$M$1:$T$1,0)-1,COUNTA(OFFSET(数据对照表!$M$2,,MATCH($D7,数据对照表!$M$1:$T$1,0)-1,255)))</formula1>
    </dataValidation>
  </dataValidations>
  <printOptions horizontalCentered="1"/>
  <pageMargins left="0.747916666666667" right="0.511805555555556" top="0.984027777777778" bottom="0.984027777777778" header="0.511805555555556" footer="0.511805555555556"/>
  <pageSetup paperSize="9" scale="32" fitToHeight="0" orientation="landscape"/>
  <headerFooter>
    <oddFooter>&amp;C第 &amp;P 页，共 &amp;N 页</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pageSetUpPr fitToPage="1"/>
  </sheetPr>
  <dimension ref="A1:AB275"/>
  <sheetViews>
    <sheetView workbookViewId="0">
      <pane xSplit="4" ySplit="5" topLeftCell="H6" activePane="bottomRight" state="frozen"/>
      <selection/>
      <selection pane="topRight"/>
      <selection pane="bottomLeft"/>
      <selection pane="bottomRight" activeCell="B5" sqref="$A5:$XFD5"/>
    </sheetView>
  </sheetViews>
  <sheetFormatPr defaultColWidth="8.8768115942029" defaultRowHeight="17.5"/>
  <cols>
    <col min="1" max="1" width="5.6231884057971" style="81" customWidth="1"/>
    <col min="2" max="2" width="9.3768115942029" style="81" customWidth="1"/>
    <col min="3" max="3" width="30.5" style="81" customWidth="1"/>
    <col min="4" max="4" width="9.3768115942029" style="82" customWidth="1"/>
    <col min="5" max="5" width="21.9130434782609" style="83" customWidth="1"/>
    <col min="6" max="6" width="9.3768115942029" style="83" customWidth="1"/>
    <col min="7" max="7" width="14.2536231884058" style="83" customWidth="1"/>
    <col min="8" max="8" width="12.8333333333333" style="84" customWidth="1"/>
    <col min="9" max="9" width="9.3768115942029" style="84" customWidth="1"/>
    <col min="10" max="11" width="8.8768115942029" style="83"/>
    <col min="12" max="12" width="12" style="83" customWidth="1"/>
    <col min="13" max="13" width="8.8768115942029" style="83"/>
    <col min="14" max="14" width="13.2028985507246" style="83" customWidth="1"/>
    <col min="15" max="15" width="8.8768115942029" style="83"/>
    <col min="16" max="16" width="13.4057971014493" style="83" customWidth="1"/>
    <col min="17" max="17" width="11.7971014492754" style="83" customWidth="1"/>
    <col min="18" max="18" width="9" style="83" customWidth="1"/>
    <col min="19" max="19" width="23.9057971014493" style="83" customWidth="1"/>
    <col min="20" max="21" width="10.2028985507246" style="83" customWidth="1"/>
    <col min="22" max="16384" width="8.8768115942029" style="83"/>
  </cols>
  <sheetData>
    <row r="1" ht="21.3" spans="1:28">
      <c r="A1" s="85" t="s">
        <v>4619</v>
      </c>
      <c r="B1" s="85"/>
      <c r="C1" s="85"/>
      <c r="D1" s="85"/>
      <c r="E1" s="85"/>
      <c r="F1" s="85"/>
      <c r="G1" s="85"/>
      <c r="H1" s="85"/>
      <c r="I1" s="85"/>
      <c r="J1" s="85"/>
      <c r="K1" s="85"/>
      <c r="L1" s="85"/>
      <c r="M1" s="85"/>
      <c r="N1" s="85"/>
      <c r="O1" s="85"/>
      <c r="P1" s="85"/>
      <c r="Q1" s="85"/>
      <c r="R1" s="85"/>
      <c r="S1" s="85"/>
      <c r="T1" s="85"/>
      <c r="U1" s="85"/>
      <c r="V1" s="85"/>
      <c r="W1" s="85"/>
      <c r="X1" s="85"/>
      <c r="Y1" s="85"/>
      <c r="Z1" s="85"/>
      <c r="AA1" s="85"/>
      <c r="AB1" s="85"/>
    </row>
    <row r="2" spans="1:28">
      <c r="A2" s="86" t="str">
        <f>土地增值税税源明细表!F5&amp;"："&amp;土地增值税税源明细表!H5&amp;"          "&amp;土地增值税税源明细表!A5&amp;"："&amp;土地增值税税源明细表!B5&amp;"          "&amp;"金额单位:人民币元(列至角分)"</f>
        <v>项目编码：Z65280120190027          项目名称：沁春锦苑19#、20#、23#、24#楼          金额单位:人民币元(列至角分)</v>
      </c>
      <c r="B2" s="86"/>
      <c r="C2" s="86"/>
      <c r="D2" s="86"/>
      <c r="E2" s="86"/>
      <c r="F2" s="86"/>
      <c r="G2" s="86"/>
      <c r="H2" s="86"/>
      <c r="I2" s="86"/>
      <c r="J2" s="86"/>
      <c r="K2" s="86"/>
      <c r="L2" s="86"/>
      <c r="M2" s="86"/>
      <c r="N2" s="86"/>
      <c r="O2" s="86"/>
      <c r="P2" s="86"/>
      <c r="Q2" s="86"/>
      <c r="R2" s="86"/>
      <c r="S2" s="86"/>
      <c r="T2" s="86"/>
      <c r="U2" s="86"/>
      <c r="V2" s="86"/>
      <c r="W2" s="86"/>
      <c r="X2" s="86"/>
      <c r="Y2" s="86"/>
      <c r="Z2" s="86"/>
      <c r="AA2" s="86"/>
      <c r="AB2" s="86"/>
    </row>
    <row r="3" spans="1:28">
      <c r="A3" s="87" t="s">
        <v>33</v>
      </c>
      <c r="B3" s="87" t="s">
        <v>4620</v>
      </c>
      <c r="C3" s="87" t="s">
        <v>4621</v>
      </c>
      <c r="D3" s="87" t="s">
        <v>2289</v>
      </c>
      <c r="E3" s="87" t="s">
        <v>4622</v>
      </c>
      <c r="F3" s="87" t="s">
        <v>4623</v>
      </c>
      <c r="G3" s="87" t="s">
        <v>400</v>
      </c>
      <c r="H3" s="87" t="s">
        <v>4624</v>
      </c>
      <c r="I3" s="87" t="s">
        <v>4625</v>
      </c>
      <c r="J3" s="87" t="s">
        <v>4626</v>
      </c>
      <c r="K3" s="87" t="s">
        <v>4627</v>
      </c>
      <c r="L3" s="109" t="s">
        <v>4628</v>
      </c>
      <c r="M3" s="109"/>
      <c r="N3" s="109"/>
      <c r="O3" s="109"/>
      <c r="P3" s="109"/>
      <c r="Q3" s="109"/>
      <c r="R3" s="109"/>
      <c r="S3" s="109"/>
      <c r="T3" s="109"/>
      <c r="U3" s="109"/>
      <c r="V3" s="109"/>
      <c r="W3" s="109"/>
      <c r="X3" s="109"/>
      <c r="Y3" s="109"/>
      <c r="Z3" s="109"/>
      <c r="AA3" s="109"/>
      <c r="AB3" s="109"/>
    </row>
    <row r="4" ht="45.1" spans="1:28">
      <c r="A4" s="87"/>
      <c r="B4" s="87"/>
      <c r="C4" s="87"/>
      <c r="D4" s="87"/>
      <c r="E4" s="87"/>
      <c r="F4" s="87"/>
      <c r="G4" s="87"/>
      <c r="H4" s="87"/>
      <c r="I4" s="87"/>
      <c r="J4" s="87"/>
      <c r="K4" s="87"/>
      <c r="L4" s="110" t="s">
        <v>4629</v>
      </c>
      <c r="M4" s="111" t="s">
        <v>4630</v>
      </c>
      <c r="N4" s="110" t="s">
        <v>4631</v>
      </c>
      <c r="O4" s="110" t="s">
        <v>4632</v>
      </c>
      <c r="P4" s="110" t="s">
        <v>4633</v>
      </c>
      <c r="Q4" s="110" t="s">
        <v>4634</v>
      </c>
      <c r="R4" s="110" t="s">
        <v>368</v>
      </c>
      <c r="S4" s="110" t="s">
        <v>4635</v>
      </c>
      <c r="T4" s="110"/>
      <c r="U4" s="110"/>
      <c r="V4" s="110"/>
      <c r="W4" s="110"/>
      <c r="X4" s="110"/>
      <c r="Y4" s="110"/>
      <c r="Z4" s="110"/>
      <c r="AA4" s="110"/>
      <c r="AB4" s="110"/>
    </row>
    <row r="5" spans="1:28">
      <c r="A5" s="88"/>
      <c r="B5" s="559" t="s">
        <v>38</v>
      </c>
      <c r="C5" s="89">
        <v>2</v>
      </c>
      <c r="D5" s="559" t="s">
        <v>44</v>
      </c>
      <c r="E5" s="559" t="s">
        <v>47</v>
      </c>
      <c r="F5" s="559" t="s">
        <v>92</v>
      </c>
      <c r="G5" s="559" t="s">
        <v>97</v>
      </c>
      <c r="H5" s="559" t="s">
        <v>100</v>
      </c>
      <c r="I5" s="559" t="s">
        <v>105</v>
      </c>
      <c r="J5" s="559" t="s">
        <v>109</v>
      </c>
      <c r="K5" s="559" t="s">
        <v>112</v>
      </c>
      <c r="L5" s="559" t="s">
        <v>115</v>
      </c>
      <c r="M5" s="559" t="s">
        <v>118</v>
      </c>
      <c r="N5" s="559" t="s">
        <v>121</v>
      </c>
      <c r="O5" s="559" t="s">
        <v>124</v>
      </c>
      <c r="P5" s="559" t="s">
        <v>127</v>
      </c>
      <c r="Q5" s="559" t="s">
        <v>4636</v>
      </c>
      <c r="R5" s="559" t="s">
        <v>356</v>
      </c>
      <c r="S5" s="116" t="s">
        <v>4637</v>
      </c>
      <c r="T5" s="116" t="s">
        <v>4638</v>
      </c>
      <c r="U5" s="116" t="s">
        <v>4639</v>
      </c>
      <c r="V5" s="116" t="s">
        <v>4640</v>
      </c>
      <c r="W5" s="116" t="s">
        <v>4641</v>
      </c>
      <c r="X5" s="116" t="s">
        <v>4642</v>
      </c>
      <c r="Y5" s="116" t="s">
        <v>4643</v>
      </c>
      <c r="Z5" s="116" t="s">
        <v>4644</v>
      </c>
      <c r="AA5" s="116" t="s">
        <v>4645</v>
      </c>
      <c r="AB5" s="116" t="s">
        <v>4646</v>
      </c>
    </row>
    <row r="6" s="80" customFormat="1" ht="30.05" spans="1:28">
      <c r="A6" s="90">
        <v>35</v>
      </c>
      <c r="B6" s="91" t="s">
        <v>2614</v>
      </c>
      <c r="C6" s="92" t="s">
        <v>4647</v>
      </c>
      <c r="D6" s="93" t="s">
        <v>4648</v>
      </c>
      <c r="E6" s="94" t="s">
        <v>4649</v>
      </c>
      <c r="F6" s="95">
        <v>43454</v>
      </c>
      <c r="G6" s="96">
        <v>3657869.03</v>
      </c>
      <c r="H6" s="97">
        <v>3355843.15</v>
      </c>
      <c r="I6" s="96" t="s">
        <v>4650</v>
      </c>
      <c r="J6" s="90" t="s">
        <v>4650</v>
      </c>
      <c r="K6" s="90" t="s">
        <v>4650</v>
      </c>
      <c r="L6" s="90"/>
      <c r="M6" s="112">
        <f>IFERROR(IF(COUNTIFS(S6:AB6,清算项目基本情况表!$D$6)&gt;=1,IF(L6="占地面积法",ROUND(SUM('附表4-项目间分摊信息采集表'!$E$5)/SUMPRODUCT(SUMIFS('附表4-项目间分摊信息采集表'!$E:$E,'附表4-项目间分摊信息采集表'!$B:$B,S6:AB6)),20),IF(L6="测绘总建筑面积法",ROUND(SUM('附表4-项目间分摊信息采集表'!$F$5)/SUMPRODUCT(SUMIFS('附表4-项目间分摊信息采集表'!$F:$F,'附表4-项目间分摊信息采集表'!$B:$B,S6:AB6)),20),IF(L6="可售建筑面积法",ROUND(SUM('附表4-项目间分摊信息采集表'!$G$5)/SUMPRODUCT(SUMIFS('附表4-项目间分摊信息采集表'!$G:$G,'附表4-项目间分摊信息采集表'!$B:$B,S6:AB6)),20),IF(L6="其他分摊方法",ROUND(SUM('附表4-项目间分摊信息采集表'!$H$5)/SUMPRODUCT(SUMIFS('附表4-项目间分摊信息采集表'!$H:$H,'附表4-项目间分摊信息采集表'!$B:$B,S6:AB6)),20),IF(L6="手工填写分摊比例","请填写分摊比例",100%))))),IF(COUNTA(S6:AB6)&gt;=1,0%,100%)),100%)</f>
        <v>1</v>
      </c>
      <c r="N6" s="97">
        <f>SUMIFS('附表7-扣除项目明细采集底稿'!$R:$R,'附表7-扣除项目明细采集底稿'!$G:$G,B6)</f>
        <v>3355843.15229358</v>
      </c>
      <c r="O6" s="90" t="s">
        <v>4651</v>
      </c>
      <c r="P6" s="113">
        <f>SUMIFS('附表7-扣除项目明细采集底稿'!$T:$T,'附表7-扣除项目明细采集底稿'!$G:$G,$B6)</f>
        <v>3355843.15</v>
      </c>
      <c r="Q6" s="117">
        <f>ROUND(SUM(N6)-SUM(O6)-SUM(P6),2)</f>
        <v>0</v>
      </c>
      <c r="R6" s="118"/>
      <c r="S6" s="90"/>
      <c r="T6" s="90"/>
      <c r="U6" s="90"/>
      <c r="V6" s="90"/>
      <c r="W6" s="90"/>
      <c r="X6" s="90"/>
      <c r="Y6" s="90"/>
      <c r="Z6" s="90"/>
      <c r="AA6" s="90"/>
      <c r="AB6" s="90"/>
    </row>
    <row r="7" s="80" customFormat="1" ht="30.05" spans="1:28">
      <c r="A7" s="90">
        <v>16</v>
      </c>
      <c r="B7" s="91" t="s">
        <v>2900</v>
      </c>
      <c r="C7" s="98" t="s">
        <v>4652</v>
      </c>
      <c r="D7" s="93" t="s">
        <v>4648</v>
      </c>
      <c r="E7" s="94" t="s">
        <v>4653</v>
      </c>
      <c r="F7" s="95">
        <v>43666</v>
      </c>
      <c r="G7" s="96">
        <v>47806688.6</v>
      </c>
      <c r="H7" s="97">
        <v>43632624.25</v>
      </c>
      <c r="I7" s="96" t="s">
        <v>4650</v>
      </c>
      <c r="J7" s="90" t="s">
        <v>4650</v>
      </c>
      <c r="K7" s="90" t="s">
        <v>4650</v>
      </c>
      <c r="L7" s="90"/>
      <c r="M7" s="112">
        <f>IFERROR(IF(COUNTIFS(S7:AB7,清算项目基本情况表!$D$6)&gt;=1,IF(L7="占地面积法",ROUND(SUM('附表4-项目间分摊信息采集表'!$E$5)/SUMPRODUCT(SUMIFS('附表4-项目间分摊信息采集表'!$E:$E,'附表4-项目间分摊信息采集表'!$B:$B,S7:AB7)),20),IF(L7="测绘总建筑面积法",ROUND(SUM('附表4-项目间分摊信息采集表'!$F$5)/SUMPRODUCT(SUMIFS('附表4-项目间分摊信息采集表'!$F:$F,'附表4-项目间分摊信息采集表'!$B:$B,S7:AB7)),20),IF(L7="可售建筑面积法",ROUND(SUM('附表4-项目间分摊信息采集表'!$G$5)/SUMPRODUCT(SUMIFS('附表4-项目间分摊信息采集表'!$G:$G,'附表4-项目间分摊信息采集表'!$B:$B,S7:AB7)),20),IF(L7="其他分摊方法",ROUND(SUM('附表4-项目间分摊信息采集表'!$H$5)/SUMPRODUCT(SUMIFS('附表4-项目间分摊信息采集表'!$H:$H,'附表4-项目间分摊信息采集表'!$B:$B,S7:AB7)),20),IF(L7="手工填写分摊比例","请填写分摊比例",100%))))),IF(COUNTA(S7:AB7)&gt;=1,0%,100%)),100%)</f>
        <v>1</v>
      </c>
      <c r="N7" s="97">
        <f>SUMIFS('附表7-扣除项目明细采集底稿'!$R:$R,'附表7-扣除项目明细采集底稿'!$G:$G,B7)</f>
        <v>43632624.25</v>
      </c>
      <c r="O7" s="90" t="s">
        <v>4651</v>
      </c>
      <c r="P7" s="113">
        <f>SUMIFS('附表7-扣除项目明细采集底稿'!$T:$T,'附表7-扣除项目明细采集底稿'!$G:$G,$B7)</f>
        <v>43632624.25</v>
      </c>
      <c r="Q7" s="117">
        <f t="shared" ref="Q6:Q22" si="0">ROUND(SUM(N7)-SUM(O7)-SUM(P7),2)</f>
        <v>0</v>
      </c>
      <c r="R7" s="118"/>
      <c r="S7" s="90"/>
      <c r="T7" s="90"/>
      <c r="U7" s="90"/>
      <c r="V7" s="90"/>
      <c r="W7" s="90"/>
      <c r="X7" s="90"/>
      <c r="Y7" s="90"/>
      <c r="Z7" s="90"/>
      <c r="AA7" s="90"/>
      <c r="AB7" s="90"/>
    </row>
    <row r="8" s="80" customFormat="1" ht="15.05" spans="1:28">
      <c r="A8" s="90">
        <v>97</v>
      </c>
      <c r="B8" s="91" t="s">
        <v>3153</v>
      </c>
      <c r="C8" s="99" t="s">
        <v>4654</v>
      </c>
      <c r="D8" s="93" t="s">
        <v>4655</v>
      </c>
      <c r="E8" s="99" t="s">
        <v>3154</v>
      </c>
      <c r="F8" s="95">
        <v>44144</v>
      </c>
      <c r="G8" s="96">
        <v>605000</v>
      </c>
      <c r="H8" s="97">
        <v>0</v>
      </c>
      <c r="I8" s="96" t="s">
        <v>4650</v>
      </c>
      <c r="J8" s="90" t="s">
        <v>4650</v>
      </c>
      <c r="K8" s="90" t="s">
        <v>4650</v>
      </c>
      <c r="L8" s="90"/>
      <c r="M8" s="112">
        <f>IFERROR(IF(COUNTIFS(S8:AB8,清算项目基本情况表!$D$6)&gt;=1,IF(L8="占地面积法",ROUND(SUM('附表4-项目间分摊信息采集表'!$E$5)/SUMPRODUCT(SUMIFS('附表4-项目间分摊信息采集表'!$E:$E,'附表4-项目间分摊信息采集表'!$B:$B,S8:AB8)),20),IF(L8="测绘总建筑面积法",ROUND(SUM('附表4-项目间分摊信息采集表'!$F$5)/SUMPRODUCT(SUMIFS('附表4-项目间分摊信息采集表'!$F:$F,'附表4-项目间分摊信息采集表'!$B:$B,S8:AB8)),20),IF(L8="可售建筑面积法",ROUND(SUM('附表4-项目间分摊信息采集表'!$G$5)/SUMPRODUCT(SUMIFS('附表4-项目间分摊信息采集表'!$G:$G,'附表4-项目间分摊信息采集表'!$B:$B,S8:AB8)),20),IF(L8="其他分摊方法",ROUND(SUM('附表4-项目间分摊信息采集表'!$H$5)/SUMPRODUCT(SUMIFS('附表4-项目间分摊信息采集表'!$H:$H,'附表4-项目间分摊信息采集表'!$B:$B,S8:AB8)),20),IF(L8="手工填写分摊比例","请填写分摊比例",100%))))),IF(COUNTA(S8:AB8)&gt;=1,0%,100%)),100%)</f>
        <v>1</v>
      </c>
      <c r="N8" s="97">
        <f>SUMIFS('附表7-扣除项目明细采集底稿'!$R:$R,'附表7-扣除项目明细采集底稿'!$G:$G,B8)</f>
        <v>605000</v>
      </c>
      <c r="O8" s="90" t="s">
        <v>4651</v>
      </c>
      <c r="P8" s="113">
        <f>SUMIFS('附表7-扣除项目明细采集底稿'!$T:$T,'附表7-扣除项目明细采集底稿'!$G:$G,$B8)</f>
        <v>605000</v>
      </c>
      <c r="Q8" s="117">
        <f t="shared" si="0"/>
        <v>0</v>
      </c>
      <c r="R8" s="118"/>
      <c r="S8" s="90"/>
      <c r="T8" s="90"/>
      <c r="U8" s="90"/>
      <c r="V8" s="90"/>
      <c r="W8" s="90"/>
      <c r="X8" s="90"/>
      <c r="Y8" s="90"/>
      <c r="Z8" s="90"/>
      <c r="AA8" s="90"/>
      <c r="AB8" s="90"/>
    </row>
    <row r="9" s="80" customFormat="1" ht="15.05" spans="1:28">
      <c r="A9" s="90">
        <v>66</v>
      </c>
      <c r="B9" s="91" t="s">
        <v>4359</v>
      </c>
      <c r="C9" s="99" t="s">
        <v>4656</v>
      </c>
      <c r="D9" s="93" t="s">
        <v>4655</v>
      </c>
      <c r="E9" s="94" t="s">
        <v>4657</v>
      </c>
      <c r="F9" s="95">
        <v>44706</v>
      </c>
      <c r="G9" s="96">
        <v>300000</v>
      </c>
      <c r="H9" s="97">
        <v>291262.14</v>
      </c>
      <c r="I9" s="96" t="s">
        <v>4650</v>
      </c>
      <c r="J9" s="90" t="s">
        <v>4650</v>
      </c>
      <c r="K9" s="90" t="s">
        <v>15</v>
      </c>
      <c r="L9" s="90" t="s">
        <v>351</v>
      </c>
      <c r="M9" s="112">
        <f>IFERROR(IF(COUNTIFS(S9:AB9,清算项目基本情况表!$D$6)&gt;=1,IF(L9="占地面积法",ROUND(SUM('附表4-项目间分摊信息采集表'!$E$5)/SUMPRODUCT(SUMIFS('附表4-项目间分摊信息采集表'!$E:$E,'附表4-项目间分摊信息采集表'!$B:$B,S9:AB9)),20),IF(L9="测绘总建筑面积法",ROUND(SUM('附表4-项目间分摊信息采集表'!$F$5)/SUMPRODUCT(SUMIFS('附表4-项目间分摊信息采集表'!$F:$F,'附表4-项目间分摊信息采集表'!$B:$B,S9:AB9)),20),IF(L9="可售建筑面积法",ROUND(SUM('附表4-项目间分摊信息采集表'!$G$5)/SUMPRODUCT(SUMIFS('附表4-项目间分摊信息采集表'!$G:$G,'附表4-项目间分摊信息采集表'!$B:$B,S9:AB9)),20),IF(L9="其他分摊方法",ROUND(SUM('附表4-项目间分摊信息采集表'!$H$5)/SUMPRODUCT(SUMIFS('附表4-项目间分摊信息采集表'!$H:$H,'附表4-项目间分摊信息采集表'!$B:$B,S9:AB9)),20),IF(L9="手工填写分摊比例","请填写分摊比例",100%))))),IF(COUNTA(S9:AB9)&gt;=1,0%,100%)),100%)</f>
        <v>0.338555832480367</v>
      </c>
      <c r="N9" s="97">
        <f>SUMIFS('附表7-扣除项目明细采集底稿'!$R:$R,'附表7-扣除项目明细采集底稿'!$G:$G,B9)</f>
        <v>236470.097087379</v>
      </c>
      <c r="O9" s="90" t="s">
        <v>4651</v>
      </c>
      <c r="P9" s="113">
        <f>SUMIFS('附表7-扣除项目明细采集底稿'!$T:$T,'附表7-扣除项目明细采集底稿'!$G:$G,$B9)</f>
        <v>80058.33</v>
      </c>
      <c r="Q9" s="117">
        <f t="shared" si="0"/>
        <v>156411.77</v>
      </c>
      <c r="R9" s="118"/>
      <c r="S9" s="90" t="s">
        <v>11</v>
      </c>
      <c r="T9" s="90" t="s">
        <v>46</v>
      </c>
      <c r="U9" s="90" t="s">
        <v>371</v>
      </c>
      <c r="V9" s="90"/>
      <c r="W9" s="90"/>
      <c r="X9" s="90"/>
      <c r="Y9" s="90"/>
      <c r="Z9" s="90"/>
      <c r="AA9" s="90"/>
      <c r="AB9" s="90"/>
    </row>
    <row r="10" s="80" customFormat="1" ht="15.05" spans="1:28">
      <c r="A10" s="90">
        <v>73</v>
      </c>
      <c r="B10" s="91" t="s">
        <v>2595</v>
      </c>
      <c r="C10" s="100" t="s">
        <v>4658</v>
      </c>
      <c r="D10" s="93" t="s">
        <v>4659</v>
      </c>
      <c r="E10" s="94" t="s">
        <v>4660</v>
      </c>
      <c r="F10" s="95">
        <v>43661</v>
      </c>
      <c r="G10" s="96">
        <v>884800</v>
      </c>
      <c r="H10" s="97">
        <v>783008.85</v>
      </c>
      <c r="I10" s="96" t="s">
        <v>4650</v>
      </c>
      <c r="J10" s="90" t="s">
        <v>4650</v>
      </c>
      <c r="K10" s="90" t="s">
        <v>4650</v>
      </c>
      <c r="L10" s="90"/>
      <c r="M10" s="112">
        <f>IFERROR(IF(COUNTIFS(S10:AB10,清算项目基本情况表!$D$6)&gt;=1,IF(L10="占地面积法",ROUND(SUM('附表4-项目间分摊信息采集表'!$E$5)/SUMPRODUCT(SUMIFS('附表4-项目间分摊信息采集表'!$E:$E,'附表4-项目间分摊信息采集表'!$B:$B,S10:AB10)),20),IF(L10="测绘总建筑面积法",ROUND(SUM('附表4-项目间分摊信息采集表'!$F$5)/SUMPRODUCT(SUMIFS('附表4-项目间分摊信息采集表'!$F:$F,'附表4-项目间分摊信息采集表'!$B:$B,S10:AB10)),20),IF(L10="可售建筑面积法",ROUND(SUM('附表4-项目间分摊信息采集表'!$G$5)/SUMPRODUCT(SUMIFS('附表4-项目间分摊信息采集表'!$G:$G,'附表4-项目间分摊信息采集表'!$B:$B,S10:AB10)),20),IF(L10="其他分摊方法",ROUND(SUM('附表4-项目间分摊信息采集表'!$H$5)/SUMPRODUCT(SUMIFS('附表4-项目间分摊信息采集表'!$H:$H,'附表4-项目间分摊信息采集表'!$B:$B,S10:AB10)),20),IF(L10="手工填写分摊比例","请填写分摊比例",100%))))),IF(COUNTA(S10:AB10)&gt;=1,0%,100%)),100%)</f>
        <v>1</v>
      </c>
      <c r="N10" s="97">
        <f>SUMIFS('附表7-扣除项目明细采集底稿'!$R:$R,'附表7-扣除项目明细采集底稿'!$G:$G,B10)</f>
        <v>783008.86</v>
      </c>
      <c r="O10" s="90" t="s">
        <v>4651</v>
      </c>
      <c r="P10" s="113">
        <f>SUMIFS('附表7-扣除项目明细采集底稿'!$T:$T,'附表7-扣除项目明细采集底稿'!$G:$G,$B10)</f>
        <v>783008.86</v>
      </c>
      <c r="Q10" s="117">
        <f t="shared" si="0"/>
        <v>0</v>
      </c>
      <c r="R10" s="118"/>
      <c r="S10" s="90"/>
      <c r="T10" s="90"/>
      <c r="U10" s="90"/>
      <c r="V10" s="90"/>
      <c r="W10" s="90"/>
      <c r="X10" s="90"/>
      <c r="Y10" s="90"/>
      <c r="Z10" s="90"/>
      <c r="AA10" s="90"/>
      <c r="AB10" s="90"/>
    </row>
    <row r="11" s="80" customFormat="1" ht="15.05" spans="1:28">
      <c r="A11" s="90">
        <v>74</v>
      </c>
      <c r="B11" s="91" t="s">
        <v>2958</v>
      </c>
      <c r="C11" s="100" t="s">
        <v>4661</v>
      </c>
      <c r="D11" s="93" t="s">
        <v>4659</v>
      </c>
      <c r="E11" s="94" t="s">
        <v>4660</v>
      </c>
      <c r="F11" s="95">
        <v>43921</v>
      </c>
      <c r="G11" s="96">
        <v>1213822.4</v>
      </c>
      <c r="H11" s="97">
        <v>1074179.12</v>
      </c>
      <c r="I11" s="96" t="s">
        <v>4650</v>
      </c>
      <c r="J11" s="90" t="s">
        <v>4650</v>
      </c>
      <c r="K11" s="90" t="s">
        <v>4650</v>
      </c>
      <c r="L11" s="90"/>
      <c r="M11" s="112">
        <f>IFERROR(IF(COUNTIFS(S11:AB11,清算项目基本情况表!$D$6)&gt;=1,IF(L11="占地面积法",ROUND(SUM('附表4-项目间分摊信息采集表'!$E$5)/SUMPRODUCT(SUMIFS('附表4-项目间分摊信息采集表'!$E:$E,'附表4-项目间分摊信息采集表'!$B:$B,S11:AB11)),20),IF(L11="测绘总建筑面积法",ROUND(SUM('附表4-项目间分摊信息采集表'!$F$5)/SUMPRODUCT(SUMIFS('附表4-项目间分摊信息采集表'!$F:$F,'附表4-项目间分摊信息采集表'!$B:$B,S11:AB11)),20),IF(L11="可售建筑面积法",ROUND(SUM('附表4-项目间分摊信息采集表'!$G$5)/SUMPRODUCT(SUMIFS('附表4-项目间分摊信息采集表'!$G:$G,'附表4-项目间分摊信息采集表'!$B:$B,S11:AB11)),20),IF(L11="其他分摊方法",ROUND(SUM('附表4-项目间分摊信息采集表'!$H$5)/SUMPRODUCT(SUMIFS('附表4-项目间分摊信息采集表'!$H:$H,'附表4-项目间分摊信息采集表'!$B:$B,S11:AB11)),20),IF(L11="手工填写分摊比例","请填写分摊比例",100%))))),IF(COUNTA(S11:AB11)&gt;=1,0%,100%)),100%)</f>
        <v>1</v>
      </c>
      <c r="N11" s="97">
        <f>SUMIFS('附表7-扣除项目明细采集底稿'!$R:$R,'附表7-扣除项目明细采集底稿'!$G:$G,B11)</f>
        <v>1070462.33</v>
      </c>
      <c r="O11" s="90" t="s">
        <v>4651</v>
      </c>
      <c r="P11" s="113">
        <f>SUMIFS('附表7-扣除项目明细采集底稿'!$T:$T,'附表7-扣除项目明细采集底稿'!$G:$G,$B11)</f>
        <v>1070462.33</v>
      </c>
      <c r="Q11" s="117">
        <f t="shared" si="0"/>
        <v>0</v>
      </c>
      <c r="R11" s="118"/>
      <c r="S11" s="90"/>
      <c r="T11" s="90"/>
      <c r="U11" s="90"/>
      <c r="V11" s="90"/>
      <c r="W11" s="90"/>
      <c r="X11" s="90"/>
      <c r="Y11" s="90"/>
      <c r="Z11" s="90"/>
      <c r="AA11" s="90"/>
      <c r="AB11" s="90"/>
    </row>
    <row r="12" s="80" customFormat="1" ht="15.05" spans="1:28">
      <c r="A12" s="90">
        <v>107</v>
      </c>
      <c r="B12" s="91" t="s">
        <v>3202</v>
      </c>
      <c r="C12" s="100" t="s">
        <v>4662</v>
      </c>
      <c r="D12" s="93" t="s">
        <v>4659</v>
      </c>
      <c r="E12" s="94" t="s">
        <v>4663</v>
      </c>
      <c r="F12" s="95">
        <v>44081</v>
      </c>
      <c r="G12" s="96">
        <v>115200</v>
      </c>
      <c r="H12" s="97">
        <v>0</v>
      </c>
      <c r="I12" s="96" t="s">
        <v>4650</v>
      </c>
      <c r="J12" s="90" t="s">
        <v>4650</v>
      </c>
      <c r="K12" s="90" t="s">
        <v>4650</v>
      </c>
      <c r="L12" s="90"/>
      <c r="M12" s="112">
        <f>IFERROR(IF(COUNTIFS(S12:AB12,清算项目基本情况表!$D$6)&gt;=1,IF(L12="占地面积法",ROUND(SUM('附表4-项目间分摊信息采集表'!$E$5)/SUMPRODUCT(SUMIFS('附表4-项目间分摊信息采集表'!$E:$E,'附表4-项目间分摊信息采集表'!$B:$B,S12:AB12)),20),IF(L12="测绘总建筑面积法",ROUND(SUM('附表4-项目间分摊信息采集表'!$F$5)/SUMPRODUCT(SUMIFS('附表4-项目间分摊信息采集表'!$F:$F,'附表4-项目间分摊信息采集表'!$B:$B,S12:AB12)),20),IF(L12="可售建筑面积法",ROUND(SUM('附表4-项目间分摊信息采集表'!$G$5)/SUMPRODUCT(SUMIFS('附表4-项目间分摊信息采集表'!$G:$G,'附表4-项目间分摊信息采集表'!$B:$B,S12:AB12)),20),IF(L12="其他分摊方法",ROUND(SUM('附表4-项目间分摊信息采集表'!$H$5)/SUMPRODUCT(SUMIFS('附表4-项目间分摊信息采集表'!$H:$H,'附表4-项目间分摊信息采集表'!$B:$B,S12:AB12)),20),IF(L12="手工填写分摊比例","请填写分摊比例",100%))))),IF(COUNTA(S12:AB12)&gt;=1,0%,100%)),100%)</f>
        <v>1</v>
      </c>
      <c r="N12" s="97">
        <f>SUMIFS('附表7-扣除项目明细采集底稿'!$R:$R,'附表7-扣除项目明细采集底稿'!$G:$G,B12)</f>
        <v>101946.89</v>
      </c>
      <c r="O12" s="90" t="s">
        <v>4651</v>
      </c>
      <c r="P12" s="113">
        <f>SUMIFS('附表7-扣除项目明细采集底稿'!$T:$T,'附表7-扣除项目明细采集底稿'!$G:$G,$B12)</f>
        <v>101946.89</v>
      </c>
      <c r="Q12" s="117">
        <f t="shared" si="0"/>
        <v>0</v>
      </c>
      <c r="R12" s="118"/>
      <c r="S12" s="90"/>
      <c r="T12" s="90"/>
      <c r="U12" s="90"/>
      <c r="V12" s="90"/>
      <c r="W12" s="90"/>
      <c r="X12" s="90"/>
      <c r="Y12" s="90"/>
      <c r="Z12" s="90"/>
      <c r="AA12" s="90"/>
      <c r="AB12" s="90"/>
    </row>
    <row r="13" s="80" customFormat="1" ht="15.05" spans="1:28">
      <c r="A13" s="90">
        <v>71</v>
      </c>
      <c r="B13" s="91" t="s">
        <v>3009</v>
      </c>
      <c r="C13" s="100" t="s">
        <v>4664</v>
      </c>
      <c r="D13" s="93" t="s">
        <v>4659</v>
      </c>
      <c r="E13" s="94" t="s">
        <v>4665</v>
      </c>
      <c r="F13" s="95">
        <v>43920</v>
      </c>
      <c r="G13" s="96">
        <v>2383400</v>
      </c>
      <c r="H13" s="97">
        <v>2109203.54</v>
      </c>
      <c r="I13" s="96" t="s">
        <v>4650</v>
      </c>
      <c r="J13" s="90" t="s">
        <v>4650</v>
      </c>
      <c r="K13" s="90" t="s">
        <v>4650</v>
      </c>
      <c r="L13" s="90"/>
      <c r="M13" s="112">
        <f>IFERROR(IF(COUNTIFS(S13:AB13,清算项目基本情况表!$D$6)&gt;=1,IF(L13="占地面积法",ROUND(SUM('附表4-项目间分摊信息采集表'!$E$5)/SUMPRODUCT(SUMIFS('附表4-项目间分摊信息采集表'!$E:$E,'附表4-项目间分摊信息采集表'!$B:$B,S13:AB13)),20),IF(L13="测绘总建筑面积法",ROUND(SUM('附表4-项目间分摊信息采集表'!$F$5)/SUMPRODUCT(SUMIFS('附表4-项目间分摊信息采集表'!$F:$F,'附表4-项目间分摊信息采集表'!$B:$B,S13:AB13)),20),IF(L13="可售建筑面积法",ROUND(SUM('附表4-项目间分摊信息采集表'!$G$5)/SUMPRODUCT(SUMIFS('附表4-项目间分摊信息采集表'!$G:$G,'附表4-项目间分摊信息采集表'!$B:$B,S13:AB13)),20),IF(L13="其他分摊方法",ROUND(SUM('附表4-项目间分摊信息采集表'!$H$5)/SUMPRODUCT(SUMIFS('附表4-项目间分摊信息采集表'!$H:$H,'附表4-项目间分摊信息采集表'!$B:$B,S13:AB13)),20),IF(L13="手工填写分摊比例","请填写分摊比例",100%))))),IF(COUNTA(S13:AB13)&gt;=1,0%,100%)),100%)</f>
        <v>1</v>
      </c>
      <c r="N13" s="97">
        <f>SUMIFS('附表7-扣除项目明细采集底稿'!$R:$R,'附表7-扣除项目明细采集底稿'!$G:$G,B13)</f>
        <v>1872000.17</v>
      </c>
      <c r="O13" s="90" t="s">
        <v>4651</v>
      </c>
      <c r="P13" s="113">
        <f>SUMIFS('附表7-扣除项目明细采集底稿'!$T:$T,'附表7-扣除项目明细采集底稿'!$G:$G,$B13)</f>
        <v>1872000.17</v>
      </c>
      <c r="Q13" s="117">
        <f t="shared" si="0"/>
        <v>0</v>
      </c>
      <c r="R13" s="118"/>
      <c r="S13" s="90"/>
      <c r="T13" s="90"/>
      <c r="U13" s="90"/>
      <c r="V13" s="90"/>
      <c r="W13" s="90"/>
      <c r="X13" s="90"/>
      <c r="Y13" s="90"/>
      <c r="Z13" s="90"/>
      <c r="AA13" s="90"/>
      <c r="AB13" s="90"/>
    </row>
    <row r="14" s="80" customFormat="1" ht="15.05" spans="1:28">
      <c r="A14" s="90">
        <v>174</v>
      </c>
      <c r="B14" s="91" t="s">
        <v>3298</v>
      </c>
      <c r="C14" s="100" t="s">
        <v>4666</v>
      </c>
      <c r="D14" s="93" t="s">
        <v>4659</v>
      </c>
      <c r="E14" s="99" t="s">
        <v>3299</v>
      </c>
      <c r="F14" s="95">
        <v>44077</v>
      </c>
      <c r="G14" s="96">
        <v>36500</v>
      </c>
      <c r="H14" s="97">
        <v>0</v>
      </c>
      <c r="I14" s="96" t="s">
        <v>4650</v>
      </c>
      <c r="J14" s="90" t="s">
        <v>4650</v>
      </c>
      <c r="K14" s="90" t="s">
        <v>15</v>
      </c>
      <c r="L14" s="90" t="s">
        <v>351</v>
      </c>
      <c r="M14" s="112">
        <f>IFERROR(IF(COUNTIFS(S14:AB14,清算项目基本情况表!$D$6)&gt;=1,IF(L14="占地面积法",ROUND(SUM('附表4-项目间分摊信息采集表'!$E$5)/SUMPRODUCT(SUMIFS('附表4-项目间分摊信息采集表'!$E:$E,'附表4-项目间分摊信息采集表'!$B:$B,S14:AB14)),20),IF(L14="测绘总建筑面积法",ROUND(SUM('附表4-项目间分摊信息采集表'!$F$5)/SUMPRODUCT(SUMIFS('附表4-项目间分摊信息采集表'!$F:$F,'附表4-项目间分摊信息采集表'!$B:$B,S14:AB14)),20),IF(L14="可售建筑面积法",ROUND(SUM('附表4-项目间分摊信息采集表'!$G$5)/SUMPRODUCT(SUMIFS('附表4-项目间分摊信息采集表'!$G:$G,'附表4-项目间分摊信息采集表'!$B:$B,S14:AB14)),20),IF(L14="其他分摊方法",ROUND(SUM('附表4-项目间分摊信息采集表'!$H$5)/SUMPRODUCT(SUMIFS('附表4-项目间分摊信息采集表'!$H:$H,'附表4-项目间分摊信息采集表'!$B:$B,S14:AB14)),20),IF(L14="手工填写分摊比例","请填写分摊比例",100%))))),IF(COUNTA(S14:AB14)&gt;=1,0%,100%)),100%)</f>
        <v>0.338555832480367</v>
      </c>
      <c r="N14" s="97">
        <f>SUMIFS('附表7-扣除项目明细采集底稿'!$R:$R,'附表7-扣除项目明细采集底稿'!$G:$G,B14)</f>
        <v>30685.84</v>
      </c>
      <c r="O14" s="90" t="s">
        <v>4651</v>
      </c>
      <c r="P14" s="113">
        <f>SUMIFS('附表7-扣除项目明细采集底稿'!$T:$T,'附表7-扣除项目明细采集底稿'!$G:$G,$B14)</f>
        <v>10388.87</v>
      </c>
      <c r="Q14" s="117">
        <f t="shared" si="0"/>
        <v>20296.97</v>
      </c>
      <c r="R14" s="118"/>
      <c r="S14" s="90" t="s">
        <v>11</v>
      </c>
      <c r="T14" s="90" t="s">
        <v>46</v>
      </c>
      <c r="U14" s="90" t="s">
        <v>371</v>
      </c>
      <c r="V14" s="90"/>
      <c r="W14" s="90"/>
      <c r="X14" s="90"/>
      <c r="Y14" s="90"/>
      <c r="Z14" s="90"/>
      <c r="AA14" s="90"/>
      <c r="AB14" s="90"/>
    </row>
    <row r="15" s="80" customFormat="1" ht="15.05" spans="1:28">
      <c r="A15" s="90">
        <v>68</v>
      </c>
      <c r="B15" s="91" t="s">
        <v>2895</v>
      </c>
      <c r="C15" s="100" t="s">
        <v>4667</v>
      </c>
      <c r="D15" s="93" t="s">
        <v>4659</v>
      </c>
      <c r="E15" s="94" t="s">
        <v>4668</v>
      </c>
      <c r="F15" s="95">
        <v>43676</v>
      </c>
      <c r="G15" s="96">
        <v>1756800</v>
      </c>
      <c r="H15" s="97">
        <v>1975259.9</v>
      </c>
      <c r="I15" s="96" t="s">
        <v>4650</v>
      </c>
      <c r="J15" s="90" t="s">
        <v>4650</v>
      </c>
      <c r="K15" s="90" t="s">
        <v>4650</v>
      </c>
      <c r="L15" s="90"/>
      <c r="M15" s="112">
        <f>IFERROR(IF(COUNTIFS(S15:AB15,清算项目基本情况表!$D$6)&gt;=1,IF(L15="占地面积法",ROUND(SUM('附表4-项目间分摊信息采集表'!$E$5)/SUMPRODUCT(SUMIFS('附表4-项目间分摊信息采集表'!$E:$E,'附表4-项目间分摊信息采集表'!$B:$B,S15:AB15)),20),IF(L15="测绘总建筑面积法",ROUND(SUM('附表4-项目间分摊信息采集表'!$F$5)/SUMPRODUCT(SUMIFS('附表4-项目间分摊信息采集表'!$F:$F,'附表4-项目间分摊信息采集表'!$B:$B,S15:AB15)),20),IF(L15="可售建筑面积法",ROUND(SUM('附表4-项目间分摊信息采集表'!$G$5)/SUMPRODUCT(SUMIFS('附表4-项目间分摊信息采集表'!$G:$G,'附表4-项目间分摊信息采集表'!$B:$B,S15:AB15)),20),IF(L15="其他分摊方法",ROUND(SUM('附表4-项目间分摊信息采集表'!$H$5)/SUMPRODUCT(SUMIFS('附表4-项目间分摊信息采集表'!$H:$H,'附表4-项目间分摊信息采集表'!$B:$B,S15:AB15)),20),IF(L15="手工填写分摊比例","请填写分摊比例",100%))))),IF(COUNTA(S15:AB15)&gt;=1,0%,100%)),100%)</f>
        <v>1</v>
      </c>
      <c r="N15" s="97">
        <f>SUMIFS('附表7-扣除项目明细采集底稿'!$R:$R,'附表7-扣除项目明细采集底稿'!$G:$G,B15)</f>
        <v>1975259.9</v>
      </c>
      <c r="O15" s="90" t="s">
        <v>4651</v>
      </c>
      <c r="P15" s="113">
        <f>SUMIFS('附表7-扣除项目明细采集底稿'!$T:$T,'附表7-扣除项目明细采集底稿'!$G:$G,$B15)</f>
        <v>1975259.9</v>
      </c>
      <c r="Q15" s="117">
        <f t="shared" si="0"/>
        <v>0</v>
      </c>
      <c r="R15" s="118"/>
      <c r="S15" s="90"/>
      <c r="T15" s="90"/>
      <c r="U15" s="90"/>
      <c r="V15" s="90"/>
      <c r="W15" s="90"/>
      <c r="X15" s="90"/>
      <c r="Y15" s="90"/>
      <c r="Z15" s="90"/>
      <c r="AA15" s="90"/>
      <c r="AB15" s="90"/>
    </row>
    <row r="16" s="80" customFormat="1" ht="15.05" spans="1:28">
      <c r="A16" s="90">
        <v>72</v>
      </c>
      <c r="B16" s="91" t="s">
        <v>4069</v>
      </c>
      <c r="C16" s="100" t="s">
        <v>4669</v>
      </c>
      <c r="D16" s="93" t="s">
        <v>4659</v>
      </c>
      <c r="E16" s="99" t="s">
        <v>4665</v>
      </c>
      <c r="F16" s="95">
        <v>44296</v>
      </c>
      <c r="G16" s="96">
        <v>90000</v>
      </c>
      <c r="H16" s="97">
        <v>81622.15</v>
      </c>
      <c r="I16" s="96" t="s">
        <v>4650</v>
      </c>
      <c r="J16" s="90" t="s">
        <v>4650</v>
      </c>
      <c r="K16" s="90" t="s">
        <v>15</v>
      </c>
      <c r="L16" s="90" t="s">
        <v>351</v>
      </c>
      <c r="M16" s="112">
        <f>IFERROR(IF(COUNTIFS(S16:AB16,清算项目基本情况表!$D$6)&gt;=1,IF(L16="占地面积法",ROUND(SUM('附表4-项目间分摊信息采集表'!$E$5)/SUMPRODUCT(SUMIFS('附表4-项目间分摊信息采集表'!$E:$E,'附表4-项目间分摊信息采集表'!$B:$B,S16:AB16)),20),IF(L16="测绘总建筑面积法",ROUND(SUM('附表4-项目间分摊信息采集表'!$F$5)/SUMPRODUCT(SUMIFS('附表4-项目间分摊信息采集表'!$F:$F,'附表4-项目间分摊信息采集表'!$B:$B,S16:AB16)),20),IF(L16="可售建筑面积法",ROUND(SUM('附表4-项目间分摊信息采集表'!$G$5)/SUMPRODUCT(SUMIFS('附表4-项目间分摊信息采集表'!$G:$G,'附表4-项目间分摊信息采集表'!$B:$B,S16:AB16)),20),IF(L16="其他分摊方法",ROUND(SUM('附表4-项目间分摊信息采集表'!$H$5)/SUMPRODUCT(SUMIFS('附表4-项目间分摊信息采集表'!$H:$H,'附表4-项目间分摊信息采集表'!$B:$B,S16:AB16)),20),IF(L16="手工填写分摊比例","请填写分摊比例",100%))))),IF(COUNTA(S16:AB16)&gt;=1,0%,100%)),100%)</f>
        <v>0.338555832480367</v>
      </c>
      <c r="N16" s="97">
        <f>SUMIFS('附表7-扣除项目明细采集底稿'!$R:$R,'附表7-扣除项目明细采集底稿'!$G:$G,B16)</f>
        <v>81622.15</v>
      </c>
      <c r="O16" s="90" t="s">
        <v>4651</v>
      </c>
      <c r="P16" s="113">
        <f>SUMIFS('附表7-扣除项目明细采集底稿'!$T:$T,'附表7-扣除项目明细采集底稿'!$G:$G,$B16)</f>
        <v>27633.66</v>
      </c>
      <c r="Q16" s="117">
        <f t="shared" si="0"/>
        <v>53988.49</v>
      </c>
      <c r="R16" s="118"/>
      <c r="S16" s="90" t="s">
        <v>11</v>
      </c>
      <c r="T16" s="90" t="s">
        <v>46</v>
      </c>
      <c r="U16" s="90" t="s">
        <v>371</v>
      </c>
      <c r="V16" s="90"/>
      <c r="W16" s="90"/>
      <c r="X16" s="90"/>
      <c r="Y16" s="90"/>
      <c r="Z16" s="90"/>
      <c r="AA16" s="90"/>
      <c r="AB16" s="90"/>
    </row>
    <row r="17" s="80" customFormat="1" ht="15.05" spans="1:28">
      <c r="A17" s="90">
        <v>128</v>
      </c>
      <c r="B17" s="91" t="s">
        <v>2952</v>
      </c>
      <c r="C17" s="100" t="s">
        <v>4670</v>
      </c>
      <c r="D17" s="93" t="s">
        <v>4659</v>
      </c>
      <c r="E17" s="94" t="s">
        <v>4671</v>
      </c>
      <c r="F17" s="95">
        <v>43903</v>
      </c>
      <c r="G17" s="96">
        <v>1023300</v>
      </c>
      <c r="H17" s="97">
        <v>0</v>
      </c>
      <c r="I17" s="96" t="s">
        <v>4650</v>
      </c>
      <c r="J17" s="90" t="s">
        <v>4650</v>
      </c>
      <c r="K17" s="90" t="s">
        <v>4650</v>
      </c>
      <c r="L17" s="90"/>
      <c r="M17" s="112">
        <f>IFERROR(IF(COUNTIFS(S17:AB17,清算项目基本情况表!$D$6)&gt;=1,IF(L17="占地面积法",ROUND(SUM('附表4-项目间分摊信息采集表'!$E$5)/SUMPRODUCT(SUMIFS('附表4-项目间分摊信息采集表'!$E:$E,'附表4-项目间分摊信息采集表'!$B:$B,S17:AB17)),20),IF(L17="测绘总建筑面积法",ROUND(SUM('附表4-项目间分摊信息采集表'!$F$5)/SUMPRODUCT(SUMIFS('附表4-项目间分摊信息采集表'!$F:$F,'附表4-项目间分摊信息采集表'!$B:$B,S17:AB17)),20),IF(L17="可售建筑面积法",ROUND(SUM('附表4-项目间分摊信息采集表'!$G$5)/SUMPRODUCT(SUMIFS('附表4-项目间分摊信息采集表'!$G:$G,'附表4-项目间分摊信息采集表'!$B:$B,S17:AB17)),20),IF(L17="其他分摊方法",ROUND(SUM('附表4-项目间分摊信息采集表'!$H$5)/SUMPRODUCT(SUMIFS('附表4-项目间分摊信息采集表'!$H:$H,'附表4-项目间分摊信息采集表'!$B:$B,S17:AB17)),20),IF(L17="手工填写分摊比例","请填写分摊比例",100%))))),IF(COUNTA(S17:AB17)&gt;=1,0%,100%)),100%)</f>
        <v>1</v>
      </c>
      <c r="N17" s="97">
        <f>SUMIFS('附表7-扣除项目明细采集底稿'!$R:$R,'附表7-扣除项目明细采集底稿'!$G:$G,B17)</f>
        <v>790929.92</v>
      </c>
      <c r="O17" s="90" t="s">
        <v>4651</v>
      </c>
      <c r="P17" s="113">
        <f>SUMIFS('附表7-扣除项目明细采集底稿'!$T:$T,'附表7-扣除项目明细采集底稿'!$G:$G,$B17)</f>
        <v>790929.92</v>
      </c>
      <c r="Q17" s="117">
        <f t="shared" si="0"/>
        <v>0</v>
      </c>
      <c r="R17" s="118"/>
      <c r="S17" s="90"/>
      <c r="T17" s="90"/>
      <c r="U17" s="90"/>
      <c r="V17" s="90"/>
      <c r="W17" s="90"/>
      <c r="X17" s="90"/>
      <c r="Y17" s="90"/>
      <c r="Z17" s="90"/>
      <c r="AA17" s="90"/>
      <c r="AB17" s="90"/>
    </row>
    <row r="18" s="80" customFormat="1" ht="15.05" spans="1:28">
      <c r="A18" s="90">
        <v>129</v>
      </c>
      <c r="B18" s="91" t="s">
        <v>4086</v>
      </c>
      <c r="C18" s="100" t="s">
        <v>4672</v>
      </c>
      <c r="D18" s="93" t="s">
        <v>4659</v>
      </c>
      <c r="E18" s="94" t="s">
        <v>4671</v>
      </c>
      <c r="F18" s="95">
        <v>43903</v>
      </c>
      <c r="G18" s="96">
        <v>250560</v>
      </c>
      <c r="H18" s="97">
        <v>0</v>
      </c>
      <c r="I18" s="96" t="s">
        <v>4650</v>
      </c>
      <c r="J18" s="90" t="s">
        <v>4650</v>
      </c>
      <c r="K18" s="90" t="s">
        <v>4650</v>
      </c>
      <c r="L18" s="90"/>
      <c r="M18" s="112">
        <f>IFERROR(IF(COUNTIFS(S18:AB18,清算项目基本情况表!$D$6)&gt;=1,IF(L18="占地面积法",ROUND(SUM('附表4-项目间分摊信息采集表'!$E$5)/SUMPRODUCT(SUMIFS('附表4-项目间分摊信息采集表'!$E:$E,'附表4-项目间分摊信息采集表'!$B:$B,S18:AB18)),20),IF(L18="测绘总建筑面积法",ROUND(SUM('附表4-项目间分摊信息采集表'!$F$5)/SUMPRODUCT(SUMIFS('附表4-项目间分摊信息采集表'!$F:$F,'附表4-项目间分摊信息采集表'!$B:$B,S18:AB18)),20),IF(L18="可售建筑面积法",ROUND(SUM('附表4-项目间分摊信息采集表'!$G$5)/SUMPRODUCT(SUMIFS('附表4-项目间分摊信息采集表'!$G:$G,'附表4-项目间分摊信息采集表'!$B:$B,S18:AB18)),20),IF(L18="其他分摊方法",ROUND(SUM('附表4-项目间分摊信息采集表'!$H$5)/SUMPRODUCT(SUMIFS('附表4-项目间分摊信息采集表'!$H:$H,'附表4-项目间分摊信息采集表'!$B:$B,S18:AB18)),20),IF(L18="手工填写分摊比例","请填写分摊比例",100%))))),IF(COUNTA(S18:AB18)&gt;=1,0%,100%)),100%)</f>
        <v>1</v>
      </c>
      <c r="N18" s="97">
        <f>SUMIFS('附表7-扣除项目明细采集底稿'!$R:$R,'附表7-扣除项目明细采集底稿'!$G:$G,B18)</f>
        <v>482198.97</v>
      </c>
      <c r="O18" s="90" t="s">
        <v>4651</v>
      </c>
      <c r="P18" s="113">
        <f>SUMIFS('附表7-扣除项目明细采集底稿'!$T:$T,'附表7-扣除项目明细采集底稿'!$G:$G,$B18)</f>
        <v>482198.97</v>
      </c>
      <c r="Q18" s="117">
        <f t="shared" si="0"/>
        <v>0</v>
      </c>
      <c r="R18" s="118"/>
      <c r="S18" s="90"/>
      <c r="T18" s="90"/>
      <c r="U18" s="90"/>
      <c r="V18" s="90"/>
      <c r="W18" s="90"/>
      <c r="X18" s="90"/>
      <c r="Y18" s="90"/>
      <c r="Z18" s="90"/>
      <c r="AA18" s="90"/>
      <c r="AB18" s="90"/>
    </row>
    <row r="19" s="80" customFormat="1" ht="15.05" spans="1:28">
      <c r="A19" s="90">
        <v>188</v>
      </c>
      <c r="B19" s="91" t="s">
        <v>2692</v>
      </c>
      <c r="C19" s="99" t="s">
        <v>4673</v>
      </c>
      <c r="D19" s="93" t="s">
        <v>4659</v>
      </c>
      <c r="E19" s="94" t="s">
        <v>2693</v>
      </c>
      <c r="F19" s="95">
        <v>43708</v>
      </c>
      <c r="G19" s="96">
        <v>453938</v>
      </c>
      <c r="H19" s="97">
        <v>0</v>
      </c>
      <c r="I19" s="96" t="s">
        <v>4650</v>
      </c>
      <c r="J19" s="90" t="s">
        <v>4650</v>
      </c>
      <c r="K19" s="90" t="s">
        <v>4650</v>
      </c>
      <c r="L19" s="90"/>
      <c r="M19" s="112">
        <f>IFERROR(IF(COUNTIFS(S19:AB19,清算项目基本情况表!$D$6)&gt;=1,IF(L19="占地面积法",ROUND(SUM('附表4-项目间分摊信息采集表'!$E$5)/SUMPRODUCT(SUMIFS('附表4-项目间分摊信息采集表'!$E:$E,'附表4-项目间分摊信息采集表'!$B:$B,S19:AB19)),20),IF(L19="测绘总建筑面积法",ROUND(SUM('附表4-项目间分摊信息采集表'!$F$5)/SUMPRODUCT(SUMIFS('附表4-项目间分摊信息采集表'!$F:$F,'附表4-项目间分摊信息采集表'!$B:$B,S19:AB19)),20),IF(L19="可售建筑面积法",ROUND(SUM('附表4-项目间分摊信息采集表'!$G$5)/SUMPRODUCT(SUMIFS('附表4-项目间分摊信息采集表'!$G:$G,'附表4-项目间分摊信息采集表'!$B:$B,S19:AB19)),20),IF(L19="其他分摊方法",ROUND(SUM('附表4-项目间分摊信息采集表'!$H$5)/SUMPRODUCT(SUMIFS('附表4-项目间分摊信息采集表'!$H:$H,'附表4-项目间分摊信息采集表'!$B:$B,S19:AB19)),20),IF(L19="手工填写分摊比例","请填写分摊比例",100%))))),IF(COUNTA(S19:AB19)&gt;=1,0%,100%)),100%)</f>
        <v>1</v>
      </c>
      <c r="N19" s="97">
        <f>SUMIFS('附表7-扣除项目明细采集底稿'!$R:$R,'附表7-扣除项目明细采集底稿'!$G:$G,B19)</f>
        <v>389902.66</v>
      </c>
      <c r="O19" s="90" t="s">
        <v>4651</v>
      </c>
      <c r="P19" s="113">
        <f>SUMIFS('附表7-扣除项目明细采集底稿'!$T:$T,'附表7-扣除项目明细采集底稿'!$G:$G,$B19)</f>
        <v>389902.66</v>
      </c>
      <c r="Q19" s="117">
        <f t="shared" si="0"/>
        <v>0</v>
      </c>
      <c r="R19" s="118"/>
      <c r="S19" s="90"/>
      <c r="T19" s="90"/>
      <c r="U19" s="90"/>
      <c r="V19" s="90"/>
      <c r="W19" s="90"/>
      <c r="X19" s="90"/>
      <c r="Y19" s="90"/>
      <c r="Z19" s="90"/>
      <c r="AA19" s="90"/>
      <c r="AB19" s="90"/>
    </row>
    <row r="20" s="80" customFormat="1" ht="15.05" spans="1:28">
      <c r="A20" s="90">
        <v>3</v>
      </c>
      <c r="B20" s="91" t="s">
        <v>3275</v>
      </c>
      <c r="C20" s="100" t="s">
        <v>4674</v>
      </c>
      <c r="D20" s="93" t="s">
        <v>4675</v>
      </c>
      <c r="E20" s="94" t="s">
        <v>3276</v>
      </c>
      <c r="F20" s="95">
        <v>44148</v>
      </c>
      <c r="G20" s="96">
        <v>10491</v>
      </c>
      <c r="H20" s="97">
        <v>9897.17</v>
      </c>
      <c r="I20" s="96" t="s">
        <v>4650</v>
      </c>
      <c r="J20" s="90" t="s">
        <v>4650</v>
      </c>
      <c r="K20" s="90" t="s">
        <v>4650</v>
      </c>
      <c r="L20" s="90"/>
      <c r="M20" s="112">
        <f>IFERROR(IF(COUNTIFS(S20:AB20,清算项目基本情况表!$D$6)&gt;=1,IF(L20="占地面积法",ROUND(SUM('附表4-项目间分摊信息采集表'!$E$5)/SUMPRODUCT(SUMIFS('附表4-项目间分摊信息采集表'!$E:$E,'附表4-项目间分摊信息采集表'!$B:$B,S20:AB20)),20),IF(L20="测绘总建筑面积法",ROUND(SUM('附表4-项目间分摊信息采集表'!$F$5)/SUMPRODUCT(SUMIFS('附表4-项目间分摊信息采集表'!$F:$F,'附表4-项目间分摊信息采集表'!$B:$B,S20:AB20)),20),IF(L20="可售建筑面积法",ROUND(SUM('附表4-项目间分摊信息采集表'!$G$5)/SUMPRODUCT(SUMIFS('附表4-项目间分摊信息采集表'!$G:$G,'附表4-项目间分摊信息采集表'!$B:$B,S20:AB20)),20),IF(L20="其他分摊方法",ROUND(SUM('附表4-项目间分摊信息采集表'!$H$5)/SUMPRODUCT(SUMIFS('附表4-项目间分摊信息采集表'!$H:$H,'附表4-项目间分摊信息采集表'!$B:$B,S20:AB20)),20),IF(L20="手工填写分摊比例","请填写分摊比例",100%))))),IF(COUNTA(S20:AB20)&gt;=1,0%,100%)),100%)</f>
        <v>1</v>
      </c>
      <c r="N20" s="97">
        <f>SUMIFS('附表7-扣除项目明细采集底稿'!$R:$R,'附表7-扣除项目明细采集底稿'!$G:$G,B20)</f>
        <v>9897.17</v>
      </c>
      <c r="O20" s="90" t="s">
        <v>4651</v>
      </c>
      <c r="P20" s="113">
        <f>SUMIFS('附表7-扣除项目明细采集底稿'!$T:$T,'附表7-扣除项目明细采集底稿'!$G:$G,$B20)</f>
        <v>9897.17</v>
      </c>
      <c r="Q20" s="117">
        <f t="shared" si="0"/>
        <v>0</v>
      </c>
      <c r="R20" s="118"/>
      <c r="S20" s="90"/>
      <c r="T20" s="90"/>
      <c r="U20" s="90"/>
      <c r="V20" s="90"/>
      <c r="W20" s="90"/>
      <c r="X20" s="90"/>
      <c r="Y20" s="90"/>
      <c r="Z20" s="90"/>
      <c r="AA20" s="90"/>
      <c r="AB20" s="90"/>
    </row>
    <row r="21" s="80" customFormat="1" ht="15.05" spans="1:28">
      <c r="A21" s="90">
        <v>221</v>
      </c>
      <c r="B21" s="91" t="s">
        <v>3393</v>
      </c>
      <c r="C21" s="100" t="s">
        <v>4676</v>
      </c>
      <c r="D21" s="93" t="s">
        <v>4675</v>
      </c>
      <c r="E21" s="94" t="s">
        <v>4677</v>
      </c>
      <c r="F21" s="95">
        <v>44094</v>
      </c>
      <c r="G21" s="96">
        <v>85000</v>
      </c>
      <c r="H21" s="97">
        <v>0</v>
      </c>
      <c r="I21" s="96" t="s">
        <v>4650</v>
      </c>
      <c r="J21" s="90" t="s">
        <v>4650</v>
      </c>
      <c r="K21" s="90" t="s">
        <v>15</v>
      </c>
      <c r="L21" s="90" t="s">
        <v>351</v>
      </c>
      <c r="M21" s="112">
        <f>IFERROR(IF(COUNTIFS(S21:AB21,清算项目基本情况表!$D$6)&gt;=1,IF(L21="占地面积法",ROUND(SUM('附表4-项目间分摊信息采集表'!$E$5)/SUMPRODUCT(SUMIFS('附表4-项目间分摊信息采集表'!$E:$E,'附表4-项目间分摊信息采集表'!$B:$B,S21:AB21)),20),IF(L21="测绘总建筑面积法",ROUND(SUM('附表4-项目间分摊信息采集表'!$F$5)/SUMPRODUCT(SUMIFS('附表4-项目间分摊信息采集表'!$F:$F,'附表4-项目间分摊信息采集表'!$B:$B,S21:AB21)),20),IF(L21="可售建筑面积法",ROUND(SUM('附表4-项目间分摊信息采集表'!$G$5)/SUMPRODUCT(SUMIFS('附表4-项目间分摊信息采集表'!$G:$G,'附表4-项目间分摊信息采集表'!$B:$B,S21:AB21)),20),IF(L21="其他分摊方法",ROUND(SUM('附表4-项目间分摊信息采集表'!$H$5)/SUMPRODUCT(SUMIFS('附表4-项目间分摊信息采集表'!$H:$H,'附表4-项目间分摊信息采集表'!$B:$B,S21:AB21)),20),IF(L21="手工填写分摊比例","请填写分摊比例",100%))))),IF(COUNTA(S21:AB21)&gt;=1,0%,100%)),100%)</f>
        <v>0.338555832480367</v>
      </c>
      <c r="N21" s="97">
        <f>SUMIFS('附表7-扣除项目明细采集底稿'!$R:$R,'附表7-扣除项目明细采集底稿'!$G:$G,B21)</f>
        <v>84158.42</v>
      </c>
      <c r="O21" s="90" t="s">
        <v>4651</v>
      </c>
      <c r="P21" s="113">
        <f>SUMIFS('附表7-扣除项目明细采集底稿'!$T:$T,'附表7-扣除项目明细采集底稿'!$G:$G,$B21)</f>
        <v>28492.32</v>
      </c>
      <c r="Q21" s="117">
        <f t="shared" si="0"/>
        <v>55666.1</v>
      </c>
      <c r="R21" s="118"/>
      <c r="S21" s="90" t="s">
        <v>11</v>
      </c>
      <c r="T21" s="90" t="s">
        <v>46</v>
      </c>
      <c r="U21" s="90" t="s">
        <v>371</v>
      </c>
      <c r="V21" s="90"/>
      <c r="W21" s="90"/>
      <c r="X21" s="90"/>
      <c r="Y21" s="90"/>
      <c r="Z21" s="90"/>
      <c r="AA21" s="90"/>
      <c r="AB21" s="90"/>
    </row>
    <row r="22" s="80" customFormat="1" ht="15.05" spans="1:28">
      <c r="A22" s="90">
        <v>116</v>
      </c>
      <c r="B22" s="91" t="s">
        <v>3339</v>
      </c>
      <c r="C22" s="100" t="s">
        <v>4678</v>
      </c>
      <c r="D22" s="93" t="s">
        <v>4675</v>
      </c>
      <c r="E22" s="94" t="s">
        <v>2624</v>
      </c>
      <c r="F22" s="95">
        <v>44425</v>
      </c>
      <c r="G22" s="96">
        <v>1564.52</v>
      </c>
      <c r="H22" s="97">
        <v>0</v>
      </c>
      <c r="I22" s="96" t="s">
        <v>4650</v>
      </c>
      <c r="J22" s="90" t="s">
        <v>4650</v>
      </c>
      <c r="K22" s="90" t="s">
        <v>4650</v>
      </c>
      <c r="L22" s="90"/>
      <c r="M22" s="112">
        <f>IFERROR(IF(COUNTIFS(S22:AB22,清算项目基本情况表!$D$6)&gt;=1,IF(L22="占地面积法",ROUND(SUM('附表4-项目间分摊信息采集表'!$E$5)/SUMPRODUCT(SUMIFS('附表4-项目间分摊信息采集表'!$E:$E,'附表4-项目间分摊信息采集表'!$B:$B,S22:AB22)),20),IF(L22="测绘总建筑面积法",ROUND(SUM('附表4-项目间分摊信息采集表'!$F$5)/SUMPRODUCT(SUMIFS('附表4-项目间分摊信息采集表'!$F:$F,'附表4-项目间分摊信息采集表'!$B:$B,S22:AB22)),20),IF(L22="可售建筑面积法",ROUND(SUM('附表4-项目间分摊信息采集表'!$G$5)/SUMPRODUCT(SUMIFS('附表4-项目间分摊信息采集表'!$G:$G,'附表4-项目间分摊信息采集表'!$B:$B,S22:AB22)),20),IF(L22="其他分摊方法",ROUND(SUM('附表4-项目间分摊信息采集表'!$H$5)/SUMPRODUCT(SUMIFS('附表4-项目间分摊信息采集表'!$H:$H,'附表4-项目间分摊信息采集表'!$B:$B,S22:AB22)),20),IF(L22="手工填写分摊比例","请填写分摊比例",100%))))),IF(COUNTA(S22:AB22)&gt;=1,0%,100%)),100%)</f>
        <v>1</v>
      </c>
      <c r="N22" s="97">
        <f>SUMIFS('附表7-扣除项目明细采集底稿'!$R:$R,'附表7-扣除项目明细采集底稿'!$G:$G,B22)</f>
        <v>1549.03</v>
      </c>
      <c r="O22" s="90" t="s">
        <v>4651</v>
      </c>
      <c r="P22" s="113">
        <f>SUMIFS('附表7-扣除项目明细采集底稿'!$T:$T,'附表7-扣除项目明细采集底稿'!$G:$G,$B22)</f>
        <v>1549.03</v>
      </c>
      <c r="Q22" s="117">
        <f t="shared" si="0"/>
        <v>0</v>
      </c>
      <c r="R22" s="118"/>
      <c r="S22" s="90"/>
      <c r="T22" s="90"/>
      <c r="U22" s="90"/>
      <c r="V22" s="90"/>
      <c r="W22" s="90"/>
      <c r="X22" s="90"/>
      <c r="Y22" s="90"/>
      <c r="Z22" s="90"/>
      <c r="AA22" s="90"/>
      <c r="AB22" s="90"/>
    </row>
    <row r="23" s="80" customFormat="1" ht="15.05" spans="1:28">
      <c r="A23" s="101"/>
      <c r="B23" s="102" t="s">
        <v>4679</v>
      </c>
      <c r="C23" s="103" t="s">
        <v>4680</v>
      </c>
      <c r="D23" s="93" t="s">
        <v>4675</v>
      </c>
      <c r="E23" s="94" t="s">
        <v>4681</v>
      </c>
      <c r="F23" s="104">
        <v>43895</v>
      </c>
      <c r="G23" s="105">
        <v>127500</v>
      </c>
      <c r="H23" s="106">
        <v>0</v>
      </c>
      <c r="I23" s="96" t="s">
        <v>4650</v>
      </c>
      <c r="J23" s="114" t="s">
        <v>4650</v>
      </c>
      <c r="K23" s="90" t="s">
        <v>4650</v>
      </c>
      <c r="L23" s="114"/>
      <c r="M23" s="112">
        <f>IFERROR(IF(COUNTIFS(S23:AB23,清算项目基本情况表!$D$6)&gt;=1,IF(L23="占地面积法",ROUND(SUM('附表4-项目间分摊信息采集表'!$E$5)/SUMPRODUCT(SUMIFS('附表4-项目间分摊信息采集表'!$E:$E,'附表4-项目间分摊信息采集表'!$B:$B,S23:AB23)),20),IF(L23="测绘总建筑面积法",ROUND(SUM('附表4-项目间分摊信息采集表'!$F$5)/SUMPRODUCT(SUMIFS('附表4-项目间分摊信息采集表'!$F:$F,'附表4-项目间分摊信息采集表'!$B:$B,S23:AB23)),20),IF(L23="可售建筑面积法",ROUND(SUM('附表4-项目间分摊信息采集表'!$G$5)/SUMPRODUCT(SUMIFS('附表4-项目间分摊信息采集表'!$G:$G,'附表4-项目间分摊信息采集表'!$B:$B,S23:AB23)),20),IF(L23="其他分摊方法",ROUND(SUM('附表4-项目间分摊信息采集表'!$H$5)/SUMPRODUCT(SUMIFS('附表4-项目间分摊信息采集表'!$H:$H,'附表4-项目间分摊信息采集表'!$B:$B,S23:AB23)),20),IF(L23="手工填写分摊比例","请填写分摊比例",100%))))),IF(COUNTA(S23:AB23)&gt;=1,0%,100%)),100%)</f>
        <v>1</v>
      </c>
      <c r="N23" s="106"/>
      <c r="O23" s="114"/>
      <c r="P23" s="115"/>
      <c r="Q23" s="119"/>
      <c r="R23" s="120"/>
      <c r="S23" s="114"/>
      <c r="T23" s="114"/>
      <c r="U23" s="114"/>
      <c r="V23" s="114"/>
      <c r="W23" s="114"/>
      <c r="X23" s="114"/>
      <c r="Y23" s="114"/>
      <c r="Z23" s="114"/>
      <c r="AA23" s="114"/>
      <c r="AB23" s="114"/>
    </row>
    <row r="24" s="80" customFormat="1" ht="15.05" spans="1:28">
      <c r="A24" s="90">
        <v>118</v>
      </c>
      <c r="B24" s="91" t="s">
        <v>3163</v>
      </c>
      <c r="C24" s="99" t="s">
        <v>4682</v>
      </c>
      <c r="D24" s="93" t="s">
        <v>4675</v>
      </c>
      <c r="E24" s="94" t="s">
        <v>4683</v>
      </c>
      <c r="F24" s="95">
        <v>43833</v>
      </c>
      <c r="G24" s="96">
        <v>450000</v>
      </c>
      <c r="H24" s="97">
        <v>0</v>
      </c>
      <c r="I24" s="96" t="s">
        <v>4650</v>
      </c>
      <c r="J24" s="90" t="s">
        <v>4650</v>
      </c>
      <c r="K24" s="90" t="s">
        <v>4650</v>
      </c>
      <c r="L24" s="90"/>
      <c r="M24" s="112">
        <f>IFERROR(IF(COUNTIFS(S24:AB24,清算项目基本情况表!$D$6)&gt;=1,IF(L24="占地面积法",ROUND(SUM('附表4-项目间分摊信息采集表'!$E$5)/SUMPRODUCT(SUMIFS('附表4-项目间分摊信息采集表'!$E:$E,'附表4-项目间分摊信息采集表'!$B:$B,S24:AB24)),20),IF(L24="测绘总建筑面积法",ROUND(SUM('附表4-项目间分摊信息采集表'!$F$5)/SUMPRODUCT(SUMIFS('附表4-项目间分摊信息采集表'!$F:$F,'附表4-项目间分摊信息采集表'!$B:$B,S24:AB24)),20),IF(L24="可售建筑面积法",ROUND(SUM('附表4-项目间分摊信息采集表'!$G$5)/SUMPRODUCT(SUMIFS('附表4-项目间分摊信息采集表'!$G:$G,'附表4-项目间分摊信息采集表'!$B:$B,S24:AB24)),20),IF(L24="其他分摊方法",ROUND(SUM('附表4-项目间分摊信息采集表'!$H$5)/SUMPRODUCT(SUMIFS('附表4-项目间分摊信息采集表'!$H:$H,'附表4-项目间分摊信息采集表'!$B:$B,S24:AB24)),20),IF(L24="手工填写分摊比例","请填写分摊比例",100%))))),IF(COUNTA(S24:AB24)&gt;=1,0%,100%)),100%)</f>
        <v>1</v>
      </c>
      <c r="N24" s="97">
        <f>SUMIFS('附表7-扣除项目明细采集底稿'!$R:$R,'附表7-扣除项目明细采集底稿'!$G:$G,B24)</f>
        <v>300000</v>
      </c>
      <c r="O24" s="90" t="s">
        <v>4651</v>
      </c>
      <c r="P24" s="113">
        <f>SUMIFS('附表7-扣除项目明细采集底稿'!$T:$T,'附表7-扣除项目明细采集底稿'!$G:$G,$B24)</f>
        <v>300000</v>
      </c>
      <c r="Q24" s="117">
        <f t="shared" ref="Q24:Q60" si="1">ROUND(SUM(N24)-SUM(O24)-SUM(P24),2)</f>
        <v>0</v>
      </c>
      <c r="R24" s="118"/>
      <c r="S24" s="90"/>
      <c r="T24" s="90"/>
      <c r="U24" s="90"/>
      <c r="V24" s="90"/>
      <c r="W24" s="90"/>
      <c r="X24" s="90"/>
      <c r="Y24" s="90"/>
      <c r="Z24" s="90"/>
      <c r="AA24" s="90"/>
      <c r="AB24" s="90"/>
    </row>
    <row r="25" s="80" customFormat="1" ht="15.05" spans="1:28">
      <c r="A25" s="90">
        <v>112</v>
      </c>
      <c r="B25" s="91" t="s">
        <v>2623</v>
      </c>
      <c r="C25" s="100" t="s">
        <v>4684</v>
      </c>
      <c r="D25" s="93" t="s">
        <v>4675</v>
      </c>
      <c r="E25" s="94" t="s">
        <v>2624</v>
      </c>
      <c r="F25" s="95">
        <v>43658</v>
      </c>
      <c r="G25" s="96">
        <v>12137</v>
      </c>
      <c r="H25" s="97">
        <v>0</v>
      </c>
      <c r="I25" s="96" t="s">
        <v>4650</v>
      </c>
      <c r="J25" s="90" t="s">
        <v>4650</v>
      </c>
      <c r="K25" s="90" t="s">
        <v>4650</v>
      </c>
      <c r="L25" s="90"/>
      <c r="M25" s="112">
        <f>IFERROR(IF(COUNTIFS(S25:AB25,清算项目基本情况表!$D$6)&gt;=1,IF(L25="占地面积法",ROUND(SUM('附表4-项目间分摊信息采集表'!$E$5)/SUMPRODUCT(SUMIFS('附表4-项目间分摊信息采集表'!$E:$E,'附表4-项目间分摊信息采集表'!$B:$B,S25:AB25)),20),IF(L25="测绘总建筑面积法",ROUND(SUM('附表4-项目间分摊信息采集表'!$F$5)/SUMPRODUCT(SUMIFS('附表4-项目间分摊信息采集表'!$F:$F,'附表4-项目间分摊信息采集表'!$B:$B,S25:AB25)),20),IF(L25="可售建筑面积法",ROUND(SUM('附表4-项目间分摊信息采集表'!$G$5)/SUMPRODUCT(SUMIFS('附表4-项目间分摊信息采集表'!$G:$G,'附表4-项目间分摊信息采集表'!$B:$B,S25:AB25)),20),IF(L25="其他分摊方法",ROUND(SUM('附表4-项目间分摊信息采集表'!$H$5)/SUMPRODUCT(SUMIFS('附表4-项目间分摊信息采集表'!$H:$H,'附表4-项目间分摊信息采集表'!$B:$B,S25:AB25)),20),IF(L25="手工填写分摊比例","请填写分摊比例",100%))))),IF(COUNTA(S25:AB25)&gt;=1,0%,100%)),100%)</f>
        <v>1</v>
      </c>
      <c r="N25" s="97">
        <f>SUMIFS('附表7-扣除项目明细采集底稿'!$R:$R,'附表7-扣除项目明细采集底稿'!$G:$G,B25)</f>
        <v>11783.5</v>
      </c>
      <c r="O25" s="90" t="s">
        <v>4651</v>
      </c>
      <c r="P25" s="113">
        <f>SUMIFS('附表7-扣除项目明细采集底稿'!$T:$T,'附表7-扣除项目明细采集底稿'!$G:$G,$B25)</f>
        <v>11783.5</v>
      </c>
      <c r="Q25" s="117">
        <f t="shared" si="1"/>
        <v>0</v>
      </c>
      <c r="R25" s="118"/>
      <c r="S25" s="90"/>
      <c r="T25" s="90"/>
      <c r="U25" s="90"/>
      <c r="V25" s="90"/>
      <c r="W25" s="90"/>
      <c r="X25" s="90"/>
      <c r="Y25" s="90"/>
      <c r="Z25" s="90"/>
      <c r="AA25" s="90"/>
      <c r="AB25" s="90"/>
    </row>
    <row r="26" s="80" customFormat="1" ht="15.05" spans="1:28">
      <c r="A26" s="90">
        <v>199</v>
      </c>
      <c r="B26" s="91" t="s">
        <v>2431</v>
      </c>
      <c r="C26" s="100" t="s">
        <v>4685</v>
      </c>
      <c r="D26" s="93" t="s">
        <v>4675</v>
      </c>
      <c r="E26" s="94" t="s">
        <v>2432</v>
      </c>
      <c r="F26" s="95">
        <v>43407</v>
      </c>
      <c r="G26" s="96">
        <v>23000</v>
      </c>
      <c r="H26" s="97">
        <v>0</v>
      </c>
      <c r="I26" s="96" t="s">
        <v>4650</v>
      </c>
      <c r="J26" s="90" t="s">
        <v>4650</v>
      </c>
      <c r="K26" s="90" t="s">
        <v>4650</v>
      </c>
      <c r="L26" s="90"/>
      <c r="M26" s="112">
        <f>IFERROR(IF(COUNTIFS(S26:AB26,清算项目基本情况表!$D$6)&gt;=1,IF(L26="占地面积法",ROUND(SUM('附表4-项目间分摊信息采集表'!$E$5)/SUMPRODUCT(SUMIFS('附表4-项目间分摊信息采集表'!$E:$E,'附表4-项目间分摊信息采集表'!$B:$B,S26:AB26)),20),IF(L26="测绘总建筑面积法",ROUND(SUM('附表4-项目间分摊信息采集表'!$F$5)/SUMPRODUCT(SUMIFS('附表4-项目间分摊信息采集表'!$F:$F,'附表4-项目间分摊信息采集表'!$B:$B,S26:AB26)),20),IF(L26="可售建筑面积法",ROUND(SUM('附表4-项目间分摊信息采集表'!$G$5)/SUMPRODUCT(SUMIFS('附表4-项目间分摊信息采集表'!$G:$G,'附表4-项目间分摊信息采集表'!$B:$B,S26:AB26)),20),IF(L26="其他分摊方法",ROUND(SUM('附表4-项目间分摊信息采集表'!$H$5)/SUMPRODUCT(SUMIFS('附表4-项目间分摊信息采集表'!$H:$H,'附表4-项目间分摊信息采集表'!$B:$B,S26:AB26)),20),IF(L26="手工填写分摊比例","请填写分摊比例",100%))))),IF(COUNTA(S26:AB26)&gt;=1,0%,100%)),100%)</f>
        <v>1</v>
      </c>
      <c r="N26" s="97">
        <f>SUMIFS('附表7-扣除项目明细采集底稿'!$R:$R,'附表7-扣除项目明细采集底稿'!$G:$G,B26)</f>
        <v>21666.98</v>
      </c>
      <c r="O26" s="90" t="s">
        <v>4651</v>
      </c>
      <c r="P26" s="113">
        <f>SUMIFS('附表7-扣除项目明细采集底稿'!$T:$T,'附表7-扣除项目明细采集底稿'!$G:$G,$B26)</f>
        <v>21666.98</v>
      </c>
      <c r="Q26" s="117">
        <f t="shared" si="1"/>
        <v>0</v>
      </c>
      <c r="R26" s="118"/>
      <c r="S26" s="90"/>
      <c r="T26" s="90"/>
      <c r="U26" s="90"/>
      <c r="V26" s="90"/>
      <c r="W26" s="90"/>
      <c r="X26" s="90"/>
      <c r="Y26" s="90"/>
      <c r="Z26" s="90"/>
      <c r="AA26" s="90"/>
      <c r="AB26" s="90"/>
    </row>
    <row r="27" s="80" customFormat="1" ht="15.05" spans="1:28">
      <c r="A27" s="90">
        <v>22</v>
      </c>
      <c r="B27" s="91" t="s">
        <v>2515</v>
      </c>
      <c r="C27" s="99" t="s">
        <v>4686</v>
      </c>
      <c r="D27" s="93" t="s">
        <v>4675</v>
      </c>
      <c r="E27" s="94" t="s">
        <v>2388</v>
      </c>
      <c r="F27" s="95">
        <v>43577</v>
      </c>
      <c r="G27" s="96">
        <v>274100</v>
      </c>
      <c r="H27" s="97">
        <v>258584.91</v>
      </c>
      <c r="I27" s="96" t="s">
        <v>4650</v>
      </c>
      <c r="J27" s="90" t="s">
        <v>4650</v>
      </c>
      <c r="K27" s="90" t="s">
        <v>4650</v>
      </c>
      <c r="L27" s="90"/>
      <c r="M27" s="112">
        <f>IFERROR(IF(COUNTIFS(S27:AB27,清算项目基本情况表!$D$6)&gt;=1,IF(L27="占地面积法",ROUND(SUM('附表4-项目间分摊信息采集表'!$E$5)/SUMPRODUCT(SUMIFS('附表4-项目间分摊信息采集表'!$E:$E,'附表4-项目间分摊信息采集表'!$B:$B,S27:AB27)),20),IF(L27="测绘总建筑面积法",ROUND(SUM('附表4-项目间分摊信息采集表'!$F$5)/SUMPRODUCT(SUMIFS('附表4-项目间分摊信息采集表'!$F:$F,'附表4-项目间分摊信息采集表'!$B:$B,S27:AB27)),20),IF(L27="可售建筑面积法",ROUND(SUM('附表4-项目间分摊信息采集表'!$G$5)/SUMPRODUCT(SUMIFS('附表4-项目间分摊信息采集表'!$G:$G,'附表4-项目间分摊信息采集表'!$B:$B,S27:AB27)),20),IF(L27="其他分摊方法",ROUND(SUM('附表4-项目间分摊信息采集表'!$H$5)/SUMPRODUCT(SUMIFS('附表4-项目间分摊信息采集表'!$H:$H,'附表4-项目间分摊信息采集表'!$B:$B,S27:AB27)),20),IF(L27="手工填写分摊比例","请填写分摊比例",100%))))),IF(COUNTA(S27:AB27)&gt;=1,0%,100%)),100%)</f>
        <v>1</v>
      </c>
      <c r="N27" s="97">
        <f>SUMIFS('附表7-扣除项目明细采集底稿'!$R:$R,'附表7-扣除项目明细采集底稿'!$G:$G,B27)</f>
        <v>258594.34</v>
      </c>
      <c r="O27" s="90" t="s">
        <v>4651</v>
      </c>
      <c r="P27" s="113">
        <f>SUMIFS('附表7-扣除项目明细采集底稿'!$T:$T,'附表7-扣除项目明细采集底稿'!$G:$G,$B27)</f>
        <v>258594.34</v>
      </c>
      <c r="Q27" s="117">
        <f t="shared" si="1"/>
        <v>0</v>
      </c>
      <c r="R27" s="118"/>
      <c r="S27" s="90"/>
      <c r="T27" s="90"/>
      <c r="U27" s="90"/>
      <c r="V27" s="90"/>
      <c r="W27" s="90"/>
      <c r="X27" s="90"/>
      <c r="Y27" s="90"/>
      <c r="Z27" s="90"/>
      <c r="AA27" s="90"/>
      <c r="AB27" s="90"/>
    </row>
    <row r="28" s="80" customFormat="1" ht="15.05" spans="1:28">
      <c r="A28" s="90">
        <v>193</v>
      </c>
      <c r="B28" s="91" t="s">
        <v>2365</v>
      </c>
      <c r="C28" s="100" t="s">
        <v>4687</v>
      </c>
      <c r="D28" s="93" t="s">
        <v>4655</v>
      </c>
      <c r="E28" s="94" t="s">
        <v>4688</v>
      </c>
      <c r="F28" s="107" t="s">
        <v>4689</v>
      </c>
      <c r="G28" s="96">
        <v>1569</v>
      </c>
      <c r="H28" s="97">
        <v>0</v>
      </c>
      <c r="I28" s="96" t="s">
        <v>4650</v>
      </c>
      <c r="J28" s="90" t="s">
        <v>4650</v>
      </c>
      <c r="K28" s="90" t="s">
        <v>4650</v>
      </c>
      <c r="L28" s="90"/>
      <c r="M28" s="112">
        <f>IFERROR(IF(COUNTIFS(S28:AB28,清算项目基本情况表!$D$6)&gt;=1,IF(L28="占地面积法",ROUND(SUM('附表4-项目间分摊信息采集表'!$E$5)/SUMPRODUCT(SUMIFS('附表4-项目间分摊信息采集表'!$E:$E,'附表4-项目间分摊信息采集表'!$B:$B,S28:AB28)),20),IF(L28="测绘总建筑面积法",ROUND(SUM('附表4-项目间分摊信息采集表'!$F$5)/SUMPRODUCT(SUMIFS('附表4-项目间分摊信息采集表'!$F:$F,'附表4-项目间分摊信息采集表'!$B:$B,S28:AB28)),20),IF(L28="可售建筑面积法",ROUND(SUM('附表4-项目间分摊信息采集表'!$G$5)/SUMPRODUCT(SUMIFS('附表4-项目间分摊信息采集表'!$G:$G,'附表4-项目间分摊信息采集表'!$B:$B,S28:AB28)),20),IF(L28="其他分摊方法",ROUND(SUM('附表4-项目间分摊信息采集表'!$H$5)/SUMPRODUCT(SUMIFS('附表4-项目间分摊信息采集表'!$H:$H,'附表4-项目间分摊信息采集表'!$B:$B,S28:AB28)),20),IF(L28="手工填写分摊比例","请填写分摊比例",100%))))),IF(COUNTA(S28:AB28)&gt;=1,0%,100%)),100%)</f>
        <v>1</v>
      </c>
      <c r="N28" s="97">
        <f>SUMIFS('附表7-扣除项目明细采集底稿'!$R:$R,'附表7-扣除项目明细采集底稿'!$G:$G,B28)</f>
        <v>0</v>
      </c>
      <c r="O28" s="90" t="s">
        <v>4651</v>
      </c>
      <c r="P28" s="113">
        <f>SUMIFS('附表7-扣除项目明细采集底稿'!$T:$T,'附表7-扣除项目明细采集底稿'!$G:$G,$B28)</f>
        <v>0</v>
      </c>
      <c r="Q28" s="117">
        <f t="shared" si="1"/>
        <v>0</v>
      </c>
      <c r="R28" s="118"/>
      <c r="S28" s="90"/>
      <c r="T28" s="90"/>
      <c r="U28" s="90"/>
      <c r="V28" s="90"/>
      <c r="W28" s="90"/>
      <c r="X28" s="90"/>
      <c r="Y28" s="90"/>
      <c r="Z28" s="90"/>
      <c r="AA28" s="90"/>
      <c r="AB28" s="90"/>
    </row>
    <row r="29" s="80" customFormat="1" ht="15.05" spans="1:28">
      <c r="A29" s="90">
        <v>114</v>
      </c>
      <c r="B29" s="91" t="s">
        <v>2803</v>
      </c>
      <c r="C29" s="100" t="s">
        <v>4690</v>
      </c>
      <c r="D29" s="93" t="s">
        <v>4675</v>
      </c>
      <c r="E29" s="94" t="s">
        <v>2624</v>
      </c>
      <c r="F29" s="95">
        <v>43775</v>
      </c>
      <c r="G29" s="96">
        <v>1826</v>
      </c>
      <c r="H29" s="97">
        <v>0</v>
      </c>
      <c r="I29" s="96" t="s">
        <v>4650</v>
      </c>
      <c r="J29" s="90" t="s">
        <v>4650</v>
      </c>
      <c r="K29" s="90" t="s">
        <v>4650</v>
      </c>
      <c r="L29" s="90"/>
      <c r="M29" s="112">
        <f>IFERROR(IF(COUNTIFS(S29:AB29,清算项目基本情况表!$D$6)&gt;=1,IF(L29="占地面积法",ROUND(SUM('附表4-项目间分摊信息采集表'!$E$5)/SUMPRODUCT(SUMIFS('附表4-项目间分摊信息采集表'!$E:$E,'附表4-项目间分摊信息采集表'!$B:$B,S29:AB29)),20),IF(L29="测绘总建筑面积法",ROUND(SUM('附表4-项目间分摊信息采集表'!$F$5)/SUMPRODUCT(SUMIFS('附表4-项目间分摊信息采集表'!$F:$F,'附表4-项目间分摊信息采集表'!$B:$B,S29:AB29)),20),IF(L29="可售建筑面积法",ROUND(SUM('附表4-项目间分摊信息采集表'!$G$5)/SUMPRODUCT(SUMIFS('附表4-项目间分摊信息采集表'!$G:$G,'附表4-项目间分摊信息采集表'!$B:$B,S29:AB29)),20),IF(L29="其他分摊方法",ROUND(SUM('附表4-项目间分摊信息采集表'!$H$5)/SUMPRODUCT(SUMIFS('附表4-项目间分摊信息采集表'!$H:$H,'附表4-项目间分摊信息采集表'!$B:$B,S29:AB29)),20),IF(L29="手工填写分摊比例","请填写分摊比例",100%))))),IF(COUNTA(S29:AB29)&gt;=1,0%,100%)),100%)</f>
        <v>1</v>
      </c>
      <c r="N29" s="97">
        <f>SUMIFS('附表7-扣除项目明细采集底稿'!$R:$R,'附表7-扣除项目明细采集底稿'!$G:$G,B29)</f>
        <v>1772.82</v>
      </c>
      <c r="O29" s="90" t="s">
        <v>4651</v>
      </c>
      <c r="P29" s="113">
        <f>SUMIFS('附表7-扣除项目明细采集底稿'!$T:$T,'附表7-扣除项目明细采集底稿'!$G:$G,$B29)</f>
        <v>1772.82</v>
      </c>
      <c r="Q29" s="117">
        <f t="shared" si="1"/>
        <v>0</v>
      </c>
      <c r="R29" s="118"/>
      <c r="S29" s="90"/>
      <c r="T29" s="90"/>
      <c r="U29" s="90"/>
      <c r="V29" s="90"/>
      <c r="W29" s="90"/>
      <c r="X29" s="90"/>
      <c r="Y29" s="90"/>
      <c r="Z29" s="90"/>
      <c r="AA29" s="90"/>
      <c r="AB29" s="90"/>
    </row>
    <row r="30" s="80" customFormat="1" ht="15.05" spans="1:28">
      <c r="A30" s="90">
        <v>113</v>
      </c>
      <c r="B30" s="91" t="s">
        <v>2740</v>
      </c>
      <c r="C30" s="100" t="s">
        <v>4691</v>
      </c>
      <c r="D30" s="93" t="s">
        <v>4675</v>
      </c>
      <c r="E30" s="94" t="s">
        <v>2624</v>
      </c>
      <c r="F30" s="95">
        <v>43754</v>
      </c>
      <c r="G30" s="96">
        <v>17211</v>
      </c>
      <c r="H30" s="97">
        <v>0</v>
      </c>
      <c r="I30" s="96" t="s">
        <v>4650</v>
      </c>
      <c r="J30" s="90" t="s">
        <v>4650</v>
      </c>
      <c r="K30" s="90" t="s">
        <v>4650</v>
      </c>
      <c r="L30" s="90"/>
      <c r="M30" s="112">
        <f>IFERROR(IF(COUNTIFS(S30:AB30,清算项目基本情况表!$D$6)&gt;=1,IF(L30="占地面积法",ROUND(SUM('附表4-项目间分摊信息采集表'!$E$5)/SUMPRODUCT(SUMIFS('附表4-项目间分摊信息采集表'!$E:$E,'附表4-项目间分摊信息采集表'!$B:$B,S30:AB30)),20),IF(L30="测绘总建筑面积法",ROUND(SUM('附表4-项目间分摊信息采集表'!$F$5)/SUMPRODUCT(SUMIFS('附表4-项目间分摊信息采集表'!$F:$F,'附表4-项目间分摊信息采集表'!$B:$B,S30:AB30)),20),IF(L30="可售建筑面积法",ROUND(SUM('附表4-项目间分摊信息采集表'!$G$5)/SUMPRODUCT(SUMIFS('附表4-项目间分摊信息采集表'!$G:$G,'附表4-项目间分摊信息采集表'!$B:$B,S30:AB30)),20),IF(L30="其他分摊方法",ROUND(SUM('附表4-项目间分摊信息采集表'!$H$5)/SUMPRODUCT(SUMIFS('附表4-项目间分摊信息采集表'!$H:$H,'附表4-项目间分摊信息采集表'!$B:$B,S30:AB30)),20),IF(L30="手工填写分摊比例","请填写分摊比例",100%))))),IF(COUNTA(S30:AB30)&gt;=1,0%,100%)),100%)</f>
        <v>1</v>
      </c>
      <c r="N30" s="97">
        <f>SUMIFS('附表7-扣除项目明细采集底稿'!$R:$R,'附表7-扣除项目明细采集底稿'!$G:$G,B30)</f>
        <v>16709.71</v>
      </c>
      <c r="O30" s="90" t="s">
        <v>4651</v>
      </c>
      <c r="P30" s="113">
        <f>SUMIFS('附表7-扣除项目明细采集底稿'!$T:$T,'附表7-扣除项目明细采集底稿'!$G:$G,$B30)</f>
        <v>16709.71</v>
      </c>
      <c r="Q30" s="117">
        <f t="shared" si="1"/>
        <v>0</v>
      </c>
      <c r="R30" s="118"/>
      <c r="S30" s="90"/>
      <c r="T30" s="90"/>
      <c r="U30" s="90"/>
      <c r="V30" s="90"/>
      <c r="W30" s="90"/>
      <c r="X30" s="90"/>
      <c r="Y30" s="90"/>
      <c r="Z30" s="90"/>
      <c r="AA30" s="90"/>
      <c r="AB30" s="90"/>
    </row>
    <row r="31" s="80" customFormat="1" ht="15.05" spans="1:28">
      <c r="A31" s="90">
        <v>24</v>
      </c>
      <c r="B31" s="91" t="s">
        <v>2415</v>
      </c>
      <c r="C31" s="99" t="s">
        <v>4692</v>
      </c>
      <c r="D31" s="93" t="s">
        <v>4675</v>
      </c>
      <c r="E31" s="94" t="s">
        <v>2388</v>
      </c>
      <c r="F31" s="95">
        <v>43427</v>
      </c>
      <c r="G31" s="96">
        <v>204200</v>
      </c>
      <c r="H31" s="97">
        <v>192641.51</v>
      </c>
      <c r="I31" s="96" t="s">
        <v>4650</v>
      </c>
      <c r="J31" s="90" t="s">
        <v>4650</v>
      </c>
      <c r="K31" s="90" t="s">
        <v>4650</v>
      </c>
      <c r="L31" s="90"/>
      <c r="M31" s="112">
        <f>IFERROR(IF(COUNTIFS(S31:AB31,清算项目基本情况表!$D$6)&gt;=1,IF(L31="占地面积法",ROUND(SUM('附表4-项目间分摊信息采集表'!$E$5)/SUMPRODUCT(SUMIFS('附表4-项目间分摊信息采集表'!$E:$E,'附表4-项目间分摊信息采集表'!$B:$B,S31:AB31)),20),IF(L31="测绘总建筑面积法",ROUND(SUM('附表4-项目间分摊信息采集表'!$F$5)/SUMPRODUCT(SUMIFS('附表4-项目间分摊信息采集表'!$F:$F,'附表4-项目间分摊信息采集表'!$B:$B,S31:AB31)),20),IF(L31="可售建筑面积法",ROUND(SUM('附表4-项目间分摊信息采集表'!$G$5)/SUMPRODUCT(SUMIFS('附表4-项目间分摊信息采集表'!$G:$G,'附表4-项目间分摊信息采集表'!$B:$B,S31:AB31)),20),IF(L31="其他分摊方法",ROUND(SUM('附表4-项目间分摊信息采集表'!$H$5)/SUMPRODUCT(SUMIFS('附表4-项目间分摊信息采集表'!$H:$H,'附表4-项目间分摊信息采集表'!$B:$B,S31:AB31)),20),IF(L31="手工填写分摊比例","请填写分摊比例",100%))))),IF(COUNTA(S31:AB31)&gt;=1,0%,100%)),100%)</f>
        <v>1</v>
      </c>
      <c r="N31" s="97">
        <f>SUMIFS('附表7-扣除项目明细采集底稿'!$R:$R,'附表7-扣除项目明细采集底稿'!$G:$G,B31)</f>
        <v>192641.5</v>
      </c>
      <c r="O31" s="90" t="s">
        <v>4651</v>
      </c>
      <c r="P31" s="113">
        <f>SUMIFS('附表7-扣除项目明细采集底稿'!$T:$T,'附表7-扣除项目明细采集底稿'!$G:$G,$B31)</f>
        <v>192641.5</v>
      </c>
      <c r="Q31" s="117">
        <f t="shared" si="1"/>
        <v>0</v>
      </c>
      <c r="R31" s="118"/>
      <c r="S31" s="90"/>
      <c r="T31" s="90"/>
      <c r="U31" s="90"/>
      <c r="V31" s="90"/>
      <c r="W31" s="90"/>
      <c r="X31" s="90"/>
      <c r="Y31" s="90"/>
      <c r="Z31" s="90"/>
      <c r="AA31" s="90"/>
      <c r="AB31" s="90"/>
    </row>
    <row r="32" s="80" customFormat="1" ht="15.05" spans="1:28">
      <c r="A32" s="90">
        <v>20</v>
      </c>
      <c r="B32" s="91" t="s">
        <v>4138</v>
      </c>
      <c r="C32" s="99" t="s">
        <v>4693</v>
      </c>
      <c r="D32" s="93" t="s">
        <v>4675</v>
      </c>
      <c r="E32" s="94" t="s">
        <v>4681</v>
      </c>
      <c r="F32" s="95">
        <v>43922</v>
      </c>
      <c r="G32" s="96">
        <v>23500</v>
      </c>
      <c r="H32" s="97">
        <v>22169.81</v>
      </c>
      <c r="I32" s="96" t="s">
        <v>4650</v>
      </c>
      <c r="J32" s="90" t="s">
        <v>4650</v>
      </c>
      <c r="K32" s="90" t="s">
        <v>15</v>
      </c>
      <c r="L32" s="90" t="s">
        <v>351</v>
      </c>
      <c r="M32" s="112">
        <f>IFERROR(IF(COUNTIFS(S32:AB32,清算项目基本情况表!$D$6)&gt;=1,IF(L32="占地面积法",ROUND(SUM('附表4-项目间分摊信息采集表'!$E$5)/SUMPRODUCT(SUMIFS('附表4-项目间分摊信息采集表'!$E:$E,'附表4-项目间分摊信息采集表'!$B:$B,S32:AB32)),20),IF(L32="测绘总建筑面积法",ROUND(SUM('附表4-项目间分摊信息采集表'!$F$5)/SUMPRODUCT(SUMIFS('附表4-项目间分摊信息采集表'!$F:$F,'附表4-项目间分摊信息采集表'!$B:$B,S32:AB32)),20),IF(L32="可售建筑面积法",ROUND(SUM('附表4-项目间分摊信息采集表'!$G$5)/SUMPRODUCT(SUMIFS('附表4-项目间分摊信息采集表'!$G:$G,'附表4-项目间分摊信息采集表'!$B:$B,S32:AB32)),20),IF(L32="其他分摊方法",ROUND(SUM('附表4-项目间分摊信息采集表'!$H$5)/SUMPRODUCT(SUMIFS('附表4-项目间分摊信息采集表'!$H:$H,'附表4-项目间分摊信息采集表'!$B:$B,S32:AB32)),20),IF(L32="手工填写分摊比例","请填写分摊比例",100%))))),IF(COUNTA(S32:AB32)&gt;=1,0%,100%)),100%)</f>
        <v>0.338555832480367</v>
      </c>
      <c r="N32" s="97">
        <f>SUMIFS('附表7-扣除项目明细采集底稿'!$R:$R,'附表7-扣除项目明细采集底稿'!$G:$G,B32)</f>
        <v>22169.81</v>
      </c>
      <c r="O32" s="90" t="s">
        <v>4651</v>
      </c>
      <c r="P32" s="113">
        <f>SUMIFS('附表7-扣除项目明细采集底稿'!$T:$T,'附表7-扣除项目明细采集底稿'!$G:$G,$B32)</f>
        <v>7505.71</v>
      </c>
      <c r="Q32" s="117">
        <f t="shared" si="1"/>
        <v>14664.1</v>
      </c>
      <c r="R32" s="118"/>
      <c r="S32" s="90" t="s">
        <v>11</v>
      </c>
      <c r="T32" s="90" t="s">
        <v>46</v>
      </c>
      <c r="U32" s="90" t="s">
        <v>371</v>
      </c>
      <c r="V32" s="90"/>
      <c r="W32" s="90"/>
      <c r="X32" s="90"/>
      <c r="Y32" s="90"/>
      <c r="Z32" s="90"/>
      <c r="AA32" s="90"/>
      <c r="AB32" s="90"/>
    </row>
    <row r="33" s="80" customFormat="1" ht="30.05" spans="1:28">
      <c r="A33" s="90">
        <v>25</v>
      </c>
      <c r="B33" s="91" t="s">
        <v>2984</v>
      </c>
      <c r="C33" s="98" t="s">
        <v>4694</v>
      </c>
      <c r="D33" s="93" t="s">
        <v>4648</v>
      </c>
      <c r="E33" s="94" t="s">
        <v>2985</v>
      </c>
      <c r="F33" s="95">
        <v>43977</v>
      </c>
      <c r="G33" s="96">
        <v>435766.64</v>
      </c>
      <c r="H33" s="97">
        <v>411100.6</v>
      </c>
      <c r="I33" s="96" t="s">
        <v>4650</v>
      </c>
      <c r="J33" s="90" t="s">
        <v>4650</v>
      </c>
      <c r="K33" s="90" t="s">
        <v>4650</v>
      </c>
      <c r="L33" s="90"/>
      <c r="M33" s="112">
        <f>IFERROR(IF(COUNTIFS(S33:AB33,清算项目基本情况表!$D$6)&gt;=1,IF(L33="占地面积法",ROUND(SUM('附表4-项目间分摊信息采集表'!$E$5)/SUMPRODUCT(SUMIFS('附表4-项目间分摊信息采集表'!$E:$E,'附表4-项目间分摊信息采集表'!$B:$B,S33:AB33)),20),IF(L33="测绘总建筑面积法",ROUND(SUM('附表4-项目间分摊信息采集表'!$F$5)/SUMPRODUCT(SUMIFS('附表4-项目间分摊信息采集表'!$F:$F,'附表4-项目间分摊信息采集表'!$B:$B,S33:AB33)),20),IF(L33="可售建筑面积法",ROUND(SUM('附表4-项目间分摊信息采集表'!$G$5)/SUMPRODUCT(SUMIFS('附表4-项目间分摊信息采集表'!$G:$G,'附表4-项目间分摊信息采集表'!$B:$B,S33:AB33)),20),IF(L33="其他分摊方法",ROUND(SUM('附表4-项目间分摊信息采集表'!$H$5)/SUMPRODUCT(SUMIFS('附表4-项目间分摊信息采集表'!$H:$H,'附表4-项目间分摊信息采集表'!$B:$B,S33:AB33)),20),IF(L33="手工填写分摊比例","请填写分摊比例",100%))))),IF(COUNTA(S33:AB33)&gt;=1,0%,100%)),100%)</f>
        <v>1</v>
      </c>
      <c r="N33" s="97">
        <f>SUMIFS('附表7-扣除项目明细采集底稿'!$R:$R,'附表7-扣除项目明细采集底稿'!$G:$G,B33)</f>
        <v>415516.83</v>
      </c>
      <c r="O33" s="90" t="s">
        <v>4651</v>
      </c>
      <c r="P33" s="113">
        <f>SUMIFS('附表7-扣除项目明细采集底稿'!$T:$T,'附表7-扣除项目明细采集底稿'!$G:$G,$B33)</f>
        <v>415516.83</v>
      </c>
      <c r="Q33" s="117">
        <f t="shared" si="1"/>
        <v>0</v>
      </c>
      <c r="R33" s="118"/>
      <c r="S33" s="90"/>
      <c r="T33" s="90"/>
      <c r="U33" s="90"/>
      <c r="V33" s="90"/>
      <c r="W33" s="90"/>
      <c r="X33" s="90"/>
      <c r="Y33" s="90"/>
      <c r="Z33" s="90"/>
      <c r="AA33" s="90"/>
      <c r="AB33" s="90"/>
    </row>
    <row r="34" s="80" customFormat="1" ht="30.05" spans="1:28">
      <c r="A34" s="90">
        <v>77</v>
      </c>
      <c r="B34" s="91" t="s">
        <v>3064</v>
      </c>
      <c r="C34" s="98" t="s">
        <v>4695</v>
      </c>
      <c r="D34" s="93" t="s">
        <v>4648</v>
      </c>
      <c r="E34" s="94" t="s">
        <v>4696</v>
      </c>
      <c r="F34" s="95">
        <v>43977</v>
      </c>
      <c r="G34" s="96">
        <v>744800</v>
      </c>
      <c r="H34" s="97">
        <v>737425.74</v>
      </c>
      <c r="I34" s="96" t="s">
        <v>4650</v>
      </c>
      <c r="J34" s="90" t="s">
        <v>4650</v>
      </c>
      <c r="K34" s="90" t="s">
        <v>4650</v>
      </c>
      <c r="L34" s="90"/>
      <c r="M34" s="112">
        <f>IFERROR(IF(COUNTIFS(S34:AB34,清算项目基本情况表!$D$6)&gt;=1,IF(L34="占地面积法",ROUND(SUM('附表4-项目间分摊信息采集表'!$E$5)/SUMPRODUCT(SUMIFS('附表4-项目间分摊信息采集表'!$E:$E,'附表4-项目间分摊信息采集表'!$B:$B,S34:AB34)),20),IF(L34="测绘总建筑面积法",ROUND(SUM('附表4-项目间分摊信息采集表'!$F$5)/SUMPRODUCT(SUMIFS('附表4-项目间分摊信息采集表'!$F:$F,'附表4-项目间分摊信息采集表'!$B:$B,S34:AB34)),20),IF(L34="可售建筑面积法",ROUND(SUM('附表4-项目间分摊信息采集表'!$G$5)/SUMPRODUCT(SUMIFS('附表4-项目间分摊信息采集表'!$G:$G,'附表4-项目间分摊信息采集表'!$B:$B,S34:AB34)),20),IF(L34="其他分摊方法",ROUND(SUM('附表4-项目间分摊信息采集表'!$H$5)/SUMPRODUCT(SUMIFS('附表4-项目间分摊信息采集表'!$H:$H,'附表4-项目间分摊信息采集表'!$B:$B,S34:AB34)),20),IF(L34="手工填写分摊比例","请填写分摊比例",100%))))),IF(COUNTA(S34:AB34)&gt;=1,0%,100%)),100%)</f>
        <v>1</v>
      </c>
      <c r="N34" s="97">
        <f>SUMIFS('附表7-扣除项目明细采集底稿'!$R:$R,'附表7-扣除项目明细采集底稿'!$G:$G,B34)</f>
        <v>737425.73</v>
      </c>
      <c r="O34" s="90" t="s">
        <v>4651</v>
      </c>
      <c r="P34" s="113">
        <f>SUMIFS('附表7-扣除项目明细采集底稿'!$T:$T,'附表7-扣除项目明细采集底稿'!$G:$G,$B34)</f>
        <v>737425.73</v>
      </c>
      <c r="Q34" s="117">
        <f t="shared" si="1"/>
        <v>0</v>
      </c>
      <c r="R34" s="118"/>
      <c r="S34" s="90"/>
      <c r="T34" s="90"/>
      <c r="U34" s="90"/>
      <c r="V34" s="90"/>
      <c r="W34" s="90"/>
      <c r="X34" s="90"/>
      <c r="Y34" s="90"/>
      <c r="Z34" s="90"/>
      <c r="AA34" s="90"/>
      <c r="AB34" s="90"/>
    </row>
    <row r="35" s="80" customFormat="1" ht="30.05" spans="1:28">
      <c r="A35" s="90">
        <v>28</v>
      </c>
      <c r="B35" s="91" t="s">
        <v>3408</v>
      </c>
      <c r="C35" s="98" t="s">
        <v>4697</v>
      </c>
      <c r="D35" s="93" t="s">
        <v>4648</v>
      </c>
      <c r="E35" s="94" t="s">
        <v>2791</v>
      </c>
      <c r="F35" s="95">
        <v>43987</v>
      </c>
      <c r="G35" s="96">
        <v>744800</v>
      </c>
      <c r="H35" s="97">
        <v>737425.74</v>
      </c>
      <c r="I35" s="96" t="s">
        <v>4650</v>
      </c>
      <c r="J35" s="90" t="s">
        <v>4650</v>
      </c>
      <c r="K35" s="90" t="s">
        <v>4650</v>
      </c>
      <c r="L35" s="90"/>
      <c r="M35" s="112">
        <f>IFERROR(IF(COUNTIFS(S35:AB35,清算项目基本情况表!$D$6)&gt;=1,IF(L35="占地面积法",ROUND(SUM('附表4-项目间分摊信息采集表'!$E$5)/SUMPRODUCT(SUMIFS('附表4-项目间分摊信息采集表'!$E:$E,'附表4-项目间分摊信息采集表'!$B:$B,S35:AB35)),20),IF(L35="测绘总建筑面积法",ROUND(SUM('附表4-项目间分摊信息采集表'!$F$5)/SUMPRODUCT(SUMIFS('附表4-项目间分摊信息采集表'!$F:$F,'附表4-项目间分摊信息采集表'!$B:$B,S35:AB35)),20),IF(L35="可售建筑面积法",ROUND(SUM('附表4-项目间分摊信息采集表'!$G$5)/SUMPRODUCT(SUMIFS('附表4-项目间分摊信息采集表'!$G:$G,'附表4-项目间分摊信息采集表'!$B:$B,S35:AB35)),20),IF(L35="其他分摊方法",ROUND(SUM('附表4-项目间分摊信息采集表'!$H$5)/SUMPRODUCT(SUMIFS('附表4-项目间分摊信息采集表'!$H:$H,'附表4-项目间分摊信息采集表'!$B:$B,S35:AB35)),20),IF(L35="手工填写分摊比例","请填写分摊比例",100%))))),IF(COUNTA(S35:AB35)&gt;=1,0%,100%)),100%)</f>
        <v>1</v>
      </c>
      <c r="N35" s="97">
        <f>SUMIFS('附表7-扣除项目明细采集底稿'!$R:$R,'附表7-扣除项目明细采集底稿'!$G:$G,B35)</f>
        <v>737425.74</v>
      </c>
      <c r="O35" s="90" t="s">
        <v>4651</v>
      </c>
      <c r="P35" s="113">
        <f>SUMIFS('附表7-扣除项目明细采集底稿'!$T:$T,'附表7-扣除项目明细采集底稿'!$G:$G,$B35)</f>
        <v>737425.74</v>
      </c>
      <c r="Q35" s="117">
        <f t="shared" si="1"/>
        <v>0</v>
      </c>
      <c r="R35" s="118"/>
      <c r="S35" s="90"/>
      <c r="T35" s="90"/>
      <c r="U35" s="90"/>
      <c r="V35" s="90"/>
      <c r="W35" s="90"/>
      <c r="X35" s="90"/>
      <c r="Y35" s="90"/>
      <c r="Z35" s="90"/>
      <c r="AA35" s="90"/>
      <c r="AB35" s="90"/>
    </row>
    <row r="36" s="80" customFormat="1" ht="30.05" spans="1:28">
      <c r="A36" s="90">
        <v>29</v>
      </c>
      <c r="B36" s="91" t="s">
        <v>3345</v>
      </c>
      <c r="C36" s="98" t="s">
        <v>4698</v>
      </c>
      <c r="D36" s="93" t="s">
        <v>4648</v>
      </c>
      <c r="E36" s="94" t="s">
        <v>2791</v>
      </c>
      <c r="F36" s="95">
        <v>44086</v>
      </c>
      <c r="G36" s="96">
        <v>948000</v>
      </c>
      <c r="H36" s="97">
        <v>938613.86</v>
      </c>
      <c r="I36" s="96" t="s">
        <v>4650</v>
      </c>
      <c r="J36" s="90" t="s">
        <v>4650</v>
      </c>
      <c r="K36" s="90" t="s">
        <v>4650</v>
      </c>
      <c r="L36" s="90"/>
      <c r="M36" s="112">
        <f>IFERROR(IF(COUNTIFS(S36:AB36,清算项目基本情况表!$D$6)&gt;=1,IF(L36="占地面积法",ROUND(SUM('附表4-项目间分摊信息采集表'!$E$5)/SUMPRODUCT(SUMIFS('附表4-项目间分摊信息采集表'!$E:$E,'附表4-项目间分摊信息采集表'!$B:$B,S36:AB36)),20),IF(L36="测绘总建筑面积法",ROUND(SUM('附表4-项目间分摊信息采集表'!$F$5)/SUMPRODUCT(SUMIFS('附表4-项目间分摊信息采集表'!$F:$F,'附表4-项目间分摊信息采集表'!$B:$B,S36:AB36)),20),IF(L36="可售建筑面积法",ROUND(SUM('附表4-项目间分摊信息采集表'!$G$5)/SUMPRODUCT(SUMIFS('附表4-项目间分摊信息采集表'!$G:$G,'附表4-项目间分摊信息采集表'!$B:$B,S36:AB36)),20),IF(L36="其他分摊方法",ROUND(SUM('附表4-项目间分摊信息采集表'!$H$5)/SUMPRODUCT(SUMIFS('附表4-项目间分摊信息采集表'!$H:$H,'附表4-项目间分摊信息采集表'!$B:$B,S36:AB36)),20),IF(L36="手工填写分摊比例","请填写分摊比例",100%))))),IF(COUNTA(S36:AB36)&gt;=1,0%,100%)),100%)</f>
        <v>1</v>
      </c>
      <c r="N36" s="97">
        <f>SUMIFS('附表7-扣除项目明细采集底稿'!$R:$R,'附表7-扣除项目明细采集底稿'!$G:$G,B36)</f>
        <v>938613.85</v>
      </c>
      <c r="O36" s="90" t="s">
        <v>4651</v>
      </c>
      <c r="P36" s="113">
        <f>SUMIFS('附表7-扣除项目明细采集底稿'!$T:$T,'附表7-扣除项目明细采集底稿'!$G:$G,$B36)</f>
        <v>938613.85</v>
      </c>
      <c r="Q36" s="117">
        <f t="shared" si="1"/>
        <v>0</v>
      </c>
      <c r="R36" s="118"/>
      <c r="S36" s="90"/>
      <c r="T36" s="90"/>
      <c r="U36" s="90"/>
      <c r="V36" s="90"/>
      <c r="W36" s="90"/>
      <c r="X36" s="90"/>
      <c r="Y36" s="90"/>
      <c r="Z36" s="90"/>
      <c r="AA36" s="90"/>
      <c r="AB36" s="90"/>
    </row>
    <row r="37" s="80" customFormat="1" ht="30.05" spans="1:28">
      <c r="A37" s="90">
        <v>186</v>
      </c>
      <c r="B37" s="91" t="s">
        <v>3250</v>
      </c>
      <c r="C37" s="98" t="s">
        <v>4699</v>
      </c>
      <c r="D37" s="93" t="s">
        <v>4648</v>
      </c>
      <c r="E37" s="94" t="s">
        <v>4700</v>
      </c>
      <c r="F37" s="95">
        <v>44096</v>
      </c>
      <c r="G37" s="96">
        <v>2300000</v>
      </c>
      <c r="H37" s="97">
        <v>0</v>
      </c>
      <c r="I37" s="96" t="s">
        <v>4650</v>
      </c>
      <c r="J37" s="90" t="s">
        <v>4650</v>
      </c>
      <c r="K37" s="90" t="s">
        <v>4650</v>
      </c>
      <c r="L37" s="90"/>
      <c r="M37" s="112">
        <f>IFERROR(IF(COUNTIFS(S37:AB37,清算项目基本情况表!$D$6)&gt;=1,IF(L37="占地面积法",ROUND(SUM('附表4-项目间分摊信息采集表'!$E$5)/SUMPRODUCT(SUMIFS('附表4-项目间分摊信息采集表'!$E:$E,'附表4-项目间分摊信息采集表'!$B:$B,S37:AB37)),20),IF(L37="测绘总建筑面积法",ROUND(SUM('附表4-项目间分摊信息采集表'!$F$5)/SUMPRODUCT(SUMIFS('附表4-项目间分摊信息采集表'!$F:$F,'附表4-项目间分摊信息采集表'!$B:$B,S37:AB37)),20),IF(L37="可售建筑面积法",ROUND(SUM('附表4-项目间分摊信息采集表'!$G$5)/SUMPRODUCT(SUMIFS('附表4-项目间分摊信息采集表'!$G:$G,'附表4-项目间分摊信息采集表'!$B:$B,S37:AB37)),20),IF(L37="其他分摊方法",ROUND(SUM('附表4-项目间分摊信息采集表'!$H$5)/SUMPRODUCT(SUMIFS('附表4-项目间分摊信息采集表'!$H:$H,'附表4-项目间分摊信息采集表'!$B:$B,S37:AB37)),20),IF(L37="手工填写分摊比例","请填写分摊比例",100%))))),IF(COUNTA(S37:AB37)&gt;=1,0%,100%)),100%)</f>
        <v>1</v>
      </c>
      <c r="N37" s="97">
        <f>SUMIFS('附表7-扣除项目明细采集底稿'!$R:$R,'附表7-扣除项目明细采集底稿'!$G:$G,B37)</f>
        <v>2110091.78</v>
      </c>
      <c r="O37" s="90" t="s">
        <v>4651</v>
      </c>
      <c r="P37" s="113">
        <f>SUMIFS('附表7-扣除项目明细采集底稿'!$T:$T,'附表7-扣除项目明细采集底稿'!$G:$G,$B37)</f>
        <v>2110091.78</v>
      </c>
      <c r="Q37" s="117">
        <f t="shared" si="1"/>
        <v>0</v>
      </c>
      <c r="R37" s="118"/>
      <c r="S37" s="90"/>
      <c r="T37" s="90"/>
      <c r="U37" s="90"/>
      <c r="V37" s="90"/>
      <c r="W37" s="90"/>
      <c r="X37" s="90"/>
      <c r="Y37" s="90"/>
      <c r="Z37" s="90"/>
      <c r="AA37" s="90"/>
      <c r="AB37" s="90"/>
    </row>
    <row r="38" s="80" customFormat="1" ht="30.05" spans="1:28">
      <c r="A38" s="90">
        <v>187</v>
      </c>
      <c r="B38" s="91" t="s">
        <v>3363</v>
      </c>
      <c r="C38" s="100" t="s">
        <v>4701</v>
      </c>
      <c r="D38" s="93" t="s">
        <v>4648</v>
      </c>
      <c r="E38" s="94" t="s">
        <v>4700</v>
      </c>
      <c r="F38" s="95">
        <v>44086</v>
      </c>
      <c r="G38" s="96">
        <v>2000000</v>
      </c>
      <c r="H38" s="97">
        <v>0</v>
      </c>
      <c r="I38" s="96" t="s">
        <v>4650</v>
      </c>
      <c r="J38" s="90" t="s">
        <v>4650</v>
      </c>
      <c r="K38" s="90" t="s">
        <v>4650</v>
      </c>
      <c r="L38" s="90"/>
      <c r="M38" s="112">
        <f>IFERROR(IF(COUNTIFS(S38:AB38,清算项目基本情况表!$D$6)&gt;=1,IF(L38="占地面积法",ROUND(SUM('附表4-项目间分摊信息采集表'!$E$5)/SUMPRODUCT(SUMIFS('附表4-项目间分摊信息采集表'!$E:$E,'附表4-项目间分摊信息采集表'!$B:$B,S38:AB38)),20),IF(L38="测绘总建筑面积法",ROUND(SUM('附表4-项目间分摊信息采集表'!$F$5)/SUMPRODUCT(SUMIFS('附表4-项目间分摊信息采集表'!$F:$F,'附表4-项目间分摊信息采集表'!$B:$B,S38:AB38)),20),IF(L38="可售建筑面积法",ROUND(SUM('附表4-项目间分摊信息采集表'!$G$5)/SUMPRODUCT(SUMIFS('附表4-项目间分摊信息采集表'!$G:$G,'附表4-项目间分摊信息采集表'!$B:$B,S38:AB38)),20),IF(L38="其他分摊方法",ROUND(SUM('附表4-项目间分摊信息采集表'!$H$5)/SUMPRODUCT(SUMIFS('附表4-项目间分摊信息采集表'!$H:$H,'附表4-项目间分摊信息采集表'!$B:$B,S38:AB38)),20),IF(L38="手工填写分摊比例","请填写分摊比例",100%))))),IF(COUNTA(S38:AB38)&gt;=1,0%,100%)),100%)</f>
        <v>1</v>
      </c>
      <c r="N38" s="97">
        <f>SUMIFS('附表7-扣除项目明细采集底稿'!$R:$R,'附表7-扣除项目明细采集底稿'!$G:$G,B38)</f>
        <v>1834862.4</v>
      </c>
      <c r="O38" s="90" t="s">
        <v>4651</v>
      </c>
      <c r="P38" s="113">
        <f>SUMIFS('附表7-扣除项目明细采集底稿'!$T:$T,'附表7-扣除项目明细采集底稿'!$G:$G,$B38)</f>
        <v>1834862.4</v>
      </c>
      <c r="Q38" s="117">
        <f t="shared" si="1"/>
        <v>0</v>
      </c>
      <c r="R38" s="118"/>
      <c r="S38" s="90"/>
      <c r="T38" s="90"/>
      <c r="U38" s="90"/>
      <c r="V38" s="90"/>
      <c r="W38" s="90"/>
      <c r="X38" s="90"/>
      <c r="Y38" s="90"/>
      <c r="Z38" s="90"/>
      <c r="AA38" s="90"/>
      <c r="AB38" s="90"/>
    </row>
    <row r="39" s="80" customFormat="1" ht="15.05" spans="1:28">
      <c r="A39" s="90">
        <v>157</v>
      </c>
      <c r="B39" s="91" t="s">
        <v>3463</v>
      </c>
      <c r="C39" s="100" t="s">
        <v>4702</v>
      </c>
      <c r="D39" s="93" t="s">
        <v>4655</v>
      </c>
      <c r="E39" s="94" t="s">
        <v>3464</v>
      </c>
      <c r="F39" s="95">
        <v>44146</v>
      </c>
      <c r="G39" s="96">
        <v>65000</v>
      </c>
      <c r="H39" s="97">
        <v>0</v>
      </c>
      <c r="I39" s="96" t="s">
        <v>4650</v>
      </c>
      <c r="J39" s="90" t="s">
        <v>4650</v>
      </c>
      <c r="K39" s="90" t="s">
        <v>4650</v>
      </c>
      <c r="L39" s="90"/>
      <c r="M39" s="112">
        <f>IFERROR(IF(COUNTIFS(S39:AB39,清算项目基本情况表!$D$6)&gt;=1,IF(L39="占地面积法",ROUND(SUM('附表4-项目间分摊信息采集表'!$E$5)/SUMPRODUCT(SUMIFS('附表4-项目间分摊信息采集表'!$E:$E,'附表4-项目间分摊信息采集表'!$B:$B,S39:AB39)),20),IF(L39="测绘总建筑面积法",ROUND(SUM('附表4-项目间分摊信息采集表'!$F$5)/SUMPRODUCT(SUMIFS('附表4-项目间分摊信息采集表'!$F:$F,'附表4-项目间分摊信息采集表'!$B:$B,S39:AB39)),20),IF(L39="可售建筑面积法",ROUND(SUM('附表4-项目间分摊信息采集表'!$G$5)/SUMPRODUCT(SUMIFS('附表4-项目间分摊信息采集表'!$G:$G,'附表4-项目间分摊信息采集表'!$B:$B,S39:AB39)),20),IF(L39="其他分摊方法",ROUND(SUM('附表4-项目间分摊信息采集表'!$H$5)/SUMPRODUCT(SUMIFS('附表4-项目间分摊信息采集表'!$H:$H,'附表4-项目间分摊信息采集表'!$B:$B,S39:AB39)),20),IF(L39="手工填写分摊比例","请填写分摊比例",100%))))),IF(COUNTA(S39:AB39)&gt;=1,0%,100%)),100%)</f>
        <v>1</v>
      </c>
      <c r="N39" s="97">
        <f>SUMIFS('附表7-扣除项目明细采集底稿'!$R:$R,'附表7-扣除项目明细采集底稿'!$G:$G,B39)</f>
        <v>32500</v>
      </c>
      <c r="O39" s="90" t="s">
        <v>4651</v>
      </c>
      <c r="P39" s="113">
        <f>SUMIFS('附表7-扣除项目明细采集底稿'!$T:$T,'附表7-扣除项目明细采集底稿'!$G:$G,$B39)</f>
        <v>32500</v>
      </c>
      <c r="Q39" s="117">
        <f t="shared" si="1"/>
        <v>0</v>
      </c>
      <c r="R39" s="118"/>
      <c r="S39" s="90"/>
      <c r="T39" s="90"/>
      <c r="U39" s="90"/>
      <c r="V39" s="90"/>
      <c r="W39" s="90"/>
      <c r="X39" s="90"/>
      <c r="Y39" s="90"/>
      <c r="Z39" s="90"/>
      <c r="AA39" s="90"/>
      <c r="AB39" s="90"/>
    </row>
    <row r="40" s="80" customFormat="1" ht="15.05" spans="1:28">
      <c r="A40" s="90">
        <v>154</v>
      </c>
      <c r="B40" s="91" t="s">
        <v>3516</v>
      </c>
      <c r="C40" s="100" t="s">
        <v>4703</v>
      </c>
      <c r="D40" s="93" t="s">
        <v>4655</v>
      </c>
      <c r="E40" s="94" t="s">
        <v>4704</v>
      </c>
      <c r="F40" s="95">
        <v>44133</v>
      </c>
      <c r="G40" s="96">
        <v>35741</v>
      </c>
      <c r="H40" s="97">
        <v>0</v>
      </c>
      <c r="I40" s="96" t="s">
        <v>4650</v>
      </c>
      <c r="J40" s="90" t="s">
        <v>4650</v>
      </c>
      <c r="K40" s="90" t="s">
        <v>4650</v>
      </c>
      <c r="L40" s="90"/>
      <c r="M40" s="112">
        <f>IFERROR(IF(COUNTIFS(S40:AB40,清算项目基本情况表!$D$6)&gt;=1,IF(L40="占地面积法",ROUND(SUM('附表4-项目间分摊信息采集表'!$E$5)/SUMPRODUCT(SUMIFS('附表4-项目间分摊信息采集表'!$E:$E,'附表4-项目间分摊信息采集表'!$B:$B,S40:AB40)),20),IF(L40="测绘总建筑面积法",ROUND(SUM('附表4-项目间分摊信息采集表'!$F$5)/SUMPRODUCT(SUMIFS('附表4-项目间分摊信息采集表'!$F:$F,'附表4-项目间分摊信息采集表'!$B:$B,S40:AB40)),20),IF(L40="可售建筑面积法",ROUND(SUM('附表4-项目间分摊信息采集表'!$G$5)/SUMPRODUCT(SUMIFS('附表4-项目间分摊信息采集表'!$G:$G,'附表4-项目间分摊信息采集表'!$B:$B,S40:AB40)),20),IF(L40="其他分摊方法",ROUND(SUM('附表4-项目间分摊信息采集表'!$H$5)/SUMPRODUCT(SUMIFS('附表4-项目间分摊信息采集表'!$H:$H,'附表4-项目间分摊信息采集表'!$B:$B,S40:AB40)),20),IF(L40="手工填写分摊比例","请填写分摊比例",100%))))),IF(COUNTA(S40:AB40)&gt;=1,0%,100%)),100%)</f>
        <v>1</v>
      </c>
      <c r="N40" s="97">
        <f>SUMIFS('附表7-扣除项目明细采集底稿'!$R:$R,'附表7-扣除项目明细采集底稿'!$G:$G,B40)</f>
        <v>0</v>
      </c>
      <c r="O40" s="90" t="s">
        <v>4651</v>
      </c>
      <c r="P40" s="113">
        <f>SUMIFS('附表7-扣除项目明细采集底稿'!$T:$T,'附表7-扣除项目明细采集底稿'!$G:$G,$B40)</f>
        <v>0</v>
      </c>
      <c r="Q40" s="117">
        <f t="shared" si="1"/>
        <v>0</v>
      </c>
      <c r="R40" s="118"/>
      <c r="S40" s="90"/>
      <c r="T40" s="90"/>
      <c r="U40" s="90"/>
      <c r="V40" s="90"/>
      <c r="W40" s="90"/>
      <c r="X40" s="90"/>
      <c r="Y40" s="90"/>
      <c r="Z40" s="90"/>
      <c r="AA40" s="90"/>
      <c r="AB40" s="90"/>
    </row>
    <row r="41" s="80" customFormat="1" ht="15.05" spans="1:28">
      <c r="A41" s="90">
        <v>153</v>
      </c>
      <c r="B41" s="91" t="s">
        <v>3553</v>
      </c>
      <c r="C41" s="100" t="s">
        <v>4703</v>
      </c>
      <c r="D41" s="93" t="s">
        <v>4655</v>
      </c>
      <c r="E41" s="94" t="s">
        <v>4705</v>
      </c>
      <c r="F41" s="107" t="s">
        <v>4689</v>
      </c>
      <c r="G41" s="96">
        <v>35741</v>
      </c>
      <c r="H41" s="97">
        <v>0</v>
      </c>
      <c r="I41" s="96" t="s">
        <v>4650</v>
      </c>
      <c r="J41" s="90" t="s">
        <v>4650</v>
      </c>
      <c r="K41" s="90" t="s">
        <v>4650</v>
      </c>
      <c r="L41" s="90"/>
      <c r="M41" s="112">
        <f>IFERROR(IF(COUNTIFS(S41:AB41,清算项目基本情况表!$D$6)&gt;=1,IF(L41="占地面积法",ROUND(SUM('附表4-项目间分摊信息采集表'!$E$5)/SUMPRODUCT(SUMIFS('附表4-项目间分摊信息采集表'!$E:$E,'附表4-项目间分摊信息采集表'!$B:$B,S41:AB41)),20),IF(L41="测绘总建筑面积法",ROUND(SUM('附表4-项目间分摊信息采集表'!$F$5)/SUMPRODUCT(SUMIFS('附表4-项目间分摊信息采集表'!$F:$F,'附表4-项目间分摊信息采集表'!$B:$B,S41:AB41)),20),IF(L41="可售建筑面积法",ROUND(SUM('附表4-项目间分摊信息采集表'!$G$5)/SUMPRODUCT(SUMIFS('附表4-项目间分摊信息采集表'!$G:$G,'附表4-项目间分摊信息采集表'!$B:$B,S41:AB41)),20),IF(L41="其他分摊方法",ROUND(SUM('附表4-项目间分摊信息采集表'!$H$5)/SUMPRODUCT(SUMIFS('附表4-项目间分摊信息采集表'!$H:$H,'附表4-项目间分摊信息采集表'!$B:$B,S41:AB41)),20),IF(L41="手工填写分摊比例","请填写分摊比例",100%))))),IF(COUNTA(S41:AB41)&gt;=1,0%,100%)),100%)</f>
        <v>1</v>
      </c>
      <c r="N41" s="97">
        <f>SUMIFS('附表7-扣除项目明细采集底稿'!$R:$R,'附表7-扣除项目明细采集底稿'!$G:$G,B41)</f>
        <v>0</v>
      </c>
      <c r="O41" s="90" t="s">
        <v>4651</v>
      </c>
      <c r="P41" s="113">
        <f>SUMIFS('附表7-扣除项目明细采集底稿'!$T:$T,'附表7-扣除项目明细采集底稿'!$G:$G,$B41)</f>
        <v>0</v>
      </c>
      <c r="Q41" s="117">
        <f t="shared" si="1"/>
        <v>0</v>
      </c>
      <c r="R41" s="118"/>
      <c r="S41" s="90"/>
      <c r="T41" s="90"/>
      <c r="U41" s="90"/>
      <c r="V41" s="90"/>
      <c r="W41" s="90"/>
      <c r="X41" s="90"/>
      <c r="Y41" s="90"/>
      <c r="Z41" s="90"/>
      <c r="AA41" s="90"/>
      <c r="AB41" s="90"/>
    </row>
    <row r="42" s="80" customFormat="1" ht="15.05" spans="1:28">
      <c r="A42" s="90">
        <v>155</v>
      </c>
      <c r="B42" s="91" t="s">
        <v>3376</v>
      </c>
      <c r="C42" s="100" t="s">
        <v>4706</v>
      </c>
      <c r="D42" s="93" t="s">
        <v>4655</v>
      </c>
      <c r="E42" s="94" t="s">
        <v>3377</v>
      </c>
      <c r="F42" s="95">
        <v>44144</v>
      </c>
      <c r="G42" s="96">
        <v>117639</v>
      </c>
      <c r="H42" s="97">
        <v>0</v>
      </c>
      <c r="I42" s="96" t="s">
        <v>4650</v>
      </c>
      <c r="J42" s="90" t="s">
        <v>4650</v>
      </c>
      <c r="K42" s="90" t="s">
        <v>4650</v>
      </c>
      <c r="L42" s="90"/>
      <c r="M42" s="112">
        <f>IFERROR(IF(COUNTIFS(S42:AB42,清算项目基本情况表!$D$6)&gt;=1,IF(L42="占地面积法",ROUND(SUM('附表4-项目间分摊信息采集表'!$E$5)/SUMPRODUCT(SUMIFS('附表4-项目间分摊信息采集表'!$E:$E,'附表4-项目间分摊信息采集表'!$B:$B,S42:AB42)),20),IF(L42="测绘总建筑面积法",ROUND(SUM('附表4-项目间分摊信息采集表'!$F$5)/SUMPRODUCT(SUMIFS('附表4-项目间分摊信息采集表'!$F:$F,'附表4-项目间分摊信息采集表'!$B:$B,S42:AB42)),20),IF(L42="可售建筑面积法",ROUND(SUM('附表4-项目间分摊信息采集表'!$G$5)/SUMPRODUCT(SUMIFS('附表4-项目间分摊信息采集表'!$G:$G,'附表4-项目间分摊信息采集表'!$B:$B,S42:AB42)),20),IF(L42="其他分摊方法",ROUND(SUM('附表4-项目间分摊信息采集表'!$H$5)/SUMPRODUCT(SUMIFS('附表4-项目间分摊信息采集表'!$H:$H,'附表4-项目间分摊信息采集表'!$B:$B,S42:AB42)),20),IF(L42="手工填写分摊比例","请填写分摊比例",100%))))),IF(COUNTA(S42:AB42)&gt;=1,0%,100%)),100%)</f>
        <v>1</v>
      </c>
      <c r="N42" s="97">
        <f>SUMIFS('附表7-扣除项目明细采集底稿'!$R:$R,'附表7-扣除项目明细采集底稿'!$G:$G,B42)</f>
        <v>117639</v>
      </c>
      <c r="O42" s="90" t="s">
        <v>4651</v>
      </c>
      <c r="P42" s="113">
        <f>SUMIFS('附表7-扣除项目明细采集底稿'!$T:$T,'附表7-扣除项目明细采集底稿'!$G:$G,$B42)</f>
        <v>117639</v>
      </c>
      <c r="Q42" s="117">
        <f t="shared" si="1"/>
        <v>0</v>
      </c>
      <c r="R42" s="118"/>
      <c r="S42" s="90"/>
      <c r="T42" s="90"/>
      <c r="U42" s="90"/>
      <c r="V42" s="90"/>
      <c r="W42" s="90"/>
      <c r="X42" s="90"/>
      <c r="Y42" s="90"/>
      <c r="Z42" s="90"/>
      <c r="AA42" s="90"/>
      <c r="AB42" s="90"/>
    </row>
    <row r="43" s="80" customFormat="1" ht="30.05" spans="1:28">
      <c r="A43" s="90">
        <v>80</v>
      </c>
      <c r="B43" s="91" t="s">
        <v>2600</v>
      </c>
      <c r="C43" s="100" t="s">
        <v>4707</v>
      </c>
      <c r="D43" s="93" t="s">
        <v>4648</v>
      </c>
      <c r="E43" s="99" t="s">
        <v>4708</v>
      </c>
      <c r="F43" s="95">
        <v>43595</v>
      </c>
      <c r="G43" s="96">
        <v>1700000</v>
      </c>
      <c r="H43" s="97">
        <v>0</v>
      </c>
      <c r="I43" s="96" t="s">
        <v>4650</v>
      </c>
      <c r="J43" s="90" t="s">
        <v>4650</v>
      </c>
      <c r="K43" s="90" t="s">
        <v>4650</v>
      </c>
      <c r="L43" s="90"/>
      <c r="M43" s="112">
        <f>IFERROR(IF(COUNTIFS(S43:AB43,清算项目基本情况表!$D$6)&gt;=1,IF(L43="占地面积法",ROUND(SUM('附表4-项目间分摊信息采集表'!$E$5)/SUMPRODUCT(SUMIFS('附表4-项目间分摊信息采集表'!$E:$E,'附表4-项目间分摊信息采集表'!$B:$B,S43:AB43)),20),IF(L43="测绘总建筑面积法",ROUND(SUM('附表4-项目间分摊信息采集表'!$F$5)/SUMPRODUCT(SUMIFS('附表4-项目间分摊信息采集表'!$F:$F,'附表4-项目间分摊信息采集表'!$B:$B,S43:AB43)),20),IF(L43="可售建筑面积法",ROUND(SUM('附表4-项目间分摊信息采集表'!$G$5)/SUMPRODUCT(SUMIFS('附表4-项目间分摊信息采集表'!$G:$G,'附表4-项目间分摊信息采集表'!$B:$B,S43:AB43)),20),IF(L43="其他分摊方法",ROUND(SUM('附表4-项目间分摊信息采集表'!$H$5)/SUMPRODUCT(SUMIFS('附表4-项目间分摊信息采集表'!$H:$H,'附表4-项目间分摊信息采集表'!$B:$B,S43:AB43)),20),IF(L43="手工填写分摊比例","请填写分摊比例",100%))))),IF(COUNTA(S43:AB43)&gt;=1,0%,100%)),100%)</f>
        <v>1</v>
      </c>
      <c r="N43" s="97">
        <f>SUMIFS('附表7-扣除项目明细采集底稿'!$R:$R,'附表7-扣除项目明细采集底稿'!$G:$G,B43)</f>
        <v>0</v>
      </c>
      <c r="O43" s="90" t="s">
        <v>4651</v>
      </c>
      <c r="P43" s="113">
        <f>SUMIFS('附表7-扣除项目明细采集底稿'!$T:$T,'附表7-扣除项目明细采集底稿'!$G:$G,$B43)</f>
        <v>0</v>
      </c>
      <c r="Q43" s="117">
        <f t="shared" si="1"/>
        <v>0</v>
      </c>
      <c r="R43" s="118"/>
      <c r="S43" s="90"/>
      <c r="T43" s="90"/>
      <c r="U43" s="90"/>
      <c r="V43" s="90"/>
      <c r="W43" s="90"/>
      <c r="X43" s="90"/>
      <c r="Y43" s="90"/>
      <c r="Z43" s="90"/>
      <c r="AA43" s="90"/>
      <c r="AB43" s="90"/>
    </row>
    <row r="44" s="80" customFormat="1" ht="15.05" spans="1:28">
      <c r="A44" s="90">
        <v>126</v>
      </c>
      <c r="B44" s="91" t="s">
        <v>2587</v>
      </c>
      <c r="C44" s="100" t="s">
        <v>4709</v>
      </c>
      <c r="D44" s="93" t="s">
        <v>4659</v>
      </c>
      <c r="E44" s="94" t="s">
        <v>4671</v>
      </c>
      <c r="F44" s="95">
        <v>43659</v>
      </c>
      <c r="G44" s="96">
        <v>1080000</v>
      </c>
      <c r="H44" s="97">
        <v>0</v>
      </c>
      <c r="I44" s="96" t="s">
        <v>4650</v>
      </c>
      <c r="J44" s="90" t="s">
        <v>4650</v>
      </c>
      <c r="K44" s="90" t="s">
        <v>4650</v>
      </c>
      <c r="L44" s="90"/>
      <c r="M44" s="112">
        <f>IFERROR(IF(COUNTIFS(S44:AB44,清算项目基本情况表!$D$6)&gt;=1,IF(L44="占地面积法",ROUND(SUM('附表4-项目间分摊信息采集表'!$E$5)/SUMPRODUCT(SUMIFS('附表4-项目间分摊信息采集表'!$E:$E,'附表4-项目间分摊信息采集表'!$B:$B,S44:AB44)),20),IF(L44="测绘总建筑面积法",ROUND(SUM('附表4-项目间分摊信息采集表'!$F$5)/SUMPRODUCT(SUMIFS('附表4-项目间分摊信息采集表'!$F:$F,'附表4-项目间分摊信息采集表'!$B:$B,S44:AB44)),20),IF(L44="可售建筑面积法",ROUND(SUM('附表4-项目间分摊信息采集表'!$G$5)/SUMPRODUCT(SUMIFS('附表4-项目间分摊信息采集表'!$G:$G,'附表4-项目间分摊信息采集表'!$B:$B,S44:AB44)),20),IF(L44="其他分摊方法",ROUND(SUM('附表4-项目间分摊信息采集表'!$H$5)/SUMPRODUCT(SUMIFS('附表4-项目间分摊信息采集表'!$H:$H,'附表4-项目间分摊信息采集表'!$B:$B,S44:AB44)),20),IF(L44="手工填写分摊比例","请填写分摊比例",100%))))),IF(COUNTA(S44:AB44)&gt;=1,0%,100%)),100%)</f>
        <v>1</v>
      </c>
      <c r="N44" s="97">
        <f>SUMIFS('附表7-扣除项目明细采集底稿'!$R:$R,'附表7-扣除项目明细采集底稿'!$G:$G,B44)</f>
        <v>1398230.15</v>
      </c>
      <c r="O44" s="90" t="s">
        <v>4651</v>
      </c>
      <c r="P44" s="113">
        <f>SUMIFS('附表7-扣除项目明细采集底稿'!$T:$T,'附表7-扣除项目明细采集底稿'!$G:$G,$B44)</f>
        <v>1398230.15</v>
      </c>
      <c r="Q44" s="117">
        <f t="shared" si="1"/>
        <v>0</v>
      </c>
      <c r="R44" s="118"/>
      <c r="S44" s="90"/>
      <c r="T44" s="90"/>
      <c r="U44" s="90"/>
      <c r="V44" s="90"/>
      <c r="W44" s="90"/>
      <c r="X44" s="90"/>
      <c r="Y44" s="90"/>
      <c r="Z44" s="90"/>
      <c r="AA44" s="90"/>
      <c r="AB44" s="90"/>
    </row>
    <row r="45" s="80" customFormat="1" ht="15.05" spans="1:28">
      <c r="A45" s="90">
        <v>57</v>
      </c>
      <c r="B45" s="91" t="s">
        <v>3511</v>
      </c>
      <c r="C45" s="100" t="s">
        <v>4710</v>
      </c>
      <c r="D45" s="93" t="s">
        <v>4655</v>
      </c>
      <c r="E45" s="99" t="s">
        <v>3512</v>
      </c>
      <c r="F45" s="95">
        <v>43952</v>
      </c>
      <c r="G45" s="96">
        <v>956556.07</v>
      </c>
      <c r="H45" s="97">
        <v>877574.38</v>
      </c>
      <c r="I45" s="96" t="s">
        <v>4650</v>
      </c>
      <c r="J45" s="90" t="s">
        <v>4650</v>
      </c>
      <c r="K45" s="90" t="s">
        <v>4650</v>
      </c>
      <c r="L45" s="90"/>
      <c r="M45" s="112">
        <f>IFERROR(IF(COUNTIFS(S45:AB45,清算项目基本情况表!$D$6)&gt;=1,IF(L45="占地面积法",ROUND(SUM('附表4-项目间分摊信息采集表'!$E$5)/SUMPRODUCT(SUMIFS('附表4-项目间分摊信息采集表'!$E:$E,'附表4-项目间分摊信息采集表'!$B:$B,S45:AB45)),20),IF(L45="测绘总建筑面积法",ROUND(SUM('附表4-项目间分摊信息采集表'!$F$5)/SUMPRODUCT(SUMIFS('附表4-项目间分摊信息采集表'!$F:$F,'附表4-项目间分摊信息采集表'!$B:$B,S45:AB45)),20),IF(L45="可售建筑面积法",ROUND(SUM('附表4-项目间分摊信息采集表'!$G$5)/SUMPRODUCT(SUMIFS('附表4-项目间分摊信息采集表'!$G:$G,'附表4-项目间分摊信息采集表'!$B:$B,S45:AB45)),20),IF(L45="其他分摊方法",ROUND(SUM('附表4-项目间分摊信息采集表'!$H$5)/SUMPRODUCT(SUMIFS('附表4-项目间分摊信息采集表'!$H:$H,'附表4-项目间分摊信息采集表'!$B:$B,S45:AB45)),20),IF(L45="手工填写分摊比例","请填写分摊比例",100%))))),IF(COUNTA(S45:AB45)&gt;=1,0%,100%)),100%)</f>
        <v>1</v>
      </c>
      <c r="N45" s="97">
        <f>SUMIFS('附表7-扣除项目明细采集底稿'!$R:$R,'附表7-扣除项目明细采集底稿'!$G:$G,B45)</f>
        <v>877574.38</v>
      </c>
      <c r="O45" s="90" t="s">
        <v>4651</v>
      </c>
      <c r="P45" s="113">
        <f>SUMIFS('附表7-扣除项目明细采集底稿'!$T:$T,'附表7-扣除项目明细采集底稿'!$G:$G,$B45)</f>
        <v>877574.38</v>
      </c>
      <c r="Q45" s="117">
        <f t="shared" si="1"/>
        <v>0</v>
      </c>
      <c r="R45" s="118"/>
      <c r="S45" s="90"/>
      <c r="T45" s="90"/>
      <c r="U45" s="90"/>
      <c r="V45" s="90"/>
      <c r="W45" s="90"/>
      <c r="X45" s="90"/>
      <c r="Y45" s="90"/>
      <c r="Z45" s="90"/>
      <c r="AA45" s="90"/>
      <c r="AB45" s="90"/>
    </row>
    <row r="46" s="80" customFormat="1" ht="30.05" spans="1:28">
      <c r="A46" s="90">
        <v>62</v>
      </c>
      <c r="B46" s="91" t="s">
        <v>4012</v>
      </c>
      <c r="C46" s="100" t="s">
        <v>4711</v>
      </c>
      <c r="D46" s="93" t="s">
        <v>4648</v>
      </c>
      <c r="E46" s="99" t="s">
        <v>3512</v>
      </c>
      <c r="F46" s="95">
        <v>44447</v>
      </c>
      <c r="G46" s="96">
        <v>93479.41</v>
      </c>
      <c r="H46" s="97">
        <v>85760.93</v>
      </c>
      <c r="I46" s="96" t="s">
        <v>4650</v>
      </c>
      <c r="J46" s="90" t="s">
        <v>4650</v>
      </c>
      <c r="K46" s="90" t="s">
        <v>15</v>
      </c>
      <c r="L46" s="90" t="s">
        <v>351</v>
      </c>
      <c r="M46" s="112">
        <f>IFERROR(IF(COUNTIFS(S46:AB46,清算项目基本情况表!$D$6)&gt;=1,IF(L46="占地面积法",ROUND(SUM('附表4-项目间分摊信息采集表'!$E$5)/SUMPRODUCT(SUMIFS('附表4-项目间分摊信息采集表'!$E:$E,'附表4-项目间分摊信息采集表'!$B:$B,S46:AB46)),20),IF(L46="测绘总建筑面积法",ROUND(SUM('附表4-项目间分摊信息采集表'!$F$5)/SUMPRODUCT(SUMIFS('附表4-项目间分摊信息采集表'!$F:$F,'附表4-项目间分摊信息采集表'!$B:$B,S46:AB46)),20),IF(L46="可售建筑面积法",ROUND(SUM('附表4-项目间分摊信息采集表'!$G$5)/SUMPRODUCT(SUMIFS('附表4-项目间分摊信息采集表'!$G:$G,'附表4-项目间分摊信息采集表'!$B:$B,S46:AB46)),20),IF(L46="其他分摊方法",ROUND(SUM('附表4-项目间分摊信息采集表'!$H$5)/SUMPRODUCT(SUMIFS('附表4-项目间分摊信息采集表'!$H:$H,'附表4-项目间分摊信息采集表'!$B:$B,S46:AB46)),20),IF(L46="手工填写分摊比例","请填写分摊比例",100%))))),IF(COUNTA(S46:AB46)&gt;=1,0%,100%)),100%)</f>
        <v>0.338555832480367</v>
      </c>
      <c r="N46" s="97">
        <f>SUMIFS('附表7-扣除项目明细采集底稿'!$R:$R,'附表7-扣除项目明细采集底稿'!$G:$G,B46)</f>
        <v>58966.86</v>
      </c>
      <c r="O46" s="90" t="s">
        <v>4651</v>
      </c>
      <c r="P46" s="113">
        <f>SUMIFS('附表7-扣除项目明细采集底稿'!$T:$T,'附表7-扣除项目明细采集底稿'!$G:$G,$B46)</f>
        <v>19963.57</v>
      </c>
      <c r="Q46" s="117">
        <f t="shared" si="1"/>
        <v>39003.29</v>
      </c>
      <c r="R46" s="118"/>
      <c r="S46" s="90" t="s">
        <v>11</v>
      </c>
      <c r="T46" s="90" t="s">
        <v>46</v>
      </c>
      <c r="U46" s="90" t="s">
        <v>371</v>
      </c>
      <c r="V46" s="90"/>
      <c r="W46" s="90"/>
      <c r="X46" s="90"/>
      <c r="Y46" s="90"/>
      <c r="Z46" s="90"/>
      <c r="AA46" s="90"/>
      <c r="AB46" s="90"/>
    </row>
    <row r="47" s="80" customFormat="1" ht="15.05" spans="1:28">
      <c r="A47" s="90">
        <v>8</v>
      </c>
      <c r="B47" s="91" t="s">
        <v>3823</v>
      </c>
      <c r="C47" s="100" t="s">
        <v>4712</v>
      </c>
      <c r="D47" s="93" t="s">
        <v>4675</v>
      </c>
      <c r="E47" s="94" t="s">
        <v>3824</v>
      </c>
      <c r="F47" s="95">
        <v>44344</v>
      </c>
      <c r="G47" s="96">
        <v>10500</v>
      </c>
      <c r="H47" s="97">
        <v>10396.04</v>
      </c>
      <c r="I47" s="96" t="s">
        <v>4650</v>
      </c>
      <c r="J47" s="90" t="s">
        <v>4650</v>
      </c>
      <c r="K47" s="90" t="s">
        <v>4650</v>
      </c>
      <c r="L47" s="90"/>
      <c r="M47" s="112">
        <f>IFERROR(IF(COUNTIFS(S47:AB47,清算项目基本情况表!$D$6)&gt;=1,IF(L47="占地面积法",ROUND(SUM('附表4-项目间分摊信息采集表'!$E$5)/SUMPRODUCT(SUMIFS('附表4-项目间分摊信息采集表'!$E:$E,'附表4-项目间分摊信息采集表'!$B:$B,S47:AB47)),20),IF(L47="测绘总建筑面积法",ROUND(SUM('附表4-项目间分摊信息采集表'!$F$5)/SUMPRODUCT(SUMIFS('附表4-项目间分摊信息采集表'!$F:$F,'附表4-项目间分摊信息采集表'!$B:$B,S47:AB47)),20),IF(L47="可售建筑面积法",ROUND(SUM('附表4-项目间分摊信息采集表'!$G$5)/SUMPRODUCT(SUMIFS('附表4-项目间分摊信息采集表'!$G:$G,'附表4-项目间分摊信息采集表'!$B:$B,S47:AB47)),20),IF(L47="其他分摊方法",ROUND(SUM('附表4-项目间分摊信息采集表'!$H$5)/SUMPRODUCT(SUMIFS('附表4-项目间分摊信息采集表'!$H:$H,'附表4-项目间分摊信息采集表'!$B:$B,S47:AB47)),20),IF(L47="手工填写分摊比例","请填写分摊比例",100%))))),IF(COUNTA(S47:AB47)&gt;=1,0%,100%)),100%)</f>
        <v>1</v>
      </c>
      <c r="N47" s="97">
        <f>SUMIFS('附表7-扣除项目明细采集底稿'!$R:$R,'附表7-扣除项目明细采集底稿'!$G:$G,B47)</f>
        <v>10396.04</v>
      </c>
      <c r="O47" s="90" t="s">
        <v>4651</v>
      </c>
      <c r="P47" s="113">
        <f>SUMIFS('附表7-扣除项目明细采集底稿'!$T:$T,'附表7-扣除项目明细采集底稿'!$G:$G,$B47)</f>
        <v>10396.04</v>
      </c>
      <c r="Q47" s="117">
        <f t="shared" si="1"/>
        <v>0</v>
      </c>
      <c r="R47" s="118"/>
      <c r="S47" s="90"/>
      <c r="T47" s="90"/>
      <c r="U47" s="90"/>
      <c r="V47" s="90"/>
      <c r="W47" s="90"/>
      <c r="X47" s="90"/>
      <c r="Y47" s="90"/>
      <c r="Z47" s="90"/>
      <c r="AA47" s="90"/>
      <c r="AB47" s="90"/>
    </row>
    <row r="48" s="80" customFormat="1" ht="15.05" spans="1:28">
      <c r="A48" s="90">
        <v>9</v>
      </c>
      <c r="B48" s="91" t="s">
        <v>3888</v>
      </c>
      <c r="C48" s="100" t="s">
        <v>4712</v>
      </c>
      <c r="D48" s="93" t="s">
        <v>4675</v>
      </c>
      <c r="E48" s="94" t="s">
        <v>4713</v>
      </c>
      <c r="F48" s="95">
        <v>44344</v>
      </c>
      <c r="G48" s="96">
        <v>10500</v>
      </c>
      <c r="H48" s="97">
        <v>10396.04</v>
      </c>
      <c r="I48" s="96" t="s">
        <v>4650</v>
      </c>
      <c r="J48" s="90" t="s">
        <v>4650</v>
      </c>
      <c r="K48" s="90" t="s">
        <v>4650</v>
      </c>
      <c r="L48" s="90"/>
      <c r="M48" s="112">
        <f>IFERROR(IF(COUNTIFS(S48:AB48,清算项目基本情况表!$D$6)&gt;=1,IF(L48="占地面积法",ROUND(SUM('附表4-项目间分摊信息采集表'!$E$5)/SUMPRODUCT(SUMIFS('附表4-项目间分摊信息采集表'!$E:$E,'附表4-项目间分摊信息采集表'!$B:$B,S48:AB48)),20),IF(L48="测绘总建筑面积法",ROUND(SUM('附表4-项目间分摊信息采集表'!$F$5)/SUMPRODUCT(SUMIFS('附表4-项目间分摊信息采集表'!$F:$F,'附表4-项目间分摊信息采集表'!$B:$B,S48:AB48)),20),IF(L48="可售建筑面积法",ROUND(SUM('附表4-项目间分摊信息采集表'!$G$5)/SUMPRODUCT(SUMIFS('附表4-项目间分摊信息采集表'!$G:$G,'附表4-项目间分摊信息采集表'!$B:$B,S48:AB48)),20),IF(L48="其他分摊方法",ROUND(SUM('附表4-项目间分摊信息采集表'!$H$5)/SUMPRODUCT(SUMIFS('附表4-项目间分摊信息采集表'!$H:$H,'附表4-项目间分摊信息采集表'!$B:$B,S48:AB48)),20),IF(L48="手工填写分摊比例","请填写分摊比例",100%))))),IF(COUNTA(S48:AB48)&gt;=1,0%,100%)),100%)</f>
        <v>1</v>
      </c>
      <c r="N48" s="97">
        <f>SUMIFS('附表7-扣除项目明细采集底稿'!$R:$R,'附表7-扣除项目明细采集底稿'!$G:$G,B48)</f>
        <v>0</v>
      </c>
      <c r="O48" s="90" t="s">
        <v>4651</v>
      </c>
      <c r="P48" s="113">
        <f>SUMIFS('附表7-扣除项目明细采集底稿'!$T:$T,'附表7-扣除项目明细采集底稿'!$G:$G,$B48)</f>
        <v>0</v>
      </c>
      <c r="Q48" s="117">
        <f t="shared" si="1"/>
        <v>0</v>
      </c>
      <c r="R48" s="118"/>
      <c r="S48" s="90"/>
      <c r="T48" s="90"/>
      <c r="U48" s="90"/>
      <c r="V48" s="90"/>
      <c r="W48" s="90"/>
      <c r="X48" s="90"/>
      <c r="Y48" s="90"/>
      <c r="Z48" s="90"/>
      <c r="AA48" s="90"/>
      <c r="AB48" s="90"/>
    </row>
    <row r="49" s="80" customFormat="1" ht="15.05" spans="1:28">
      <c r="A49" s="90">
        <v>5</v>
      </c>
      <c r="B49" s="91" t="s">
        <v>3218</v>
      </c>
      <c r="C49" s="99" t="s">
        <v>4714</v>
      </c>
      <c r="D49" s="93" t="s">
        <v>4655</v>
      </c>
      <c r="E49" s="99" t="s">
        <v>3219</v>
      </c>
      <c r="F49" s="95">
        <v>44016</v>
      </c>
      <c r="G49" s="96">
        <v>258000</v>
      </c>
      <c r="H49" s="97">
        <v>228318.59</v>
      </c>
      <c r="I49" s="96" t="s">
        <v>4650</v>
      </c>
      <c r="J49" s="90" t="s">
        <v>4650</v>
      </c>
      <c r="K49" s="90" t="s">
        <v>4650</v>
      </c>
      <c r="L49" s="90"/>
      <c r="M49" s="112">
        <f>IFERROR(IF(COUNTIFS(S49:AB49,清算项目基本情况表!$D$6)&gt;=1,IF(L49="占地面积法",ROUND(SUM('附表4-项目间分摊信息采集表'!$E$5)/SUMPRODUCT(SUMIFS('附表4-项目间分摊信息采集表'!$E:$E,'附表4-项目间分摊信息采集表'!$B:$B,S49:AB49)),20),IF(L49="测绘总建筑面积法",ROUND(SUM('附表4-项目间分摊信息采集表'!$F$5)/SUMPRODUCT(SUMIFS('附表4-项目间分摊信息采集表'!$F:$F,'附表4-项目间分摊信息采集表'!$B:$B,S49:AB49)),20),IF(L49="可售建筑面积法",ROUND(SUM('附表4-项目间分摊信息采集表'!$G$5)/SUMPRODUCT(SUMIFS('附表4-项目间分摊信息采集表'!$G:$G,'附表4-项目间分摊信息采集表'!$B:$B,S49:AB49)),20),IF(L49="其他分摊方法",ROUND(SUM('附表4-项目间分摊信息采集表'!$H$5)/SUMPRODUCT(SUMIFS('附表4-项目间分摊信息采集表'!$H:$H,'附表4-项目间分摊信息采集表'!$B:$B,S49:AB49)),20),IF(L49="手工填写分摊比例","请填写分摊比例",100%))))),IF(COUNTA(S49:AB49)&gt;=1,0%,100%)),100%)</f>
        <v>1</v>
      </c>
      <c r="N49" s="97">
        <f>SUMIFS('附表7-扣除项目明细采集底稿'!$R:$R,'附表7-扣除项目明细采集底稿'!$G:$G,B49)</f>
        <v>228318.59</v>
      </c>
      <c r="O49" s="90" t="s">
        <v>4651</v>
      </c>
      <c r="P49" s="113">
        <f>SUMIFS('附表7-扣除项目明细采集底稿'!$T:$T,'附表7-扣除项目明细采集底稿'!$G:$G,$B49)</f>
        <v>228318.59</v>
      </c>
      <c r="Q49" s="117">
        <f t="shared" si="1"/>
        <v>0</v>
      </c>
      <c r="R49" s="118"/>
      <c r="S49" s="90"/>
      <c r="T49" s="90"/>
      <c r="U49" s="90"/>
      <c r="V49" s="90"/>
      <c r="W49" s="90"/>
      <c r="X49" s="90"/>
      <c r="Y49" s="90"/>
      <c r="Z49" s="90"/>
      <c r="AA49" s="90"/>
      <c r="AB49" s="90"/>
    </row>
    <row r="50" s="80" customFormat="1" ht="15.05" spans="1:28">
      <c r="A50" s="90">
        <v>4</v>
      </c>
      <c r="B50" s="91" t="s">
        <v>3474</v>
      </c>
      <c r="C50" s="100" t="s">
        <v>4715</v>
      </c>
      <c r="D50" s="93" t="s">
        <v>4655</v>
      </c>
      <c r="E50" s="94" t="s">
        <v>3475</v>
      </c>
      <c r="F50" s="95">
        <v>44148</v>
      </c>
      <c r="G50" s="96">
        <v>1508535</v>
      </c>
      <c r="H50" s="97">
        <v>1334986.73</v>
      </c>
      <c r="I50" s="96" t="s">
        <v>4650</v>
      </c>
      <c r="J50" s="90" t="s">
        <v>4650</v>
      </c>
      <c r="K50" s="90" t="s">
        <v>4650</v>
      </c>
      <c r="L50" s="90"/>
      <c r="M50" s="112">
        <f>IFERROR(IF(COUNTIFS(S50:AB50,清算项目基本情况表!$D$6)&gt;=1,IF(L50="占地面积法",ROUND(SUM('附表4-项目间分摊信息采集表'!$E$5)/SUMPRODUCT(SUMIFS('附表4-项目间分摊信息采集表'!$E:$E,'附表4-项目间分摊信息采集表'!$B:$B,S50:AB50)),20),IF(L50="测绘总建筑面积法",ROUND(SUM('附表4-项目间分摊信息采集表'!$F$5)/SUMPRODUCT(SUMIFS('附表4-项目间分摊信息采集表'!$F:$F,'附表4-项目间分摊信息采集表'!$B:$B,S50:AB50)),20),IF(L50="可售建筑面积法",ROUND(SUM('附表4-项目间分摊信息采集表'!$G$5)/SUMPRODUCT(SUMIFS('附表4-项目间分摊信息采集表'!$G:$G,'附表4-项目间分摊信息采集表'!$B:$B,S50:AB50)),20),IF(L50="其他分摊方法",ROUND(SUM('附表4-项目间分摊信息采集表'!$H$5)/SUMPRODUCT(SUMIFS('附表4-项目间分摊信息采集表'!$H:$H,'附表4-项目间分摊信息采集表'!$B:$B,S50:AB50)),20),IF(L50="手工填写分摊比例","请填写分摊比例",100%))))),IF(COUNTA(S50:AB50)&gt;=1,0%,100%)),100%)</f>
        <v>1</v>
      </c>
      <c r="N50" s="97">
        <f>SUMIFS('附表7-扣除项目明细采集底稿'!$R:$R,'附表7-扣除项目明细采集底稿'!$G:$G,B50)</f>
        <v>1334986.72</v>
      </c>
      <c r="O50" s="90" t="s">
        <v>4651</v>
      </c>
      <c r="P50" s="113">
        <f>SUMIFS('附表7-扣除项目明细采集底稿'!$T:$T,'附表7-扣除项目明细采集底稿'!$G:$G,$B50)</f>
        <v>1334986.72</v>
      </c>
      <c r="Q50" s="117">
        <f t="shared" si="1"/>
        <v>0</v>
      </c>
      <c r="R50" s="118"/>
      <c r="S50" s="90"/>
      <c r="T50" s="90"/>
      <c r="U50" s="90"/>
      <c r="V50" s="90"/>
      <c r="W50" s="90"/>
      <c r="X50" s="90"/>
      <c r="Y50" s="90"/>
      <c r="Z50" s="90"/>
      <c r="AA50" s="90"/>
      <c r="AB50" s="90"/>
    </row>
    <row r="51" s="80" customFormat="1" ht="30.05" spans="1:28">
      <c r="A51" s="90">
        <v>2</v>
      </c>
      <c r="B51" s="91" t="s">
        <v>2658</v>
      </c>
      <c r="C51" s="100" t="s">
        <v>4716</v>
      </c>
      <c r="D51" s="93" t="s">
        <v>4648</v>
      </c>
      <c r="E51" s="94" t="s">
        <v>2659</v>
      </c>
      <c r="F51" s="95">
        <v>43701</v>
      </c>
      <c r="G51" s="96">
        <v>136320</v>
      </c>
      <c r="H51" s="97">
        <v>137982.29</v>
      </c>
      <c r="I51" s="96" t="s">
        <v>4650</v>
      </c>
      <c r="J51" s="90" t="s">
        <v>4650</v>
      </c>
      <c r="K51" s="90" t="s">
        <v>4650</v>
      </c>
      <c r="L51" s="90"/>
      <c r="M51" s="112">
        <f>IFERROR(IF(COUNTIFS(S51:AB51,清算项目基本情况表!$D$6)&gt;=1,IF(L51="占地面积法",ROUND(SUM('附表4-项目间分摊信息采集表'!$E$5)/SUMPRODUCT(SUMIFS('附表4-项目间分摊信息采集表'!$E:$E,'附表4-项目间分摊信息采集表'!$B:$B,S51:AB51)),20),IF(L51="测绘总建筑面积法",ROUND(SUM('附表4-项目间分摊信息采集表'!$F$5)/SUMPRODUCT(SUMIFS('附表4-项目间分摊信息采集表'!$F:$F,'附表4-项目间分摊信息采集表'!$B:$B,S51:AB51)),20),IF(L51="可售建筑面积法",ROUND(SUM('附表4-项目间分摊信息采集表'!$G$5)/SUMPRODUCT(SUMIFS('附表4-项目间分摊信息采集表'!$G:$G,'附表4-项目间分摊信息采集表'!$B:$B,S51:AB51)),20),IF(L51="其他分摊方法",ROUND(SUM('附表4-项目间分摊信息采集表'!$H$5)/SUMPRODUCT(SUMIFS('附表4-项目间分摊信息采集表'!$H:$H,'附表4-项目间分摊信息采集表'!$B:$B,S51:AB51)),20),IF(L51="手工填写分摊比例","请填写分摊比例",100%))))),IF(COUNTA(S51:AB51)&gt;=1,0%,100%)),100%)</f>
        <v>1</v>
      </c>
      <c r="N51" s="97">
        <f>SUMIFS('附表7-扣除项目明细采集底稿'!$R:$R,'附表7-扣除项目明细采集底稿'!$G:$G,B51)</f>
        <v>58690.26</v>
      </c>
      <c r="O51" s="90" t="s">
        <v>4651</v>
      </c>
      <c r="P51" s="113">
        <f>SUMIFS('附表7-扣除项目明细采集底稿'!$T:$T,'附表7-扣除项目明细采集底稿'!$G:$G,$B51)</f>
        <v>58690.26</v>
      </c>
      <c r="Q51" s="117">
        <f t="shared" si="1"/>
        <v>0</v>
      </c>
      <c r="R51" s="118"/>
      <c r="S51" s="90"/>
      <c r="T51" s="90"/>
      <c r="U51" s="90"/>
      <c r="V51" s="90"/>
      <c r="W51" s="90"/>
      <c r="X51" s="90"/>
      <c r="Y51" s="90"/>
      <c r="Z51" s="90"/>
      <c r="AA51" s="90"/>
      <c r="AB51" s="90"/>
    </row>
    <row r="52" s="80" customFormat="1" ht="15.05" spans="1:28">
      <c r="A52" s="90">
        <v>147</v>
      </c>
      <c r="B52" s="91" t="s">
        <v>3113</v>
      </c>
      <c r="C52" s="99" t="s">
        <v>4717</v>
      </c>
      <c r="D52" s="93" t="s">
        <v>4675</v>
      </c>
      <c r="E52" s="94" t="s">
        <v>4718</v>
      </c>
      <c r="F52" s="107" t="s">
        <v>4689</v>
      </c>
      <c r="G52" s="96">
        <v>168000</v>
      </c>
      <c r="H52" s="97">
        <v>171329.3</v>
      </c>
      <c r="I52" s="96" t="s">
        <v>4650</v>
      </c>
      <c r="J52" s="90" t="s">
        <v>4650</v>
      </c>
      <c r="K52" s="90" t="s">
        <v>15</v>
      </c>
      <c r="L52" s="90" t="s">
        <v>4719</v>
      </c>
      <c r="M52" s="112">
        <f>IFERROR(IF(COUNTIFS(S52:AB52,清算项目基本情况表!$D$6)&gt;=1,IF(L52="占地面积法",ROUND(SUM('附表4-项目间分摊信息采集表'!$E$5)/SUMPRODUCT(SUMIFS('附表4-项目间分摊信息采集表'!$E:$E,'附表4-项目间分摊信息采集表'!$B:$B,S52:AB52)),20),IF(L52="测绘总建筑面积法",ROUND(SUM('附表4-项目间分摊信息采集表'!$F$5)/SUMPRODUCT(SUMIFS('附表4-项目间分摊信息采集表'!$F:$F,'附表4-项目间分摊信息采集表'!$B:$B,S52:AB52)),20),IF(L52="可售建筑面积法",ROUND(SUM('附表4-项目间分摊信息采集表'!$G$5)/SUMPRODUCT(SUMIFS('附表4-项目间分摊信息采集表'!$G:$G,'附表4-项目间分摊信息采集表'!$B:$B,S52:AB52)),20),IF(L52="其他分摊方法",ROUND(SUM('附表4-项目间分摊信息采集表'!$H$5)/SUMPRODUCT(SUMIFS('附表4-项目间分摊信息采集表'!$H:$H,'附表4-项目间分摊信息采集表'!$B:$B,S52:AB52)),20),IF(L52="手工填写分摊比例","请填写分摊比例",100%))))),IF(COUNTA(S52:AB52)&gt;=1,0%,100%)),100%)</f>
        <v>0.109829243890136</v>
      </c>
      <c r="N52" s="97">
        <f>SUMIFS('附表7-扣除项目明细采集底稿'!$R:$R,'附表7-扣除项目明细采集底稿'!$G:$G,B52)</f>
        <v>158443.49</v>
      </c>
      <c r="O52" s="90" t="s">
        <v>4651</v>
      </c>
      <c r="P52" s="113">
        <f>SUMIFS('附表7-扣除项目明细采集底稿'!$T:$T,'附表7-扣除项目明细采集底稿'!$G:$G,$B52)</f>
        <v>17401.73</v>
      </c>
      <c r="Q52" s="117">
        <f t="shared" si="1"/>
        <v>141041.76</v>
      </c>
      <c r="R52" s="118"/>
      <c r="S52" s="90" t="s">
        <v>11</v>
      </c>
      <c r="T52" s="90" t="s">
        <v>46</v>
      </c>
      <c r="U52" s="90" t="s">
        <v>371</v>
      </c>
      <c r="V52" s="90"/>
      <c r="W52" s="90"/>
      <c r="X52" s="90"/>
      <c r="Y52" s="90"/>
      <c r="Z52" s="90"/>
      <c r="AA52" s="90"/>
      <c r="AB52" s="90"/>
    </row>
    <row r="53" s="80" customFormat="1" ht="15.05" spans="1:28">
      <c r="A53" s="90">
        <v>65</v>
      </c>
      <c r="B53" s="91" t="s">
        <v>3724</v>
      </c>
      <c r="C53" s="100" t="s">
        <v>4720</v>
      </c>
      <c r="D53" s="93" t="s">
        <v>4659</v>
      </c>
      <c r="E53" s="99" t="s">
        <v>4721</v>
      </c>
      <c r="F53" s="95">
        <v>44148</v>
      </c>
      <c r="G53" s="96">
        <v>1850000</v>
      </c>
      <c r="H53" s="97">
        <v>1568568.26</v>
      </c>
      <c r="I53" s="96" t="s">
        <v>4650</v>
      </c>
      <c r="J53" s="90" t="s">
        <v>4650</v>
      </c>
      <c r="K53" s="90" t="s">
        <v>15</v>
      </c>
      <c r="L53" s="90" t="s">
        <v>4719</v>
      </c>
      <c r="M53" s="112">
        <f>IFERROR(IF(COUNTIFS(S53:AB53,清算项目基本情况表!$D$6)&gt;=1,IF(L53="占地面积法",ROUND(SUM('附表4-项目间分摊信息采集表'!$E$5)/SUMPRODUCT(SUMIFS('附表4-项目间分摊信息采集表'!$E:$E,'附表4-项目间分摊信息采集表'!$B:$B,S53:AB53)),20),IF(L53="测绘总建筑面积法",ROUND(SUM('附表4-项目间分摊信息采集表'!$F$5)/SUMPRODUCT(SUMIFS('附表4-项目间分摊信息采集表'!$F:$F,'附表4-项目间分摊信息采集表'!$B:$B,S53:AB53)),20),IF(L53="可售建筑面积法",ROUND(SUM('附表4-项目间分摊信息采集表'!$G$5)/SUMPRODUCT(SUMIFS('附表4-项目间分摊信息采集表'!$G:$G,'附表4-项目间分摊信息采集表'!$B:$B,S53:AB53)),20),IF(L53="其他分摊方法",ROUND(SUM('附表4-项目间分摊信息采集表'!$H$5)/SUMPRODUCT(SUMIFS('附表4-项目间分摊信息采集表'!$H:$H,'附表4-项目间分摊信息采集表'!$B:$B,S53:AB53)),20),IF(L53="手工填写分摊比例","请填写分摊比例",100%))))),IF(COUNTA(S53:AB53)&gt;=1,0%,100%)),100%)</f>
        <v>0.109829243890136</v>
      </c>
      <c r="N53" s="97">
        <f>SUMIFS('附表7-扣除项目明细采集底稿'!$R:$R,'附表7-扣除项目明细采集底稿'!$G:$G,B53)</f>
        <v>1566255.16</v>
      </c>
      <c r="O53" s="90" t="s">
        <v>4651</v>
      </c>
      <c r="P53" s="113">
        <f>SUMIFS('附表7-扣除项目明细采集底稿'!$T:$T,'附表7-扣除项目明细采集底稿'!$G:$G,$B53)</f>
        <v>172020.62</v>
      </c>
      <c r="Q53" s="117">
        <f t="shared" si="1"/>
        <v>1394234.54</v>
      </c>
      <c r="R53" s="118"/>
      <c r="S53" s="90" t="s">
        <v>11</v>
      </c>
      <c r="T53" s="90" t="s">
        <v>46</v>
      </c>
      <c r="U53" s="90" t="s">
        <v>371</v>
      </c>
      <c r="V53" s="90"/>
      <c r="W53" s="90"/>
      <c r="X53" s="90"/>
      <c r="Y53" s="90"/>
      <c r="Z53" s="90"/>
      <c r="AA53" s="90"/>
      <c r="AB53" s="90"/>
    </row>
    <row r="54" s="80" customFormat="1" ht="30.05" spans="1:28">
      <c r="A54" s="90">
        <v>132</v>
      </c>
      <c r="B54" s="91" t="s">
        <v>4342</v>
      </c>
      <c r="C54" s="99" t="s">
        <v>4722</v>
      </c>
      <c r="D54" s="93" t="s">
        <v>4648</v>
      </c>
      <c r="E54" s="99" t="s">
        <v>4671</v>
      </c>
      <c r="F54" s="95">
        <v>45089</v>
      </c>
      <c r="G54" s="96">
        <v>370000</v>
      </c>
      <c r="H54" s="97">
        <v>335743.29</v>
      </c>
      <c r="I54" s="96" t="s">
        <v>4650</v>
      </c>
      <c r="J54" s="90" t="s">
        <v>4650</v>
      </c>
      <c r="K54" s="90" t="s">
        <v>15</v>
      </c>
      <c r="L54" s="90" t="s">
        <v>4719</v>
      </c>
      <c r="M54" s="112">
        <f>IFERROR(IF(COUNTIFS(S54:AB54,清算项目基本情况表!$D$6)&gt;=1,IF(L54="占地面积法",ROUND(SUM('附表4-项目间分摊信息采集表'!$E$5)/SUMPRODUCT(SUMIFS('附表4-项目间分摊信息采集表'!$E:$E,'附表4-项目间分摊信息采集表'!$B:$B,S54:AB54)),20),IF(L54="测绘总建筑面积法",ROUND(SUM('附表4-项目间分摊信息采集表'!$F$5)/SUMPRODUCT(SUMIFS('附表4-项目间分摊信息采集表'!$F:$F,'附表4-项目间分摊信息采集表'!$B:$B,S54:AB54)),20),IF(L54="可售建筑面积法",ROUND(SUM('附表4-项目间分摊信息采集表'!$G$5)/SUMPRODUCT(SUMIFS('附表4-项目间分摊信息采集表'!$G:$G,'附表4-项目间分摊信息采集表'!$B:$B,S54:AB54)),20),IF(L54="其他分摊方法",ROUND(SUM('附表4-项目间分摊信息采集表'!$H$5)/SUMPRODUCT(SUMIFS('附表4-项目间分摊信息采集表'!$H:$H,'附表4-项目间分摊信息采集表'!$B:$B,S54:AB54)),20),IF(L54="手工填写分摊比例","请填写分摊比例",100%))))),IF(COUNTA(S54:AB54)&gt;=1,0%,100%)),100%)</f>
        <v>0.109829243890136</v>
      </c>
      <c r="N54" s="97">
        <f>SUMIFS('附表7-扣除项目明细采集底稿'!$R:$R,'附表7-扣除项目明细采集底稿'!$G:$G,B54)</f>
        <v>335743.28559633</v>
      </c>
      <c r="O54" s="90" t="s">
        <v>4651</v>
      </c>
      <c r="P54" s="113">
        <f>SUMIFS('附表7-扣除项目明细采集底稿'!$T:$T,'附表7-扣除项目明细采集底稿'!$G:$G,$B54)</f>
        <v>36874.43</v>
      </c>
      <c r="Q54" s="117">
        <f t="shared" si="1"/>
        <v>298868.86</v>
      </c>
      <c r="R54" s="118"/>
      <c r="S54" s="90" t="s">
        <v>11</v>
      </c>
      <c r="T54" s="90" t="s">
        <v>46</v>
      </c>
      <c r="U54" s="90" t="s">
        <v>371</v>
      </c>
      <c r="V54" s="90"/>
      <c r="W54" s="90"/>
      <c r="X54" s="90"/>
      <c r="Y54" s="90"/>
      <c r="Z54" s="90"/>
      <c r="AA54" s="90"/>
      <c r="AB54" s="90"/>
    </row>
    <row r="55" s="80" customFormat="1" ht="15.05" spans="1:28">
      <c r="A55" s="90">
        <v>15</v>
      </c>
      <c r="B55" s="91" t="s">
        <v>4166</v>
      </c>
      <c r="C55" s="99" t="s">
        <v>4723</v>
      </c>
      <c r="D55" s="93" t="s">
        <v>4659</v>
      </c>
      <c r="E55" s="99" t="s">
        <v>4167</v>
      </c>
      <c r="F55" s="108">
        <v>44505</v>
      </c>
      <c r="G55" s="96">
        <v>503000</v>
      </c>
      <c r="H55" s="97">
        <v>478552.29</v>
      </c>
      <c r="I55" s="96" t="s">
        <v>4650</v>
      </c>
      <c r="J55" s="90" t="s">
        <v>4650</v>
      </c>
      <c r="K55" s="90" t="s">
        <v>15</v>
      </c>
      <c r="L55" s="90" t="s">
        <v>351</v>
      </c>
      <c r="M55" s="112">
        <f>IFERROR(IF(COUNTIFS(S55:AB55,清算项目基本情况表!$D$6)&gt;=1,IF(L55="占地面积法",ROUND(SUM('附表4-项目间分摊信息采集表'!$E$5)/SUMPRODUCT(SUMIFS('附表4-项目间分摊信息采集表'!$E:$E,'附表4-项目间分摊信息采集表'!$B:$B,S55:AB55)),20),IF(L55="测绘总建筑面积法",ROUND(SUM('附表4-项目间分摊信息采集表'!$F$5)/SUMPRODUCT(SUMIFS('附表4-项目间分摊信息采集表'!$F:$F,'附表4-项目间分摊信息采集表'!$B:$B,S55:AB55)),20),IF(L55="可售建筑面积法",ROUND(SUM('附表4-项目间分摊信息采集表'!$G$5)/SUMPRODUCT(SUMIFS('附表4-项目间分摊信息采集表'!$G:$G,'附表4-项目间分摊信息采集表'!$B:$B,S55:AB55)),20),IF(L55="其他分摊方法",ROUND(SUM('附表4-项目间分摊信息采集表'!$H$5)/SUMPRODUCT(SUMIFS('附表4-项目间分摊信息采集表'!$H:$H,'附表4-项目间分摊信息采集表'!$B:$B,S55:AB55)),20),IF(L55="手工填写分摊比例","请填写分摊比例",100%))))),IF(COUNTA(S55:AB55)&gt;=1,0%,100%)),100%)</f>
        <v>0.338555832480367</v>
      </c>
      <c r="N55" s="97">
        <f>SUMIFS('附表7-扣除项目明细采集底稿'!$R:$R,'附表7-扣除项目明细采集底稿'!$G:$G,B55)</f>
        <v>478552.29</v>
      </c>
      <c r="O55" s="90" t="s">
        <v>4651</v>
      </c>
      <c r="P55" s="113">
        <f>SUMIFS('附表7-扣除项目明细采集底稿'!$T:$T,'附表7-扣除项目明细采集底稿'!$G:$G,$B55)</f>
        <v>162016.67</v>
      </c>
      <c r="Q55" s="117">
        <f t="shared" si="1"/>
        <v>316535.62</v>
      </c>
      <c r="R55" s="118"/>
      <c r="S55" s="90" t="s">
        <v>11</v>
      </c>
      <c r="T55" s="90" t="s">
        <v>46</v>
      </c>
      <c r="U55" s="90" t="s">
        <v>371</v>
      </c>
      <c r="V55" s="90"/>
      <c r="W55" s="90"/>
      <c r="X55" s="90"/>
      <c r="Y55" s="90"/>
      <c r="Z55" s="90"/>
      <c r="AA55" s="90"/>
      <c r="AB55" s="90"/>
    </row>
    <row r="56" s="80" customFormat="1" ht="15.05" spans="1:28">
      <c r="A56" s="90">
        <v>17</v>
      </c>
      <c r="B56" s="91" t="s">
        <v>4226</v>
      </c>
      <c r="C56" s="99" t="s">
        <v>4724</v>
      </c>
      <c r="D56" s="93" t="s">
        <v>4655</v>
      </c>
      <c r="E56" s="94" t="s">
        <v>4725</v>
      </c>
      <c r="F56" s="95">
        <v>44784</v>
      </c>
      <c r="G56" s="96">
        <v>60000</v>
      </c>
      <c r="H56" s="97">
        <v>55045.87</v>
      </c>
      <c r="I56" s="96" t="s">
        <v>4650</v>
      </c>
      <c r="J56" s="90" t="s">
        <v>4650</v>
      </c>
      <c r="K56" s="90" t="s">
        <v>15</v>
      </c>
      <c r="L56" s="90" t="s">
        <v>351</v>
      </c>
      <c r="M56" s="112">
        <f>IFERROR(IF(COUNTIFS(S56:AB56,清算项目基本情况表!$D$6)&gt;=1,IF(L56="占地面积法",ROUND(SUM('附表4-项目间分摊信息采集表'!$E$5)/SUMPRODUCT(SUMIFS('附表4-项目间分摊信息采集表'!$E:$E,'附表4-项目间分摊信息采集表'!$B:$B,S56:AB56)),20),IF(L56="测绘总建筑面积法",ROUND(SUM('附表4-项目间分摊信息采集表'!$F$5)/SUMPRODUCT(SUMIFS('附表4-项目间分摊信息采集表'!$F:$F,'附表4-项目间分摊信息采集表'!$B:$B,S56:AB56)),20),IF(L56="可售建筑面积法",ROUND(SUM('附表4-项目间分摊信息采集表'!$G$5)/SUMPRODUCT(SUMIFS('附表4-项目间分摊信息采集表'!$G:$G,'附表4-项目间分摊信息采集表'!$B:$B,S56:AB56)),20),IF(L56="其他分摊方法",ROUND(SUM('附表4-项目间分摊信息采集表'!$H$5)/SUMPRODUCT(SUMIFS('附表4-项目间分摊信息采集表'!$H:$H,'附表4-项目间分摊信息采集表'!$B:$B,S56:AB56)),20),IF(L56="手工填写分摊比例","请填写分摊比例",100%))))),IF(COUNTA(S56:AB56)&gt;=1,0%,100%)),100%)</f>
        <v>0.338555832480367</v>
      </c>
      <c r="N56" s="97">
        <f>SUMIFS('附表7-扣除项目明细采集底稿'!$R:$R,'附表7-扣除项目明细采集底稿'!$G:$G,B56)</f>
        <v>55045.87</v>
      </c>
      <c r="O56" s="90" t="s">
        <v>4651</v>
      </c>
      <c r="P56" s="113">
        <f>SUMIFS('附表7-扣除项目明细采集底稿'!$T:$T,'附表7-扣除项目明细采集底稿'!$G:$G,$B56)</f>
        <v>18636.1</v>
      </c>
      <c r="Q56" s="117">
        <f t="shared" si="1"/>
        <v>36409.77</v>
      </c>
      <c r="R56" s="118"/>
      <c r="S56" s="90" t="s">
        <v>11</v>
      </c>
      <c r="T56" s="90" t="s">
        <v>46</v>
      </c>
      <c r="U56" s="90" t="s">
        <v>371</v>
      </c>
      <c r="V56" s="90"/>
      <c r="W56" s="90"/>
      <c r="X56" s="90"/>
      <c r="Y56" s="90"/>
      <c r="Z56" s="90"/>
      <c r="AA56" s="90"/>
      <c r="AB56" s="90"/>
    </row>
    <row r="57" s="80" customFormat="1" ht="15.05" spans="1:28">
      <c r="A57" s="90">
        <v>148</v>
      </c>
      <c r="B57" s="91" t="s">
        <v>3097</v>
      </c>
      <c r="C57" s="99" t="s">
        <v>4726</v>
      </c>
      <c r="D57" s="93" t="s">
        <v>4659</v>
      </c>
      <c r="E57" s="99" t="s">
        <v>3098</v>
      </c>
      <c r="F57" s="95">
        <v>44144</v>
      </c>
      <c r="G57" s="96">
        <v>6229</v>
      </c>
      <c r="H57" s="97">
        <v>0</v>
      </c>
      <c r="I57" s="96" t="s">
        <v>4650</v>
      </c>
      <c r="J57" s="90" t="s">
        <v>4650</v>
      </c>
      <c r="K57" s="90" t="s">
        <v>4650</v>
      </c>
      <c r="L57" s="90"/>
      <c r="M57" s="112">
        <f>IFERROR(IF(COUNTIFS(S57:AB57,清算项目基本情况表!$D$6)&gt;=1,IF(L57="占地面积法",ROUND(SUM('附表4-项目间分摊信息采集表'!$E$5)/SUMPRODUCT(SUMIFS('附表4-项目间分摊信息采集表'!$E:$E,'附表4-项目间分摊信息采集表'!$B:$B,S57:AB57)),20),IF(L57="测绘总建筑面积法",ROUND(SUM('附表4-项目间分摊信息采集表'!$F$5)/SUMPRODUCT(SUMIFS('附表4-项目间分摊信息采集表'!$F:$F,'附表4-项目间分摊信息采集表'!$B:$B,S57:AB57)),20),IF(L57="可售建筑面积法",ROUND(SUM('附表4-项目间分摊信息采集表'!$G$5)/SUMPRODUCT(SUMIFS('附表4-项目间分摊信息采集表'!$G:$G,'附表4-项目间分摊信息采集表'!$B:$B,S57:AB57)),20),IF(L57="其他分摊方法",ROUND(SUM('附表4-项目间分摊信息采集表'!$H$5)/SUMPRODUCT(SUMIFS('附表4-项目间分摊信息采集表'!$H:$H,'附表4-项目间分摊信息采集表'!$B:$B,S57:AB57)),20),IF(L57="手工填写分摊比例","请填写分摊比例",100%))))),IF(COUNTA(S57:AB57)&gt;=1,0%,100%)),100%)</f>
        <v>1</v>
      </c>
      <c r="N57" s="97">
        <f>SUMIFS('附表7-扣除项目明细采集底稿'!$R:$R,'附表7-扣除项目明细采集底稿'!$G:$G,B57)</f>
        <v>5512.39</v>
      </c>
      <c r="O57" s="90" t="s">
        <v>4651</v>
      </c>
      <c r="P57" s="113">
        <f>SUMIFS('附表7-扣除项目明细采集底稿'!$T:$T,'附表7-扣除项目明细采集底稿'!$G:$G,$B57)</f>
        <v>5512.39</v>
      </c>
      <c r="Q57" s="117">
        <f t="shared" si="1"/>
        <v>0</v>
      </c>
      <c r="R57" s="118"/>
      <c r="S57" s="90"/>
      <c r="T57" s="90"/>
      <c r="U57" s="90"/>
      <c r="V57" s="90"/>
      <c r="W57" s="90"/>
      <c r="X57" s="90"/>
      <c r="Y57" s="90"/>
      <c r="Z57" s="90"/>
      <c r="AA57" s="90"/>
      <c r="AB57" s="90"/>
    </row>
    <row r="58" s="80" customFormat="1" ht="15.05" spans="1:28">
      <c r="A58" s="90">
        <v>167</v>
      </c>
      <c r="B58" s="91" t="s">
        <v>3040</v>
      </c>
      <c r="C58" s="100" t="s">
        <v>4727</v>
      </c>
      <c r="D58" s="93" t="s">
        <v>4655</v>
      </c>
      <c r="E58" s="94" t="s">
        <v>3606</v>
      </c>
      <c r="F58" s="107" t="s">
        <v>4689</v>
      </c>
      <c r="G58" s="96">
        <v>41500</v>
      </c>
      <c r="H58" s="97">
        <v>0</v>
      </c>
      <c r="I58" s="96" t="s">
        <v>4650</v>
      </c>
      <c r="J58" s="90" t="s">
        <v>4650</v>
      </c>
      <c r="K58" s="90" t="s">
        <v>4650</v>
      </c>
      <c r="L58" s="90"/>
      <c r="M58" s="112">
        <f>IFERROR(IF(COUNTIFS(S58:AB58,清算项目基本情况表!$D$6)&gt;=1,IF(L58="占地面积法",ROUND(SUM('附表4-项目间分摊信息采集表'!$E$5)/SUMPRODUCT(SUMIFS('附表4-项目间分摊信息采集表'!$E:$E,'附表4-项目间分摊信息采集表'!$B:$B,S58:AB58)),20),IF(L58="测绘总建筑面积法",ROUND(SUM('附表4-项目间分摊信息采集表'!$F$5)/SUMPRODUCT(SUMIFS('附表4-项目间分摊信息采集表'!$F:$F,'附表4-项目间分摊信息采集表'!$B:$B,S58:AB58)),20),IF(L58="可售建筑面积法",ROUND(SUM('附表4-项目间分摊信息采集表'!$G$5)/SUMPRODUCT(SUMIFS('附表4-项目间分摊信息采集表'!$G:$G,'附表4-项目间分摊信息采集表'!$B:$B,S58:AB58)),20),IF(L58="其他分摊方法",ROUND(SUM('附表4-项目间分摊信息采集表'!$H$5)/SUMPRODUCT(SUMIFS('附表4-项目间分摊信息采集表'!$H:$H,'附表4-项目间分摊信息采集表'!$B:$B,S58:AB58)),20),IF(L58="手工填写分摊比例","请填写分摊比例",100%))))),IF(COUNTA(S58:AB58)&gt;=1,0%,100%)),100%)</f>
        <v>1</v>
      </c>
      <c r="N58" s="97">
        <f>SUMIFS('附表7-扣除项目明细采集底稿'!$R:$R,'附表7-扣除项目明细采集底稿'!$G:$G,B58)</f>
        <v>79445.65</v>
      </c>
      <c r="O58" s="90" t="s">
        <v>4651</v>
      </c>
      <c r="P58" s="113">
        <f>SUMIFS('附表7-扣除项目明细采集底稿'!$T:$T,'附表7-扣除项目明细采集底稿'!$G:$G,$B58)</f>
        <v>79445.65</v>
      </c>
      <c r="Q58" s="117">
        <f t="shared" si="1"/>
        <v>0</v>
      </c>
      <c r="R58" s="118"/>
      <c r="S58" s="90"/>
      <c r="T58" s="90"/>
      <c r="U58" s="90"/>
      <c r="V58" s="90"/>
      <c r="W58" s="90"/>
      <c r="X58" s="90"/>
      <c r="Y58" s="90"/>
      <c r="Z58" s="90"/>
      <c r="AA58" s="90"/>
      <c r="AB58" s="90"/>
    </row>
    <row r="59" s="80" customFormat="1" ht="30.05" spans="1:28">
      <c r="A59" s="90">
        <v>18</v>
      </c>
      <c r="B59" s="91" t="s">
        <v>2672</v>
      </c>
      <c r="C59" s="92" t="s">
        <v>4728</v>
      </c>
      <c r="D59" s="93" t="s">
        <v>4648</v>
      </c>
      <c r="E59" s="94" t="s">
        <v>4729</v>
      </c>
      <c r="F59" s="95">
        <v>43626</v>
      </c>
      <c r="G59" s="96">
        <v>29110120.6</v>
      </c>
      <c r="H59" s="97">
        <v>26706532.66</v>
      </c>
      <c r="I59" s="96" t="s">
        <v>4650</v>
      </c>
      <c r="J59" s="90" t="s">
        <v>4650</v>
      </c>
      <c r="K59" s="90" t="s">
        <v>4650</v>
      </c>
      <c r="L59" s="90"/>
      <c r="M59" s="112">
        <f>IFERROR(IF(COUNTIFS(S59:AB59,清算项目基本情况表!$D$6)&gt;=1,IF(L59="占地面积法",ROUND(SUM('附表4-项目间分摊信息采集表'!$E$5)/SUMPRODUCT(SUMIFS('附表4-项目间分摊信息采集表'!$E:$E,'附表4-项目间分摊信息采集表'!$B:$B,S59:AB59)),20),IF(L59="测绘总建筑面积法",ROUND(SUM('附表4-项目间分摊信息采集表'!$F$5)/SUMPRODUCT(SUMIFS('附表4-项目间分摊信息采集表'!$F:$F,'附表4-项目间分摊信息采集表'!$B:$B,S59:AB59)),20),IF(L59="可售建筑面积法",ROUND(SUM('附表4-项目间分摊信息采集表'!$G$5)/SUMPRODUCT(SUMIFS('附表4-项目间分摊信息采集表'!$G:$G,'附表4-项目间分摊信息采集表'!$B:$B,S59:AB59)),20),IF(L59="其他分摊方法",ROUND(SUM('附表4-项目间分摊信息采集表'!$H$5)/SUMPRODUCT(SUMIFS('附表4-项目间分摊信息采集表'!$H:$H,'附表4-项目间分摊信息采集表'!$B:$B,S59:AB59)),20),IF(L59="手工填写分摊比例","请填写分摊比例",100%))))),IF(COUNTA(S59:AB59)&gt;=1,0%,100%)),100%)</f>
        <v>1</v>
      </c>
      <c r="N59" s="97">
        <f>SUMIFS('附表7-扣除项目明细采集底稿'!$R:$R,'附表7-扣除项目明细采集底稿'!$G:$G,B59)</f>
        <v>26686419.93</v>
      </c>
      <c r="O59" s="90" t="s">
        <v>4651</v>
      </c>
      <c r="P59" s="113">
        <f>SUMIFS('附表7-扣除项目明细采集底稿'!$T:$T,'附表7-扣除项目明细采集底稿'!$G:$G,$B59)</f>
        <v>26686419.93</v>
      </c>
      <c r="Q59" s="117">
        <f t="shared" si="1"/>
        <v>0</v>
      </c>
      <c r="R59" s="118"/>
      <c r="S59" s="90"/>
      <c r="T59" s="90"/>
      <c r="U59" s="90"/>
      <c r="V59" s="90"/>
      <c r="W59" s="90"/>
      <c r="X59" s="90"/>
      <c r="Y59" s="90"/>
      <c r="Z59" s="90"/>
      <c r="AA59" s="90"/>
      <c r="AB59" s="90"/>
    </row>
    <row r="60" s="80" customFormat="1" ht="15.05" spans="1:28">
      <c r="A60" s="90">
        <v>163</v>
      </c>
      <c r="B60" s="91" t="s">
        <v>2548</v>
      </c>
      <c r="C60" s="98" t="s">
        <v>4730</v>
      </c>
      <c r="D60" s="93" t="s">
        <v>4675</v>
      </c>
      <c r="E60" s="94" t="s">
        <v>4731</v>
      </c>
      <c r="F60" s="95">
        <v>44242</v>
      </c>
      <c r="G60" s="96">
        <v>259764</v>
      </c>
      <c r="H60" s="97">
        <v>0</v>
      </c>
      <c r="I60" s="96" t="s">
        <v>4650</v>
      </c>
      <c r="J60" s="90" t="s">
        <v>4650</v>
      </c>
      <c r="K60" s="90" t="s">
        <v>4650</v>
      </c>
      <c r="L60" s="90"/>
      <c r="M60" s="112">
        <f>IFERROR(IF(COUNTIFS(S60:AB60,清算项目基本情况表!$D$6)&gt;=1,IF(L60="占地面积法",ROUND(SUM('附表4-项目间分摊信息采集表'!$E$5)/SUMPRODUCT(SUMIFS('附表4-项目间分摊信息采集表'!$E:$E,'附表4-项目间分摊信息采集表'!$B:$B,S60:AB60)),20),IF(L60="测绘总建筑面积法",ROUND(SUM('附表4-项目间分摊信息采集表'!$F$5)/SUMPRODUCT(SUMIFS('附表4-项目间分摊信息采集表'!$F:$F,'附表4-项目间分摊信息采集表'!$B:$B,S60:AB60)),20),IF(L60="可售建筑面积法",ROUND(SUM('附表4-项目间分摊信息采集表'!$G$5)/SUMPRODUCT(SUMIFS('附表4-项目间分摊信息采集表'!$G:$G,'附表4-项目间分摊信息采集表'!$B:$B,S60:AB60)),20),IF(L60="其他分摊方法",ROUND(SUM('附表4-项目间分摊信息采集表'!$H$5)/SUMPRODUCT(SUMIFS('附表4-项目间分摊信息采集表'!$H:$H,'附表4-项目间分摊信息采集表'!$B:$B,S60:AB60)),20),IF(L60="手工填写分摊比例","请填写分摊比例",100%))))),IF(COUNTA(S60:AB60)&gt;=1,0%,100%)),100%)</f>
        <v>1</v>
      </c>
      <c r="N60" s="97">
        <f>SUMIFS('附表7-扣除项目明细采集底稿'!$R:$R,'附表7-扣除项目明细采集底稿'!$G:$G,B60)</f>
        <v>303304.85</v>
      </c>
      <c r="O60" s="90" t="s">
        <v>4651</v>
      </c>
      <c r="P60" s="113">
        <f>SUMIFS('附表7-扣除项目明细采集底稿'!$T:$T,'附表7-扣除项目明细采集底稿'!$G:$G,$B60)</f>
        <v>303304.85</v>
      </c>
      <c r="Q60" s="117">
        <f t="shared" si="1"/>
        <v>0</v>
      </c>
      <c r="R60" s="118"/>
      <c r="S60" s="90"/>
      <c r="T60" s="90"/>
      <c r="U60" s="90"/>
      <c r="V60" s="90"/>
      <c r="W60" s="90"/>
      <c r="X60" s="90"/>
      <c r="Y60" s="90"/>
      <c r="Z60" s="90"/>
      <c r="AA60" s="90"/>
      <c r="AB60" s="90"/>
    </row>
    <row r="61" s="80" customFormat="1" ht="15.05" spans="1:28">
      <c r="A61" s="90">
        <v>220</v>
      </c>
      <c r="B61" s="91" t="s">
        <v>3004</v>
      </c>
      <c r="C61" s="99" t="s">
        <v>4730</v>
      </c>
      <c r="D61" s="93" t="s">
        <v>4675</v>
      </c>
      <c r="E61" s="99" t="s">
        <v>4732</v>
      </c>
      <c r="F61" s="95">
        <v>43656</v>
      </c>
      <c r="G61" s="96">
        <v>229084.16</v>
      </c>
      <c r="H61" s="97">
        <v>0</v>
      </c>
      <c r="I61" s="96" t="s">
        <v>4650</v>
      </c>
      <c r="J61" s="90" t="s">
        <v>4650</v>
      </c>
      <c r="K61" s="90" t="s">
        <v>4650</v>
      </c>
      <c r="L61" s="90"/>
      <c r="M61" s="112">
        <f>IFERROR(IF(COUNTIFS(S61:AB61,清算项目基本情况表!$D$6)&gt;=1,IF(L61="占地面积法",ROUND(SUM('附表4-项目间分摊信息采集表'!$E$5)/SUMPRODUCT(SUMIFS('附表4-项目间分摊信息采集表'!$E:$E,'附表4-项目间分摊信息采集表'!$B:$B,S61:AB61)),20),IF(L61="测绘总建筑面积法",ROUND(SUM('附表4-项目间分摊信息采集表'!$F$5)/SUMPRODUCT(SUMIFS('附表4-项目间分摊信息采集表'!$F:$F,'附表4-项目间分摊信息采集表'!$B:$B,S61:AB61)),20),IF(L61="可售建筑面积法",ROUND(SUM('附表4-项目间分摊信息采集表'!$G$5)/SUMPRODUCT(SUMIFS('附表4-项目间分摊信息采集表'!$G:$G,'附表4-项目间分摊信息采集表'!$B:$B,S61:AB61)),20),IF(L61="其他分摊方法",ROUND(SUM('附表4-项目间分摊信息采集表'!$H$5)/SUMPRODUCT(SUMIFS('附表4-项目间分摊信息采集表'!$H:$H,'附表4-项目间分摊信息采集表'!$B:$B,S61:AB61)),20),IF(L61="手工填写分摊比例","请填写分摊比例",100%))))),IF(COUNTA(S61:AB61)&gt;=1,0%,100%)),100%)</f>
        <v>1</v>
      </c>
      <c r="N61" s="97">
        <f>SUMIFS('附表7-扣除项目明细采集底稿'!$R:$R,'附表7-扣除项目明细采集底稿'!$G:$G,B61)</f>
        <v>181453.62</v>
      </c>
      <c r="O61" s="90" t="s">
        <v>4651</v>
      </c>
      <c r="P61" s="113">
        <f>SUMIFS('附表7-扣除项目明细采集底稿'!$T:$T,'附表7-扣除项目明细采集底稿'!$G:$G,$B61)</f>
        <v>181453.62</v>
      </c>
      <c r="Q61" s="117"/>
      <c r="R61" s="118"/>
      <c r="S61" s="90"/>
      <c r="T61" s="90"/>
      <c r="U61" s="90"/>
      <c r="V61" s="90"/>
      <c r="W61" s="90"/>
      <c r="X61" s="90"/>
      <c r="Y61" s="90"/>
      <c r="Z61" s="90"/>
      <c r="AA61" s="90"/>
      <c r="AB61" s="90"/>
    </row>
    <row r="62" s="80" customFormat="1" ht="30.05" spans="1:28">
      <c r="A62" s="90">
        <v>86</v>
      </c>
      <c r="B62" s="91" t="s">
        <v>4275</v>
      </c>
      <c r="C62" s="99" t="s">
        <v>4733</v>
      </c>
      <c r="D62" s="93" t="s">
        <v>4648</v>
      </c>
      <c r="E62" s="99" t="s">
        <v>4734</v>
      </c>
      <c r="F62" s="95">
        <v>44148</v>
      </c>
      <c r="G62" s="96">
        <v>562693.47</v>
      </c>
      <c r="H62" s="97">
        <v>516232.54</v>
      </c>
      <c r="I62" s="96" t="s">
        <v>4650</v>
      </c>
      <c r="J62" s="90" t="s">
        <v>4650</v>
      </c>
      <c r="K62" s="90" t="s">
        <v>4650</v>
      </c>
      <c r="L62" s="90"/>
      <c r="M62" s="112">
        <f>IFERROR(IF(COUNTIFS(S62:AB62,清算项目基本情况表!$D$6)&gt;=1,IF(L62="占地面积法",ROUND(SUM('附表4-项目间分摊信息采集表'!$E$5)/SUMPRODUCT(SUMIFS('附表4-项目间分摊信息采集表'!$E:$E,'附表4-项目间分摊信息采集表'!$B:$B,S62:AB62)),20),IF(L62="测绘总建筑面积法",ROUND(SUM('附表4-项目间分摊信息采集表'!$F$5)/SUMPRODUCT(SUMIFS('附表4-项目间分摊信息采集表'!$F:$F,'附表4-项目间分摊信息采集表'!$B:$B,S62:AB62)),20),IF(L62="可售建筑面积法",ROUND(SUM('附表4-项目间分摊信息采集表'!$G$5)/SUMPRODUCT(SUMIFS('附表4-项目间分摊信息采集表'!$G:$G,'附表4-项目间分摊信息采集表'!$B:$B,S62:AB62)),20),IF(L62="其他分摊方法",ROUND(SUM('附表4-项目间分摊信息采集表'!$H$5)/SUMPRODUCT(SUMIFS('附表4-项目间分摊信息采集表'!$H:$H,'附表4-项目间分摊信息采集表'!$B:$B,S62:AB62)),20),IF(L62="手工填写分摊比例","请填写分摊比例",100%))))),IF(COUNTA(S62:AB62)&gt;=1,0%,100%)),100%)</f>
        <v>1</v>
      </c>
      <c r="N62" s="97">
        <f>SUMIFS('附表7-扣除项目明细采集底稿'!$R:$R,'附表7-扣除项目明细采集底稿'!$G:$G,B62)</f>
        <v>838859.07</v>
      </c>
      <c r="O62" s="90" t="s">
        <v>4651</v>
      </c>
      <c r="P62" s="113">
        <f>SUMIFS('附表7-扣除项目明细采集底稿'!$T:$T,'附表7-扣除项目明细采集底稿'!$G:$G,$B62)</f>
        <v>838859.07</v>
      </c>
      <c r="Q62" s="117">
        <f t="shared" ref="Q62:Q70" si="2">ROUND(SUM(N62)-SUM(O62)-SUM(P62),2)</f>
        <v>0</v>
      </c>
      <c r="R62" s="118"/>
      <c r="S62" s="90"/>
      <c r="T62" s="90"/>
      <c r="U62" s="90"/>
      <c r="V62" s="90"/>
      <c r="W62" s="90"/>
      <c r="X62" s="90"/>
      <c r="Y62" s="90"/>
      <c r="Z62" s="90"/>
      <c r="AA62" s="90"/>
      <c r="AB62" s="90"/>
    </row>
    <row r="63" s="80" customFormat="1" ht="15.05" spans="1:28">
      <c r="A63" s="90">
        <v>84</v>
      </c>
      <c r="B63" s="91" t="s">
        <v>2497</v>
      </c>
      <c r="C63" s="99" t="s">
        <v>4735</v>
      </c>
      <c r="D63" s="93" t="s">
        <v>4655</v>
      </c>
      <c r="E63" s="94" t="s">
        <v>4734</v>
      </c>
      <c r="F63" s="95">
        <v>43594</v>
      </c>
      <c r="G63" s="96">
        <v>1010000</v>
      </c>
      <c r="H63" s="97">
        <v>926605.5</v>
      </c>
      <c r="I63" s="96" t="s">
        <v>4650</v>
      </c>
      <c r="J63" s="90" t="s">
        <v>4650</v>
      </c>
      <c r="K63" s="90" t="s">
        <v>4650</v>
      </c>
      <c r="L63" s="90"/>
      <c r="M63" s="112">
        <f>IFERROR(IF(COUNTIFS(S63:AB63,清算项目基本情况表!$D$6)&gt;=1,IF(L63="占地面积法",ROUND(SUM('附表4-项目间分摊信息采集表'!$E$5)/SUMPRODUCT(SUMIFS('附表4-项目间分摊信息采集表'!$E:$E,'附表4-项目间分摊信息采集表'!$B:$B,S63:AB63)),20),IF(L63="测绘总建筑面积法",ROUND(SUM('附表4-项目间分摊信息采集表'!$F$5)/SUMPRODUCT(SUMIFS('附表4-项目间分摊信息采集表'!$F:$F,'附表4-项目间分摊信息采集表'!$B:$B,S63:AB63)),20),IF(L63="可售建筑面积法",ROUND(SUM('附表4-项目间分摊信息采集表'!$G$5)/SUMPRODUCT(SUMIFS('附表4-项目间分摊信息采集表'!$G:$G,'附表4-项目间分摊信息采集表'!$B:$B,S63:AB63)),20),IF(L63="其他分摊方法",ROUND(SUM('附表4-项目间分摊信息采集表'!$H$5)/SUMPRODUCT(SUMIFS('附表4-项目间分摊信息采集表'!$H:$H,'附表4-项目间分摊信息采集表'!$B:$B,S63:AB63)),20),IF(L63="手工填写分摊比例","请填写分摊比例",100%))))),IF(COUNTA(S63:AB63)&gt;=1,0%,100%)),100%)</f>
        <v>1</v>
      </c>
      <c r="N63" s="97">
        <f>SUMIFS('附表7-扣除项目明细采集底稿'!$R:$R,'附表7-扣除项目明细采集底稿'!$G:$G,B63)</f>
        <v>1145631.08</v>
      </c>
      <c r="O63" s="90" t="s">
        <v>4651</v>
      </c>
      <c r="P63" s="113">
        <f>SUMIFS('附表7-扣除项目明细采集底稿'!$T:$T,'附表7-扣除项目明细采集底稿'!$G:$G,$B63)</f>
        <v>1145631.08</v>
      </c>
      <c r="Q63" s="117">
        <f t="shared" si="2"/>
        <v>0</v>
      </c>
      <c r="R63" s="118"/>
      <c r="S63" s="90"/>
      <c r="T63" s="90"/>
      <c r="U63" s="90"/>
      <c r="V63" s="90"/>
      <c r="W63" s="90"/>
      <c r="X63" s="90"/>
      <c r="Y63" s="90"/>
      <c r="Z63" s="90"/>
      <c r="AA63" s="90"/>
      <c r="AB63" s="90"/>
    </row>
    <row r="64" s="80" customFormat="1" ht="30.05" spans="1:28">
      <c r="A64" s="90">
        <v>85</v>
      </c>
      <c r="B64" s="91" t="s">
        <v>3863</v>
      </c>
      <c r="C64" s="99" t="s">
        <v>4736</v>
      </c>
      <c r="D64" s="93" t="s">
        <v>4648</v>
      </c>
      <c r="E64" s="99" t="s">
        <v>4734</v>
      </c>
      <c r="F64" s="95">
        <v>43575</v>
      </c>
      <c r="G64" s="96">
        <v>1963447.92</v>
      </c>
      <c r="H64" s="97">
        <v>1801328.37</v>
      </c>
      <c r="I64" s="96" t="s">
        <v>4650</v>
      </c>
      <c r="J64" s="90" t="s">
        <v>4650</v>
      </c>
      <c r="K64" s="90" t="s">
        <v>4650</v>
      </c>
      <c r="L64" s="90"/>
      <c r="M64" s="112">
        <f>IFERROR(IF(COUNTIFS(S64:AB64,清算项目基本情况表!$D$6)&gt;=1,IF(L64="占地面积法",ROUND(SUM('附表4-项目间分摊信息采集表'!$E$5)/SUMPRODUCT(SUMIFS('附表4-项目间分摊信息采集表'!$E:$E,'附表4-项目间分摊信息采集表'!$B:$B,S64:AB64)),20),IF(L64="测绘总建筑面积法",ROUND(SUM('附表4-项目间分摊信息采集表'!$F$5)/SUMPRODUCT(SUMIFS('附表4-项目间分摊信息采集表'!$F:$F,'附表4-项目间分摊信息采集表'!$B:$B,S64:AB64)),20),IF(L64="可售建筑面积法",ROUND(SUM('附表4-项目间分摊信息采集表'!$G$5)/SUMPRODUCT(SUMIFS('附表4-项目间分摊信息采集表'!$G:$G,'附表4-项目间分摊信息采集表'!$B:$B,S64:AB64)),20),IF(L64="其他分摊方法",ROUND(SUM('附表4-项目间分摊信息采集表'!$H$5)/SUMPRODUCT(SUMIFS('附表4-项目间分摊信息采集表'!$H:$H,'附表4-项目间分摊信息采集表'!$B:$B,S64:AB64)),20),IF(L64="手工填写分摊比例","请填写分摊比例",100%))))),IF(COUNTA(S64:AB64)&gt;=1,0%,100%)),100%)</f>
        <v>1</v>
      </c>
      <c r="N64" s="97">
        <f>SUMIFS('附表7-扣除项目明细采集底稿'!$R:$R,'附表7-扣除项目明细采集底稿'!$G:$G,B64)</f>
        <v>1414481.66</v>
      </c>
      <c r="O64" s="90" t="s">
        <v>4651</v>
      </c>
      <c r="P64" s="113">
        <f>SUMIFS('附表7-扣除项目明细采集底稿'!$T:$T,'附表7-扣除项目明细采集底稿'!$G:$G,$B64)</f>
        <v>1414481.66</v>
      </c>
      <c r="Q64" s="117">
        <f t="shared" si="2"/>
        <v>0</v>
      </c>
      <c r="R64" s="118"/>
      <c r="S64" s="90"/>
      <c r="T64" s="90"/>
      <c r="U64" s="90"/>
      <c r="V64" s="90"/>
      <c r="W64" s="90"/>
      <c r="X64" s="90"/>
      <c r="Y64" s="90"/>
      <c r="Z64" s="90"/>
      <c r="AA64" s="90"/>
      <c r="AB64" s="90"/>
    </row>
    <row r="65" s="80" customFormat="1" ht="15.05" spans="1:28">
      <c r="A65" s="90">
        <v>69</v>
      </c>
      <c r="B65" s="91" t="s">
        <v>4243</v>
      </c>
      <c r="C65" s="99" t="s">
        <v>4737</v>
      </c>
      <c r="D65" s="93" t="s">
        <v>4655</v>
      </c>
      <c r="E65" s="94" t="s">
        <v>4665</v>
      </c>
      <c r="F65" s="95">
        <v>44925</v>
      </c>
      <c r="G65" s="96">
        <v>17600</v>
      </c>
      <c r="H65" s="97">
        <v>17087.38</v>
      </c>
      <c r="I65" s="96" t="s">
        <v>4650</v>
      </c>
      <c r="J65" s="90" t="s">
        <v>4650</v>
      </c>
      <c r="K65" s="90" t="s">
        <v>4650</v>
      </c>
      <c r="L65" s="90"/>
      <c r="M65" s="112">
        <f>IFERROR(IF(COUNTIFS(S65:AB65,清算项目基本情况表!$D$6)&gt;=1,IF(L65="占地面积法",ROUND(SUM('附表4-项目间分摊信息采集表'!$E$5)/SUMPRODUCT(SUMIFS('附表4-项目间分摊信息采集表'!$E:$E,'附表4-项目间分摊信息采集表'!$B:$B,S65:AB65)),20),IF(L65="测绘总建筑面积法",ROUND(SUM('附表4-项目间分摊信息采集表'!$F$5)/SUMPRODUCT(SUMIFS('附表4-项目间分摊信息采集表'!$F:$F,'附表4-项目间分摊信息采集表'!$B:$B,S65:AB65)),20),IF(L65="可售建筑面积法",ROUND(SUM('附表4-项目间分摊信息采集表'!$G$5)/SUMPRODUCT(SUMIFS('附表4-项目间分摊信息采集表'!$G:$G,'附表4-项目间分摊信息采集表'!$B:$B,S65:AB65)),20),IF(L65="其他分摊方法",ROUND(SUM('附表4-项目间分摊信息采集表'!$H$5)/SUMPRODUCT(SUMIFS('附表4-项目间分摊信息采集表'!$H:$H,'附表4-项目间分摊信息采集表'!$B:$B,S65:AB65)),20),IF(L65="手工填写分摊比例","请填写分摊比例",100%))))),IF(COUNTA(S65:AB65)&gt;=1,0%,100%)),100%)</f>
        <v>1</v>
      </c>
      <c r="N65" s="97">
        <f>SUMIFS('附表7-扣除项目明细采集底稿'!$R:$R,'附表7-扣除项目明细采集底稿'!$G:$G,B65)</f>
        <v>15575.22</v>
      </c>
      <c r="O65" s="90" t="s">
        <v>4651</v>
      </c>
      <c r="P65" s="113">
        <f>SUMIFS('附表7-扣除项目明细采集底稿'!$T:$T,'附表7-扣除项目明细采集底稿'!$G:$G,$B65)</f>
        <v>15575.22</v>
      </c>
      <c r="Q65" s="117">
        <f t="shared" si="2"/>
        <v>0</v>
      </c>
      <c r="R65" s="118"/>
      <c r="S65" s="90"/>
      <c r="T65" s="90"/>
      <c r="U65" s="90"/>
      <c r="V65" s="90"/>
      <c r="W65" s="90"/>
      <c r="X65" s="90"/>
      <c r="Y65" s="90"/>
      <c r="Z65" s="90"/>
      <c r="AA65" s="90"/>
      <c r="AB65" s="90"/>
    </row>
    <row r="66" s="80" customFormat="1" ht="15.05" spans="1:28">
      <c r="A66" s="90">
        <v>70</v>
      </c>
      <c r="B66" s="91" t="s">
        <v>4266</v>
      </c>
      <c r="C66" s="99" t="s">
        <v>4737</v>
      </c>
      <c r="D66" s="93" t="s">
        <v>4655</v>
      </c>
      <c r="E66" s="94" t="s">
        <v>4665</v>
      </c>
      <c r="F66" s="95">
        <v>44925</v>
      </c>
      <c r="G66" s="96">
        <v>26800</v>
      </c>
      <c r="H66" s="97">
        <v>26019.42</v>
      </c>
      <c r="I66" s="96" t="s">
        <v>4650</v>
      </c>
      <c r="J66" s="90" t="s">
        <v>4650</v>
      </c>
      <c r="K66" s="90" t="s">
        <v>4650</v>
      </c>
      <c r="L66" s="90"/>
      <c r="M66" s="112">
        <f>IFERROR(IF(COUNTIFS(S66:AB66,清算项目基本情况表!$D$6)&gt;=1,IF(L66="占地面积法",ROUND(SUM('附表4-项目间分摊信息采集表'!$E$5)/SUMPRODUCT(SUMIFS('附表4-项目间分摊信息采集表'!$E:$E,'附表4-项目间分摊信息采集表'!$B:$B,S66:AB66)),20),IF(L66="测绘总建筑面积法",ROUND(SUM('附表4-项目间分摊信息采集表'!$F$5)/SUMPRODUCT(SUMIFS('附表4-项目间分摊信息采集表'!$F:$F,'附表4-项目间分摊信息采集表'!$B:$B,S66:AB66)),20),IF(L66="可售建筑面积法",ROUND(SUM('附表4-项目间分摊信息采集表'!$G$5)/SUMPRODUCT(SUMIFS('附表4-项目间分摊信息采集表'!$G:$G,'附表4-项目间分摊信息采集表'!$B:$B,S66:AB66)),20),IF(L66="其他分摊方法",ROUND(SUM('附表4-项目间分摊信息采集表'!$H$5)/SUMPRODUCT(SUMIFS('附表4-项目间分摊信息采集表'!$H:$H,'附表4-项目间分摊信息采集表'!$B:$B,S66:AB66)),20),IF(L66="手工填写分摊比例","请填写分摊比例",100%))))),IF(COUNTA(S66:AB66)&gt;=1,0%,100%)),100%)</f>
        <v>1</v>
      </c>
      <c r="N66" s="97">
        <f>SUMIFS('附表7-扣除项目明细采集底稿'!$R:$R,'附表7-扣除项目明细采集底稿'!$G:$G,B66)</f>
        <v>23716.81</v>
      </c>
      <c r="O66" s="90" t="s">
        <v>4651</v>
      </c>
      <c r="P66" s="113">
        <f>SUMIFS('附表7-扣除项目明细采集底稿'!$T:$T,'附表7-扣除项目明细采集底稿'!$G:$G,$B66)</f>
        <v>23716.81</v>
      </c>
      <c r="Q66" s="117">
        <f t="shared" si="2"/>
        <v>0</v>
      </c>
      <c r="R66" s="118"/>
      <c r="S66" s="90"/>
      <c r="T66" s="90"/>
      <c r="U66" s="90"/>
      <c r="V66" s="90"/>
      <c r="W66" s="90"/>
      <c r="X66" s="90"/>
      <c r="Y66" s="90"/>
      <c r="Z66" s="90"/>
      <c r="AA66" s="90"/>
      <c r="AB66" s="90"/>
    </row>
    <row r="67" s="80" customFormat="1" ht="30.05" spans="1:28">
      <c r="A67" s="90">
        <v>34</v>
      </c>
      <c r="B67" s="91" t="s">
        <v>3690</v>
      </c>
      <c r="C67" s="100" t="s">
        <v>4738</v>
      </c>
      <c r="D67" s="93" t="s">
        <v>4648</v>
      </c>
      <c r="E67" s="94" t="s">
        <v>4739</v>
      </c>
      <c r="F67" s="95">
        <v>44216</v>
      </c>
      <c r="G67" s="96">
        <v>662022.54</v>
      </c>
      <c r="H67" s="97">
        <v>607360.13</v>
      </c>
      <c r="I67" s="96" t="s">
        <v>4650</v>
      </c>
      <c r="J67" s="90" t="s">
        <v>4650</v>
      </c>
      <c r="K67" s="90" t="s">
        <v>4650</v>
      </c>
      <c r="L67" s="90"/>
      <c r="M67" s="112">
        <f>IFERROR(IF(COUNTIFS(S67:AB67,清算项目基本情况表!$D$6)&gt;=1,IF(L67="占地面积法",ROUND(SUM('附表4-项目间分摊信息采集表'!$E$5)/SUMPRODUCT(SUMIFS('附表4-项目间分摊信息采集表'!$E:$E,'附表4-项目间分摊信息采集表'!$B:$B,S67:AB67)),20),IF(L67="测绘总建筑面积法",ROUND(SUM('附表4-项目间分摊信息采集表'!$F$5)/SUMPRODUCT(SUMIFS('附表4-项目间分摊信息采集表'!$F:$F,'附表4-项目间分摊信息采集表'!$B:$B,S67:AB67)),20),IF(L67="可售建筑面积法",ROUND(SUM('附表4-项目间分摊信息采集表'!$G$5)/SUMPRODUCT(SUMIFS('附表4-项目间分摊信息采集表'!$G:$G,'附表4-项目间分摊信息采集表'!$B:$B,S67:AB67)),20),IF(L67="其他分摊方法",ROUND(SUM('附表4-项目间分摊信息采集表'!$H$5)/SUMPRODUCT(SUMIFS('附表4-项目间分摊信息采集表'!$H:$H,'附表4-项目间分摊信息采集表'!$B:$B,S67:AB67)),20),IF(L67="手工填写分摊比例","请填写分摊比例",100%))))),IF(COUNTA(S67:AB67)&gt;=1,0%,100%)),100%)</f>
        <v>1</v>
      </c>
      <c r="N67" s="97">
        <f>SUMIFS('附表7-扣除项目明细采集底稿'!$R:$R,'附表7-扣除项目明细采集底稿'!$G:$G,B67)</f>
        <v>0</v>
      </c>
      <c r="O67" s="90" t="s">
        <v>4651</v>
      </c>
      <c r="P67" s="113">
        <f>SUMIFS('附表7-扣除项目明细采集底稿'!$T:$T,'附表7-扣除项目明细采集底稿'!$G:$G,$B67)</f>
        <v>0</v>
      </c>
      <c r="Q67" s="117">
        <f t="shared" si="2"/>
        <v>0</v>
      </c>
      <c r="R67" s="118"/>
      <c r="S67" s="90"/>
      <c r="T67" s="90"/>
      <c r="U67" s="90"/>
      <c r="V67" s="90"/>
      <c r="W67" s="90"/>
      <c r="X67" s="90"/>
      <c r="Y67" s="90"/>
      <c r="Z67" s="90"/>
      <c r="AA67" s="90"/>
      <c r="AB67" s="90"/>
    </row>
    <row r="68" s="80" customFormat="1" ht="15.05" spans="1:28">
      <c r="A68" s="90">
        <v>90</v>
      </c>
      <c r="B68" s="91" t="s">
        <v>3996</v>
      </c>
      <c r="C68" s="100" t="s">
        <v>4740</v>
      </c>
      <c r="D68" s="93" t="s">
        <v>4655</v>
      </c>
      <c r="E68" s="99" t="s">
        <v>2963</v>
      </c>
      <c r="F68" s="95">
        <v>44273</v>
      </c>
      <c r="G68" s="96">
        <v>325289</v>
      </c>
      <c r="H68" s="97">
        <v>287439.82</v>
      </c>
      <c r="I68" s="96" t="s">
        <v>4650</v>
      </c>
      <c r="J68" s="90" t="s">
        <v>4650</v>
      </c>
      <c r="K68" s="90" t="s">
        <v>15</v>
      </c>
      <c r="L68" s="90" t="s">
        <v>351</v>
      </c>
      <c r="M68" s="112">
        <f>IFERROR(IF(COUNTIFS(S68:AB68,清算项目基本情况表!$D$6)&gt;=1,IF(L68="占地面积法",ROUND(SUM('附表4-项目间分摊信息采集表'!$E$5)/SUMPRODUCT(SUMIFS('附表4-项目间分摊信息采集表'!$E:$E,'附表4-项目间分摊信息采集表'!$B:$B,S68:AB68)),20),IF(L68="测绘总建筑面积法",ROUND(SUM('附表4-项目间分摊信息采集表'!$F$5)/SUMPRODUCT(SUMIFS('附表4-项目间分摊信息采集表'!$F:$F,'附表4-项目间分摊信息采集表'!$B:$B,S68:AB68)),20),IF(L68="可售建筑面积法",ROUND(SUM('附表4-项目间分摊信息采集表'!$G$5)/SUMPRODUCT(SUMIFS('附表4-项目间分摊信息采集表'!$G:$G,'附表4-项目间分摊信息采集表'!$B:$B,S68:AB68)),20),IF(L68="其他分摊方法",ROUND(SUM('附表4-项目间分摊信息采集表'!$H$5)/SUMPRODUCT(SUMIFS('附表4-项目间分摊信息采集表'!$H:$H,'附表4-项目间分摊信息采集表'!$B:$B,S68:AB68)),20),IF(L68="手工填写分摊比例","请填写分摊比例",100%))))),IF(COUNTA(S68:AB68)&gt;=1,0%,100%)),100%)</f>
        <v>0.338555832480367</v>
      </c>
      <c r="N68" s="97">
        <f>SUMIFS('附表7-扣除项目明细采集底稿'!$R:$R,'附表7-扣除项目明细采集底稿'!$G:$G,B68)</f>
        <v>287439.82</v>
      </c>
      <c r="O68" s="90" t="s">
        <v>4651</v>
      </c>
      <c r="P68" s="113">
        <f>SUMIFS('附表7-扣除项目明细采集底稿'!$T:$T,'附表7-扣除项目明细采集底稿'!$G:$G,$B68)</f>
        <v>97314.43</v>
      </c>
      <c r="Q68" s="117">
        <f t="shared" si="2"/>
        <v>190125.39</v>
      </c>
      <c r="R68" s="118"/>
      <c r="S68" s="90" t="s">
        <v>11</v>
      </c>
      <c r="T68" s="90" t="s">
        <v>46</v>
      </c>
      <c r="U68" s="90" t="s">
        <v>371</v>
      </c>
      <c r="V68" s="90"/>
      <c r="W68" s="90"/>
      <c r="X68" s="90"/>
      <c r="Y68" s="90"/>
      <c r="Z68" s="90"/>
      <c r="AA68" s="90"/>
      <c r="AB68" s="90"/>
    </row>
    <row r="69" s="80" customFormat="1" ht="15.05" spans="1:28">
      <c r="A69" s="90">
        <v>209</v>
      </c>
      <c r="B69" s="91" t="s">
        <v>3128</v>
      </c>
      <c r="C69" s="100" t="s">
        <v>4741</v>
      </c>
      <c r="D69" s="93" t="s">
        <v>4655</v>
      </c>
      <c r="E69" s="94" t="s">
        <v>4742</v>
      </c>
      <c r="F69" s="95">
        <v>44007</v>
      </c>
      <c r="G69" s="96">
        <v>44020</v>
      </c>
      <c r="H69" s="97">
        <v>0</v>
      </c>
      <c r="I69" s="96" t="s">
        <v>4650</v>
      </c>
      <c r="J69" s="90" t="s">
        <v>4650</v>
      </c>
      <c r="K69" s="90" t="s">
        <v>4650</v>
      </c>
      <c r="L69" s="90"/>
      <c r="M69" s="112">
        <f>IFERROR(IF(COUNTIFS(S69:AB69,清算项目基本情况表!$D$6)&gt;=1,IF(L69="占地面积法",ROUND(SUM('附表4-项目间分摊信息采集表'!$E$5)/SUMPRODUCT(SUMIFS('附表4-项目间分摊信息采集表'!$E:$E,'附表4-项目间分摊信息采集表'!$B:$B,S69:AB69)),20),IF(L69="测绘总建筑面积法",ROUND(SUM('附表4-项目间分摊信息采集表'!$F$5)/SUMPRODUCT(SUMIFS('附表4-项目间分摊信息采集表'!$F:$F,'附表4-项目间分摊信息采集表'!$B:$B,S69:AB69)),20),IF(L69="可售建筑面积法",ROUND(SUM('附表4-项目间分摊信息采集表'!$G$5)/SUMPRODUCT(SUMIFS('附表4-项目间分摊信息采集表'!$G:$G,'附表4-项目间分摊信息采集表'!$B:$B,S69:AB69)),20),IF(L69="其他分摊方法",ROUND(SUM('附表4-项目间分摊信息采集表'!$H$5)/SUMPRODUCT(SUMIFS('附表4-项目间分摊信息采集表'!$H:$H,'附表4-项目间分摊信息采集表'!$B:$B,S69:AB69)),20),IF(L69="手工填写分摊比例","请填写分摊比例",100%))))),IF(COUNTA(S69:AB69)&gt;=1,0%,100%)),100%)</f>
        <v>1</v>
      </c>
      <c r="N69" s="97">
        <f>SUMIFS('附表7-扣除项目明细采集底稿'!$R:$R,'附表7-扣除项目明细采集底稿'!$G:$G,B69)</f>
        <v>43584.16</v>
      </c>
      <c r="O69" s="90" t="s">
        <v>4651</v>
      </c>
      <c r="P69" s="113">
        <f>SUMIFS('附表7-扣除项目明细采集底稿'!$T:$T,'附表7-扣除项目明细采集底稿'!$G:$G,$B69)</f>
        <v>43584.16</v>
      </c>
      <c r="Q69" s="117">
        <f t="shared" si="2"/>
        <v>0</v>
      </c>
      <c r="R69" s="118"/>
      <c r="S69" s="90"/>
      <c r="T69" s="90"/>
      <c r="U69" s="90"/>
      <c r="V69" s="90"/>
      <c r="W69" s="90"/>
      <c r="X69" s="90"/>
      <c r="Y69" s="90"/>
      <c r="Z69" s="90"/>
      <c r="AA69" s="90"/>
      <c r="AB69" s="90"/>
    </row>
    <row r="70" s="80" customFormat="1" ht="15.05" spans="1:28">
      <c r="A70" s="90">
        <v>120</v>
      </c>
      <c r="B70" s="91" t="s">
        <v>3083</v>
      </c>
      <c r="C70" s="100" t="s">
        <v>4743</v>
      </c>
      <c r="D70" s="93" t="s">
        <v>4655</v>
      </c>
      <c r="E70" s="94" t="s">
        <v>3084</v>
      </c>
      <c r="F70" s="95">
        <v>43983</v>
      </c>
      <c r="G70" s="96">
        <v>97500</v>
      </c>
      <c r="H70" s="97">
        <v>0</v>
      </c>
      <c r="I70" s="96" t="s">
        <v>4650</v>
      </c>
      <c r="J70" s="90" t="s">
        <v>4650</v>
      </c>
      <c r="K70" s="90" t="s">
        <v>4650</v>
      </c>
      <c r="L70" s="90"/>
      <c r="M70" s="112">
        <f>IFERROR(IF(COUNTIFS(S70:AB70,清算项目基本情况表!$D$6)&gt;=1,IF(L70="占地面积法",ROUND(SUM('附表4-项目间分摊信息采集表'!$E$5)/SUMPRODUCT(SUMIFS('附表4-项目间分摊信息采集表'!$E:$E,'附表4-项目间分摊信息采集表'!$B:$B,S70:AB70)),20),IF(L70="测绘总建筑面积法",ROUND(SUM('附表4-项目间分摊信息采集表'!$F$5)/SUMPRODUCT(SUMIFS('附表4-项目间分摊信息采集表'!$F:$F,'附表4-项目间分摊信息采集表'!$B:$B,S70:AB70)),20),IF(L70="可售建筑面积法",ROUND(SUM('附表4-项目间分摊信息采集表'!$G$5)/SUMPRODUCT(SUMIFS('附表4-项目间分摊信息采集表'!$G:$G,'附表4-项目间分摊信息采集表'!$B:$B,S70:AB70)),20),IF(L70="其他分摊方法",ROUND(SUM('附表4-项目间分摊信息采集表'!$H$5)/SUMPRODUCT(SUMIFS('附表4-项目间分摊信息采集表'!$H:$H,'附表4-项目间分摊信息采集表'!$B:$B,S70:AB70)),20),IF(L70="手工填写分摊比例","请填写分摊比例",100%))))),IF(COUNTA(S70:AB70)&gt;=1,0%,100%)),100%)</f>
        <v>1</v>
      </c>
      <c r="N70" s="97">
        <f>SUMIFS('附表7-扣除项目明细采集底稿'!$R:$R,'附表7-扣除项目明细采集底稿'!$G:$G,B70)</f>
        <v>78000</v>
      </c>
      <c r="O70" s="90" t="s">
        <v>4651</v>
      </c>
      <c r="P70" s="113">
        <f>SUMIFS('附表7-扣除项目明细采集底稿'!$T:$T,'附表7-扣除项目明细采集底稿'!$G:$G,$B70)</f>
        <v>78000</v>
      </c>
      <c r="Q70" s="117">
        <f t="shared" si="2"/>
        <v>0</v>
      </c>
      <c r="R70" s="118"/>
      <c r="S70" s="90"/>
      <c r="T70" s="90"/>
      <c r="U70" s="90"/>
      <c r="V70" s="90"/>
      <c r="W70" s="90"/>
      <c r="X70" s="90"/>
      <c r="Y70" s="90"/>
      <c r="Z70" s="90"/>
      <c r="AA70" s="90"/>
      <c r="AB70" s="90"/>
    </row>
    <row r="71" s="80" customFormat="1" ht="30.05" spans="1:28">
      <c r="A71" s="90">
        <v>229</v>
      </c>
      <c r="B71" s="91" t="s">
        <v>4528</v>
      </c>
      <c r="C71" s="100" t="s">
        <v>4744</v>
      </c>
      <c r="D71" s="93" t="s">
        <v>4648</v>
      </c>
      <c r="E71" s="99" t="s">
        <v>3512</v>
      </c>
      <c r="F71" s="95">
        <v>44441</v>
      </c>
      <c r="G71" s="96">
        <v>30413.3</v>
      </c>
      <c r="H71" s="97">
        <v>27902.11</v>
      </c>
      <c r="I71" s="96" t="s">
        <v>4650</v>
      </c>
      <c r="J71" s="90" t="s">
        <v>4650</v>
      </c>
      <c r="K71" s="90" t="s">
        <v>4650</v>
      </c>
      <c r="L71" s="90"/>
      <c r="M71" s="112">
        <f>IFERROR(IF(COUNTIFS(S71:AB71,清算项目基本情况表!$D$6)&gt;=1,IF(L71="占地面积法",ROUND(SUM('附表4-项目间分摊信息采集表'!$E$5)/SUMPRODUCT(SUMIFS('附表4-项目间分摊信息采集表'!$E:$E,'附表4-项目间分摊信息采集表'!$B:$B,S71:AB71)),20),IF(L71="测绘总建筑面积法",ROUND(SUM('附表4-项目间分摊信息采集表'!$F$5)/SUMPRODUCT(SUMIFS('附表4-项目间分摊信息采集表'!$F:$F,'附表4-项目间分摊信息采集表'!$B:$B,S71:AB71)),20),IF(L71="可售建筑面积法",ROUND(SUM('附表4-项目间分摊信息采集表'!$G$5)/SUMPRODUCT(SUMIFS('附表4-项目间分摊信息采集表'!$G:$G,'附表4-项目间分摊信息采集表'!$B:$B,S71:AB71)),20),IF(L71="其他分摊方法",ROUND(SUM('附表4-项目间分摊信息采集表'!$H$5)/SUMPRODUCT(SUMIFS('附表4-项目间分摊信息采集表'!$H:$H,'附表4-项目间分摊信息采集表'!$B:$B,S71:AB71)),20),IF(L71="手工填写分摊比例","请填写分摊比例",100%))))),IF(COUNTA(S71:AB71)&gt;=1,0%,100%)),100%)</f>
        <v>1</v>
      </c>
      <c r="N71" s="97">
        <f>SUMIFS('附表7-扣除项目明细采集底稿'!$R:$R,'附表7-扣除项目明细采集底稿'!$G:$G,B71)</f>
        <v>27902.11</v>
      </c>
      <c r="O71" s="90" t="s">
        <v>4651</v>
      </c>
      <c r="P71" s="113">
        <f>SUMIFS('附表7-扣除项目明细采集底稿'!$T:$T,'附表7-扣除项目明细采集底稿'!$G:$G,$B71)</f>
        <v>27902.11</v>
      </c>
      <c r="Q71" s="117"/>
      <c r="R71" s="118"/>
      <c r="S71" s="90"/>
      <c r="T71" s="90"/>
      <c r="U71" s="90"/>
      <c r="V71" s="90"/>
      <c r="W71" s="90"/>
      <c r="X71" s="90"/>
      <c r="Y71" s="90"/>
      <c r="Z71" s="90"/>
      <c r="AA71" s="90"/>
      <c r="AB71" s="90"/>
    </row>
    <row r="72" s="80" customFormat="1" ht="15.05" spans="1:28">
      <c r="A72" s="90">
        <v>205</v>
      </c>
      <c r="B72" s="91" t="s">
        <v>4119</v>
      </c>
      <c r="C72" s="99" t="s">
        <v>4745</v>
      </c>
      <c r="D72" s="93" t="s">
        <v>4659</v>
      </c>
      <c r="E72" s="99" t="s">
        <v>3529</v>
      </c>
      <c r="F72" s="95">
        <v>44420</v>
      </c>
      <c r="G72" s="96">
        <v>63000</v>
      </c>
      <c r="H72" s="97">
        <v>55752.21</v>
      </c>
      <c r="I72" s="96" t="s">
        <v>4650</v>
      </c>
      <c r="J72" s="90" t="s">
        <v>4650</v>
      </c>
      <c r="K72" s="90" t="s">
        <v>15</v>
      </c>
      <c r="L72" s="90" t="s">
        <v>351</v>
      </c>
      <c r="M72" s="112">
        <f>IFERROR(IF(COUNTIFS(S72:AB72,清算项目基本情况表!$D$6)&gt;=1,IF(L72="占地面积法",ROUND(SUM('附表4-项目间分摊信息采集表'!$E$5)/SUMPRODUCT(SUMIFS('附表4-项目间分摊信息采集表'!$E:$E,'附表4-项目间分摊信息采集表'!$B:$B,S72:AB72)),20),IF(L72="测绘总建筑面积法",ROUND(SUM('附表4-项目间分摊信息采集表'!$F$5)/SUMPRODUCT(SUMIFS('附表4-项目间分摊信息采集表'!$F:$F,'附表4-项目间分摊信息采集表'!$B:$B,S72:AB72)),20),IF(L72="可售建筑面积法",ROUND(SUM('附表4-项目间分摊信息采集表'!$G$5)/SUMPRODUCT(SUMIFS('附表4-项目间分摊信息采集表'!$G:$G,'附表4-项目间分摊信息采集表'!$B:$B,S72:AB72)),20),IF(L72="其他分摊方法",ROUND(SUM('附表4-项目间分摊信息采集表'!$H$5)/SUMPRODUCT(SUMIFS('附表4-项目间分摊信息采集表'!$H:$H,'附表4-项目间分摊信息采集表'!$B:$B,S72:AB72)),20),IF(L72="手工填写分摊比例","请填写分摊比例",100%))))),IF(COUNTA(S72:AB72)&gt;=1,0%,100%)),100%)</f>
        <v>0.338555832480367</v>
      </c>
      <c r="N72" s="97">
        <f>SUMIFS('附表7-扣除项目明细采集底稿'!$R:$R,'附表7-扣除项目明细采集底稿'!$G:$G,B72)</f>
        <v>55752.21</v>
      </c>
      <c r="O72" s="90" t="s">
        <v>4651</v>
      </c>
      <c r="P72" s="113">
        <f>SUMIFS('附表7-扣除项目明细采集底稿'!$T:$T,'附表7-扣除项目明细采集底稿'!$G:$G,$B72)</f>
        <v>18875.24</v>
      </c>
      <c r="Q72" s="117">
        <f t="shared" ref="Q72:Q83" si="3">ROUND(SUM(N72)-SUM(O72)-SUM(P72),2)</f>
        <v>36876.97</v>
      </c>
      <c r="R72" s="118"/>
      <c r="S72" s="90" t="s">
        <v>11</v>
      </c>
      <c r="T72" s="90" t="s">
        <v>46</v>
      </c>
      <c r="U72" s="90" t="s">
        <v>371</v>
      </c>
      <c r="V72" s="90"/>
      <c r="W72" s="90"/>
      <c r="X72" s="90"/>
      <c r="Y72" s="90"/>
      <c r="Z72" s="90"/>
      <c r="AA72" s="90"/>
      <c r="AB72" s="90"/>
    </row>
    <row r="73" s="80" customFormat="1" ht="15.05" spans="1:28">
      <c r="A73" s="90">
        <v>89</v>
      </c>
      <c r="B73" s="91" t="s">
        <v>4207</v>
      </c>
      <c r="C73" s="99" t="s">
        <v>4746</v>
      </c>
      <c r="D73" s="93" t="s">
        <v>4659</v>
      </c>
      <c r="E73" s="99" t="s">
        <v>4208</v>
      </c>
      <c r="F73" s="95">
        <v>44699</v>
      </c>
      <c r="G73" s="96">
        <v>2691718.75</v>
      </c>
      <c r="H73" s="97">
        <v>2382051.99</v>
      </c>
      <c r="I73" s="96" t="s">
        <v>4650</v>
      </c>
      <c r="J73" s="90" t="s">
        <v>4650</v>
      </c>
      <c r="K73" s="90" t="s">
        <v>15</v>
      </c>
      <c r="L73" s="90" t="s">
        <v>351</v>
      </c>
      <c r="M73" s="112">
        <f>IFERROR(IF(COUNTIFS(S73:AB73,清算项目基本情况表!$D$6)&gt;=1,IF(L73="占地面积法",ROUND(SUM('附表4-项目间分摊信息采集表'!$E$5)/SUMPRODUCT(SUMIFS('附表4-项目间分摊信息采集表'!$E:$E,'附表4-项目间分摊信息采集表'!$B:$B,S73:AB73)),20),IF(L73="测绘总建筑面积法",ROUND(SUM('附表4-项目间分摊信息采集表'!$F$5)/SUMPRODUCT(SUMIFS('附表4-项目间分摊信息采集表'!$F:$F,'附表4-项目间分摊信息采集表'!$B:$B,S73:AB73)),20),IF(L73="可售建筑面积法",ROUND(SUM('附表4-项目间分摊信息采集表'!$G$5)/SUMPRODUCT(SUMIFS('附表4-项目间分摊信息采集表'!$G:$G,'附表4-项目间分摊信息采集表'!$B:$B,S73:AB73)),20),IF(L73="其他分摊方法",ROUND(SUM('附表4-项目间分摊信息采集表'!$H$5)/SUMPRODUCT(SUMIFS('附表4-项目间分摊信息采集表'!$H:$H,'附表4-项目间分摊信息采集表'!$B:$B,S73:AB73)),20),IF(L73="手工填写分摊比例","请填写分摊比例",100%))))),IF(COUNTA(S73:AB73)&gt;=1,0%,100%)),100%)</f>
        <v>0.338555832480367</v>
      </c>
      <c r="N73" s="97">
        <f>SUMIFS('附表7-扣除项目明细采集底稿'!$R:$R,'附表7-扣除项目明细采集底稿'!$G:$G,B73)</f>
        <v>1977621.71</v>
      </c>
      <c r="O73" s="90" t="s">
        <v>4651</v>
      </c>
      <c r="P73" s="113">
        <f>SUMIFS('附表7-扣除项目明细采集底稿'!$T:$T,'附表7-扣除项目明细采集底稿'!$G:$G,$B73)</f>
        <v>669535.37</v>
      </c>
      <c r="Q73" s="117">
        <f t="shared" si="3"/>
        <v>1308086.34</v>
      </c>
      <c r="R73" s="118"/>
      <c r="S73" s="90" t="s">
        <v>11</v>
      </c>
      <c r="T73" s="90" t="s">
        <v>46</v>
      </c>
      <c r="U73" s="90" t="s">
        <v>371</v>
      </c>
      <c r="V73" s="90"/>
      <c r="W73" s="90"/>
      <c r="X73" s="90"/>
      <c r="Y73" s="90"/>
      <c r="Z73" s="90"/>
      <c r="AA73" s="90"/>
      <c r="AB73" s="90"/>
    </row>
    <row r="74" s="80" customFormat="1" ht="15.05" spans="1:28">
      <c r="A74" s="90">
        <v>130</v>
      </c>
      <c r="B74" s="91" t="s">
        <v>3932</v>
      </c>
      <c r="C74" s="100" t="s">
        <v>4747</v>
      </c>
      <c r="D74" s="93" t="s">
        <v>4655</v>
      </c>
      <c r="E74" s="99" t="s">
        <v>4671</v>
      </c>
      <c r="F74" s="95">
        <v>44002</v>
      </c>
      <c r="G74" s="96">
        <v>30400</v>
      </c>
      <c r="H74" s="97">
        <v>0</v>
      </c>
      <c r="I74" s="96" t="s">
        <v>4650</v>
      </c>
      <c r="J74" s="90" t="s">
        <v>4650</v>
      </c>
      <c r="K74" s="90" t="s">
        <v>15</v>
      </c>
      <c r="L74" s="90" t="s">
        <v>351</v>
      </c>
      <c r="M74" s="112">
        <f>IFERROR(IF(COUNTIFS(S74:AB74,清算项目基本情况表!$D$6)&gt;=1,IF(L74="占地面积法",ROUND(SUM('附表4-项目间分摊信息采集表'!$E$5)/SUMPRODUCT(SUMIFS('附表4-项目间分摊信息采集表'!$E:$E,'附表4-项目间分摊信息采集表'!$B:$B,S74:AB74)),20),IF(L74="测绘总建筑面积法",ROUND(SUM('附表4-项目间分摊信息采集表'!$F$5)/SUMPRODUCT(SUMIFS('附表4-项目间分摊信息采集表'!$F:$F,'附表4-项目间分摊信息采集表'!$B:$B,S74:AB74)),20),IF(L74="可售建筑面积法",ROUND(SUM('附表4-项目间分摊信息采集表'!$G$5)/SUMPRODUCT(SUMIFS('附表4-项目间分摊信息采集表'!$G:$G,'附表4-项目间分摊信息采集表'!$B:$B,S74:AB74)),20),IF(L74="其他分摊方法",ROUND(SUM('附表4-项目间分摊信息采集表'!$H$5)/SUMPRODUCT(SUMIFS('附表4-项目间分摊信息采集表'!$H:$H,'附表4-项目间分摊信息采集表'!$B:$B,S74:AB74)),20),IF(L74="手工填写分摊比例","请填写分摊比例",100%))))),IF(COUNTA(S74:AB74)&gt;=1,0%,100%)),100%)</f>
        <v>0.338555832480367</v>
      </c>
      <c r="N74" s="97">
        <f>SUMIFS('附表7-扣除项目明细采集底稿'!$R:$R,'附表7-扣除项目明细采集底稿'!$G:$G,B74)</f>
        <v>26902.65</v>
      </c>
      <c r="O74" s="90" t="s">
        <v>4651</v>
      </c>
      <c r="P74" s="113">
        <f>SUMIFS('附表7-扣除项目明细采集底稿'!$T:$T,'附表7-扣除项目明细采集底稿'!$G:$G,$B74)</f>
        <v>9108.05</v>
      </c>
      <c r="Q74" s="117">
        <f t="shared" si="3"/>
        <v>17794.6</v>
      </c>
      <c r="R74" s="118"/>
      <c r="S74" s="90" t="s">
        <v>11</v>
      </c>
      <c r="T74" s="90" t="s">
        <v>46</v>
      </c>
      <c r="U74" s="90" t="s">
        <v>371</v>
      </c>
      <c r="V74" s="90"/>
      <c r="W74" s="90"/>
      <c r="X74" s="90"/>
      <c r="Y74" s="90"/>
      <c r="Z74" s="90"/>
      <c r="AA74" s="90"/>
      <c r="AB74" s="90"/>
    </row>
    <row r="75" s="80" customFormat="1" ht="15.05" spans="1:28">
      <c r="A75" s="90">
        <v>110</v>
      </c>
      <c r="B75" s="91" t="s">
        <v>3626</v>
      </c>
      <c r="C75" s="100" t="s">
        <v>4747</v>
      </c>
      <c r="D75" s="93" t="s">
        <v>4655</v>
      </c>
      <c r="E75" s="99" t="s">
        <v>3627</v>
      </c>
      <c r="F75" s="95">
        <v>44002</v>
      </c>
      <c r="G75" s="96">
        <v>51376</v>
      </c>
      <c r="H75" s="97">
        <v>0</v>
      </c>
      <c r="I75" s="96" t="s">
        <v>4650</v>
      </c>
      <c r="J75" s="90" t="s">
        <v>4650</v>
      </c>
      <c r="K75" s="90" t="s">
        <v>15</v>
      </c>
      <c r="L75" s="90" t="s">
        <v>351</v>
      </c>
      <c r="M75" s="112">
        <f>IFERROR(IF(COUNTIFS(S75:AB75,清算项目基本情况表!$D$6)&gt;=1,IF(L75="占地面积法",ROUND(SUM('附表4-项目间分摊信息采集表'!$E$5)/SUMPRODUCT(SUMIFS('附表4-项目间分摊信息采集表'!$E:$E,'附表4-项目间分摊信息采集表'!$B:$B,S75:AB75)),20),IF(L75="测绘总建筑面积法",ROUND(SUM('附表4-项目间分摊信息采集表'!$F$5)/SUMPRODUCT(SUMIFS('附表4-项目间分摊信息采集表'!$F:$F,'附表4-项目间分摊信息采集表'!$B:$B,S75:AB75)),20),IF(L75="可售建筑面积法",ROUND(SUM('附表4-项目间分摊信息采集表'!$G$5)/SUMPRODUCT(SUMIFS('附表4-项目间分摊信息采集表'!$G:$G,'附表4-项目间分摊信息采集表'!$B:$B,S75:AB75)),20),IF(L75="其他分摊方法",ROUND(SUM('附表4-项目间分摊信息采集表'!$H$5)/SUMPRODUCT(SUMIFS('附表4-项目间分摊信息采集表'!$H:$H,'附表4-项目间分摊信息采集表'!$B:$B,S75:AB75)),20),IF(L75="手工填写分摊比例","请填写分摊比例",100%))))),IF(COUNTA(S75:AB75)&gt;=1,0%,100%)),100%)</f>
        <v>0.338555832480367</v>
      </c>
      <c r="N75" s="97">
        <f>SUMIFS('附表7-扣除项目明细采集底稿'!$R:$R,'附表7-扣除项目明细采集底稿'!$G:$G,B75)</f>
        <v>43192.21</v>
      </c>
      <c r="O75" s="90" t="s">
        <v>4651</v>
      </c>
      <c r="P75" s="113">
        <f>SUMIFS('附表7-扣除项目明细采集底稿'!$T:$T,'附表7-扣除项目明细采集底稿'!$G:$G,$B75)</f>
        <v>14622.97</v>
      </c>
      <c r="Q75" s="117">
        <f t="shared" si="3"/>
        <v>28569.24</v>
      </c>
      <c r="R75" s="118"/>
      <c r="S75" s="90" t="s">
        <v>11</v>
      </c>
      <c r="T75" s="90" t="s">
        <v>46</v>
      </c>
      <c r="U75" s="90" t="s">
        <v>371</v>
      </c>
      <c r="V75" s="90"/>
      <c r="W75" s="90"/>
      <c r="X75" s="90"/>
      <c r="Y75" s="90"/>
      <c r="Z75" s="90"/>
      <c r="AA75" s="90"/>
      <c r="AB75" s="90"/>
    </row>
    <row r="76" s="80" customFormat="1" ht="15.05" spans="1:28">
      <c r="A76" s="90">
        <v>161</v>
      </c>
      <c r="B76" s="91" t="s">
        <v>4443</v>
      </c>
      <c r="C76" s="100" t="s">
        <v>4748</v>
      </c>
      <c r="D76" s="93" t="s">
        <v>4655</v>
      </c>
      <c r="E76" s="99" t="s">
        <v>4444</v>
      </c>
      <c r="F76" s="95">
        <v>44662</v>
      </c>
      <c r="G76" s="96">
        <v>26696.15</v>
      </c>
      <c r="H76" s="97">
        <v>0</v>
      </c>
      <c r="I76" s="96" t="s">
        <v>4650</v>
      </c>
      <c r="J76" s="90" t="s">
        <v>4650</v>
      </c>
      <c r="K76" s="90" t="s">
        <v>15</v>
      </c>
      <c r="L76" s="90" t="s">
        <v>351</v>
      </c>
      <c r="M76" s="112">
        <f>IFERROR(IF(COUNTIFS(S76:AB76,清算项目基本情况表!$D$6)&gt;=1,IF(L76="占地面积法",ROUND(SUM('附表4-项目间分摊信息采集表'!$E$5)/SUMPRODUCT(SUMIFS('附表4-项目间分摊信息采集表'!$E:$E,'附表4-项目间分摊信息采集表'!$B:$B,S76:AB76)),20),IF(L76="测绘总建筑面积法",ROUND(SUM('附表4-项目间分摊信息采集表'!$F$5)/SUMPRODUCT(SUMIFS('附表4-项目间分摊信息采集表'!$F:$F,'附表4-项目间分摊信息采集表'!$B:$B,S76:AB76)),20),IF(L76="可售建筑面积法",ROUND(SUM('附表4-项目间分摊信息采集表'!$G$5)/SUMPRODUCT(SUMIFS('附表4-项目间分摊信息采集表'!$G:$G,'附表4-项目间分摊信息采集表'!$B:$B,S76:AB76)),20),IF(L76="其他分摊方法",ROUND(SUM('附表4-项目间分摊信息采集表'!$H$5)/SUMPRODUCT(SUMIFS('附表4-项目间分摊信息采集表'!$H:$H,'附表4-项目间分摊信息采集表'!$B:$B,S76:AB76)),20),IF(L76="手工填写分摊比例","请填写分摊比例",100%))))),IF(COUNTA(S76:AB76)&gt;=1,0%,100%)),100%)</f>
        <v>0.338555832480367</v>
      </c>
      <c r="N76" s="97">
        <f>SUMIFS('附表7-扣除项目明细采集底稿'!$R:$R,'附表7-扣除项目明细采集底稿'!$G:$G,B76)</f>
        <v>25918.59</v>
      </c>
      <c r="O76" s="90" t="s">
        <v>4651</v>
      </c>
      <c r="P76" s="113">
        <f>SUMIFS('附表7-扣除项目明细采集底稿'!$T:$T,'附表7-扣除项目明细采集底稿'!$G:$G,$B76)</f>
        <v>8774.89</v>
      </c>
      <c r="Q76" s="117">
        <f t="shared" si="3"/>
        <v>17143.7</v>
      </c>
      <c r="R76" s="118"/>
      <c r="S76" s="90" t="s">
        <v>11</v>
      </c>
      <c r="T76" s="90" t="s">
        <v>46</v>
      </c>
      <c r="U76" s="90" t="s">
        <v>371</v>
      </c>
      <c r="V76" s="90"/>
      <c r="W76" s="90"/>
      <c r="X76" s="90"/>
      <c r="Y76" s="90"/>
      <c r="Z76" s="90"/>
      <c r="AA76" s="90"/>
      <c r="AB76" s="90"/>
    </row>
    <row r="77" s="80" customFormat="1" ht="15.05" spans="1:28">
      <c r="A77" s="90">
        <v>162</v>
      </c>
      <c r="B77" s="91" t="s">
        <v>4446</v>
      </c>
      <c r="C77" s="100" t="s">
        <v>4748</v>
      </c>
      <c r="D77" s="93" t="s">
        <v>4655</v>
      </c>
      <c r="E77" s="99" t="s">
        <v>4444</v>
      </c>
      <c r="F77" s="95">
        <v>44662</v>
      </c>
      <c r="G77" s="96">
        <v>211805.46</v>
      </c>
      <c r="H77" s="97">
        <v>0</v>
      </c>
      <c r="I77" s="96" t="s">
        <v>4650</v>
      </c>
      <c r="J77" s="90" t="s">
        <v>4650</v>
      </c>
      <c r="K77" s="90" t="s">
        <v>15</v>
      </c>
      <c r="L77" s="90" t="s">
        <v>351</v>
      </c>
      <c r="M77" s="112">
        <f>IFERROR(IF(COUNTIFS(S77:AB77,清算项目基本情况表!$D$6)&gt;=1,IF(L77="占地面积法",ROUND(SUM('附表4-项目间分摊信息采集表'!$E$5)/SUMPRODUCT(SUMIFS('附表4-项目间分摊信息采集表'!$E:$E,'附表4-项目间分摊信息采集表'!$B:$B,S77:AB77)),20),IF(L77="测绘总建筑面积法",ROUND(SUM('附表4-项目间分摊信息采集表'!$F$5)/SUMPRODUCT(SUMIFS('附表4-项目间分摊信息采集表'!$F:$F,'附表4-项目间分摊信息采集表'!$B:$B,S77:AB77)),20),IF(L77="可售建筑面积法",ROUND(SUM('附表4-项目间分摊信息采集表'!$G$5)/SUMPRODUCT(SUMIFS('附表4-项目间分摊信息采集表'!$G:$G,'附表4-项目间分摊信息采集表'!$B:$B,S77:AB77)),20),IF(L77="其他分摊方法",ROUND(SUM('附表4-项目间分摊信息采集表'!$H$5)/SUMPRODUCT(SUMIFS('附表4-项目间分摊信息采集表'!$H:$H,'附表4-项目间分摊信息采集表'!$B:$B,S77:AB77)),20),IF(L77="手工填写分摊比例","请填写分摊比例",100%))))),IF(COUNTA(S77:AB77)&gt;=1,0%,100%)),100%)</f>
        <v>0.338555832480367</v>
      </c>
      <c r="N77" s="97">
        <f>SUMIFS('附表7-扣除项目明细采集底稿'!$R:$R,'附表7-扣除项目明细采集底稿'!$G:$G,B77)</f>
        <v>159325.37</v>
      </c>
      <c r="O77" s="90" t="s">
        <v>4651</v>
      </c>
      <c r="P77" s="113">
        <f>SUMIFS('附表7-扣除项目明细采集底稿'!$T:$T,'附表7-扣除项目明细采集底稿'!$G:$G,$B77)</f>
        <v>53940.53</v>
      </c>
      <c r="Q77" s="117">
        <f t="shared" si="3"/>
        <v>105384.84</v>
      </c>
      <c r="R77" s="118"/>
      <c r="S77" s="90" t="s">
        <v>11</v>
      </c>
      <c r="T77" s="90" t="s">
        <v>46</v>
      </c>
      <c r="U77" s="90" t="s">
        <v>371</v>
      </c>
      <c r="V77" s="90"/>
      <c r="W77" s="90"/>
      <c r="X77" s="90"/>
      <c r="Y77" s="90"/>
      <c r="Z77" s="90"/>
      <c r="AA77" s="90"/>
      <c r="AB77" s="90"/>
    </row>
    <row r="78" s="80" customFormat="1" ht="15.05" spans="1:28">
      <c r="A78" s="90">
        <v>91</v>
      </c>
      <c r="B78" s="91" t="s">
        <v>2962</v>
      </c>
      <c r="C78" s="99" t="s">
        <v>4749</v>
      </c>
      <c r="D78" s="93" t="s">
        <v>4655</v>
      </c>
      <c r="E78" s="99" t="s">
        <v>2963</v>
      </c>
      <c r="F78" s="95">
        <v>43921</v>
      </c>
      <c r="G78" s="96">
        <v>1151750.48</v>
      </c>
      <c r="H78" s="97">
        <v>1019248.21</v>
      </c>
      <c r="I78" s="96" t="s">
        <v>4650</v>
      </c>
      <c r="J78" s="90" t="s">
        <v>4650</v>
      </c>
      <c r="K78" s="90" t="s">
        <v>4650</v>
      </c>
      <c r="L78" s="90"/>
      <c r="M78" s="112">
        <f>IFERROR(IF(COUNTIFS(S78:AB78,清算项目基本情况表!$D$6)&gt;=1,IF(L78="占地面积法",ROUND(SUM('附表4-项目间分摊信息采集表'!$E$5)/SUMPRODUCT(SUMIFS('附表4-项目间分摊信息采集表'!$E:$E,'附表4-项目间分摊信息采集表'!$B:$B,S78:AB78)),20),IF(L78="测绘总建筑面积法",ROUND(SUM('附表4-项目间分摊信息采集表'!$F$5)/SUMPRODUCT(SUMIFS('附表4-项目间分摊信息采集表'!$F:$F,'附表4-项目间分摊信息采集表'!$B:$B,S78:AB78)),20),IF(L78="可售建筑面积法",ROUND(SUM('附表4-项目间分摊信息采集表'!$G$5)/SUMPRODUCT(SUMIFS('附表4-项目间分摊信息采集表'!$G:$G,'附表4-项目间分摊信息采集表'!$B:$B,S78:AB78)),20),IF(L78="其他分摊方法",ROUND(SUM('附表4-项目间分摊信息采集表'!$H$5)/SUMPRODUCT(SUMIFS('附表4-项目间分摊信息采集表'!$H:$H,'附表4-项目间分摊信息采集表'!$B:$B,S78:AB78)),20),IF(L78="手工填写分摊比例","请填写分摊比例",100%))))),IF(COUNTA(S78:AB78)&gt;=1,0%,100%)),100%)</f>
        <v>1</v>
      </c>
      <c r="N78" s="97">
        <f>SUMIFS('附表7-扣除项目明细采集底稿'!$R:$R,'附表7-扣除项目明细采集底稿'!$G:$G,B78)</f>
        <v>1019248.21</v>
      </c>
      <c r="O78" s="90" t="s">
        <v>4651</v>
      </c>
      <c r="P78" s="113">
        <f>SUMIFS('附表7-扣除项目明细采集底稿'!$T:$T,'附表7-扣除项目明细采集底稿'!$G:$G,$B78)</f>
        <v>1019248.21</v>
      </c>
      <c r="Q78" s="117">
        <f t="shared" si="3"/>
        <v>0</v>
      </c>
      <c r="R78" s="118"/>
      <c r="S78" s="90"/>
      <c r="T78" s="90"/>
      <c r="U78" s="90"/>
      <c r="V78" s="90"/>
      <c r="W78" s="90"/>
      <c r="X78" s="90"/>
      <c r="Y78" s="90"/>
      <c r="Z78" s="90"/>
      <c r="AA78" s="90"/>
      <c r="AB78" s="90"/>
    </row>
    <row r="79" s="80" customFormat="1" ht="15.05" spans="1:28">
      <c r="A79" s="90">
        <v>169</v>
      </c>
      <c r="B79" s="91" t="s">
        <v>2945</v>
      </c>
      <c r="C79" s="99" t="s">
        <v>4750</v>
      </c>
      <c r="D79" s="93" t="s">
        <v>4655</v>
      </c>
      <c r="E79" s="99" t="s">
        <v>4751</v>
      </c>
      <c r="F79" s="95">
        <v>43921</v>
      </c>
      <c r="G79" s="96">
        <v>950000</v>
      </c>
      <c r="H79" s="97">
        <v>0</v>
      </c>
      <c r="I79" s="96" t="s">
        <v>4650</v>
      </c>
      <c r="J79" s="90" t="s">
        <v>4650</v>
      </c>
      <c r="K79" s="90" t="s">
        <v>4650</v>
      </c>
      <c r="L79" s="90"/>
      <c r="M79" s="112">
        <f>IFERROR(IF(COUNTIFS(S79:AB79,清算项目基本情况表!$D$6)&gt;=1,IF(L79="占地面积法",ROUND(SUM('附表4-项目间分摊信息采集表'!$E$5)/SUMPRODUCT(SUMIFS('附表4-项目间分摊信息采集表'!$E:$E,'附表4-项目间分摊信息采集表'!$B:$B,S79:AB79)),20),IF(L79="测绘总建筑面积法",ROUND(SUM('附表4-项目间分摊信息采集表'!$F$5)/SUMPRODUCT(SUMIFS('附表4-项目间分摊信息采集表'!$F:$F,'附表4-项目间分摊信息采集表'!$B:$B,S79:AB79)),20),IF(L79="可售建筑面积法",ROUND(SUM('附表4-项目间分摊信息采集表'!$G$5)/SUMPRODUCT(SUMIFS('附表4-项目间分摊信息采集表'!$G:$G,'附表4-项目间分摊信息采集表'!$B:$B,S79:AB79)),20),IF(L79="其他分摊方法",ROUND(SUM('附表4-项目间分摊信息采集表'!$H$5)/SUMPRODUCT(SUMIFS('附表4-项目间分摊信息采集表'!$H:$H,'附表4-项目间分摊信息采集表'!$B:$B,S79:AB79)),20),IF(L79="手工填写分摊比例","请填写分摊比例",100%))))),IF(COUNTA(S79:AB79)&gt;=1,0%,100%)),100%)</f>
        <v>1</v>
      </c>
      <c r="N79" s="97">
        <f>SUMIFS('附表7-扣除项目明细采集底稿'!$R:$R,'附表7-扣除项目明细采集底稿'!$G:$G,B79)</f>
        <v>853365.77</v>
      </c>
      <c r="O79" s="90" t="s">
        <v>4651</v>
      </c>
      <c r="P79" s="113">
        <f>SUMIFS('附表7-扣除项目明细采集底稿'!$T:$T,'附表7-扣除项目明细采集底稿'!$G:$G,$B79)</f>
        <v>853365.77</v>
      </c>
      <c r="Q79" s="117">
        <f t="shared" si="3"/>
        <v>0</v>
      </c>
      <c r="R79" s="118"/>
      <c r="S79" s="90"/>
      <c r="T79" s="90"/>
      <c r="U79" s="90"/>
      <c r="V79" s="90"/>
      <c r="W79" s="90"/>
      <c r="X79" s="90"/>
      <c r="Y79" s="90"/>
      <c r="Z79" s="90"/>
      <c r="AA79" s="90"/>
      <c r="AB79" s="90"/>
    </row>
    <row r="80" s="80" customFormat="1" ht="15.05" spans="1:28">
      <c r="A80" s="90">
        <v>150</v>
      </c>
      <c r="B80" s="91" t="s">
        <v>3908</v>
      </c>
      <c r="C80" s="100" t="s">
        <v>4752</v>
      </c>
      <c r="D80" s="93" t="s">
        <v>4655</v>
      </c>
      <c r="E80" s="99" t="s">
        <v>4753</v>
      </c>
      <c r="F80" s="95">
        <v>43606</v>
      </c>
      <c r="G80" s="96">
        <v>520000</v>
      </c>
      <c r="H80" s="97">
        <v>514851.49</v>
      </c>
      <c r="I80" s="96" t="s">
        <v>4650</v>
      </c>
      <c r="J80" s="90" t="s">
        <v>4650</v>
      </c>
      <c r="K80" s="90" t="s">
        <v>15</v>
      </c>
      <c r="L80" s="90" t="s">
        <v>351</v>
      </c>
      <c r="M80" s="112">
        <f>IFERROR(IF(COUNTIFS(S80:AB80,清算项目基本情况表!$D$6)&gt;=1,IF(L80="占地面积法",ROUND(SUM('附表4-项目间分摊信息采集表'!$E$5)/SUMPRODUCT(SUMIFS('附表4-项目间分摊信息采集表'!$E:$E,'附表4-项目间分摊信息采集表'!$B:$B,S80:AB80)),20),IF(L80="测绘总建筑面积法",ROUND(SUM('附表4-项目间分摊信息采集表'!$F$5)/SUMPRODUCT(SUMIFS('附表4-项目间分摊信息采集表'!$F:$F,'附表4-项目间分摊信息采集表'!$B:$B,S80:AB80)),20),IF(L80="可售建筑面积法",ROUND(SUM('附表4-项目间分摊信息采集表'!$G$5)/SUMPRODUCT(SUMIFS('附表4-项目间分摊信息采集表'!$G:$G,'附表4-项目间分摊信息采集表'!$B:$B,S80:AB80)),20),IF(L80="其他分摊方法",ROUND(SUM('附表4-项目间分摊信息采集表'!$H$5)/SUMPRODUCT(SUMIFS('附表4-项目间分摊信息采集表'!$H:$H,'附表4-项目间分摊信息采集表'!$B:$B,S80:AB80)),20),IF(L80="手工填写分摊比例","请填写分摊比例",100%))))),IF(COUNTA(S80:AB80)&gt;=1,0%,100%)),100%)</f>
        <v>0.338555832480367</v>
      </c>
      <c r="N80" s="97">
        <f>SUMIFS('附表7-扣除项目明细采集底稿'!$R:$R,'附表7-扣除项目明细采集底稿'!$G:$G,B80)</f>
        <v>514851.481980198</v>
      </c>
      <c r="O80" s="90" t="s">
        <v>4651</v>
      </c>
      <c r="P80" s="113">
        <f>SUMIFS('附表7-扣除项目明细采集底稿'!$T:$T,'附表7-扣除项目明细采集底稿'!$G:$G,$B80)</f>
        <v>174305.97</v>
      </c>
      <c r="Q80" s="117">
        <f t="shared" si="3"/>
        <v>340545.51</v>
      </c>
      <c r="R80" s="118"/>
      <c r="S80" s="90" t="s">
        <v>11</v>
      </c>
      <c r="T80" s="90" t="s">
        <v>46</v>
      </c>
      <c r="U80" s="90" t="s">
        <v>371</v>
      </c>
      <c r="V80" s="90"/>
      <c r="W80" s="90"/>
      <c r="X80" s="90"/>
      <c r="Y80" s="90"/>
      <c r="Z80" s="90"/>
      <c r="AA80" s="90"/>
      <c r="AB80" s="90"/>
    </row>
    <row r="81" s="80" customFormat="1" ht="15.05" spans="1:28">
      <c r="A81" s="90">
        <v>219</v>
      </c>
      <c r="B81" s="91" t="s">
        <v>4296</v>
      </c>
      <c r="C81" s="99" t="s">
        <v>4754</v>
      </c>
      <c r="D81" s="93" t="s">
        <v>4655</v>
      </c>
      <c r="E81" s="99" t="s">
        <v>4297</v>
      </c>
      <c r="F81" s="95">
        <v>44980</v>
      </c>
      <c r="G81" s="96">
        <v>11000</v>
      </c>
      <c r="H81" s="97">
        <v>0</v>
      </c>
      <c r="I81" s="96" t="s">
        <v>4650</v>
      </c>
      <c r="J81" s="90" t="s">
        <v>4650</v>
      </c>
      <c r="K81" s="90" t="s">
        <v>15</v>
      </c>
      <c r="L81" s="90" t="s">
        <v>351</v>
      </c>
      <c r="M81" s="112">
        <f>IFERROR(IF(COUNTIFS(S81:AB81,清算项目基本情况表!$D$6)&gt;=1,IF(L81="占地面积法",ROUND(SUM('附表4-项目间分摊信息采集表'!$E$5)/SUMPRODUCT(SUMIFS('附表4-项目间分摊信息采集表'!$E:$E,'附表4-项目间分摊信息采集表'!$B:$B,S81:AB81)),20),IF(L81="测绘总建筑面积法",ROUND(SUM('附表4-项目间分摊信息采集表'!$F$5)/SUMPRODUCT(SUMIFS('附表4-项目间分摊信息采集表'!$F:$F,'附表4-项目间分摊信息采集表'!$B:$B,S81:AB81)),20),IF(L81="可售建筑面积法",ROUND(SUM('附表4-项目间分摊信息采集表'!$G$5)/SUMPRODUCT(SUMIFS('附表4-项目间分摊信息采集表'!$G:$G,'附表4-项目间分摊信息采集表'!$B:$B,S81:AB81)),20),IF(L81="其他分摊方法",ROUND(SUM('附表4-项目间分摊信息采集表'!$H$5)/SUMPRODUCT(SUMIFS('附表4-项目间分摊信息采集表'!$H:$H,'附表4-项目间分摊信息采集表'!$B:$B,S81:AB81)),20),IF(L81="手工填写分摊比例","请填写分摊比例",100%))))),IF(COUNTA(S81:AB81)&gt;=1,0%,100%)),100%)</f>
        <v>0.338555832480367</v>
      </c>
      <c r="N81" s="97">
        <f>SUMIFS('附表7-扣除项目明细采集底稿'!$R:$R,'附表7-扣除项目明细采集底稿'!$G:$G,B81)</f>
        <v>0</v>
      </c>
      <c r="O81" s="90" t="s">
        <v>4651</v>
      </c>
      <c r="P81" s="113">
        <f>SUMIFS('附表7-扣除项目明细采集底稿'!$T:$T,'附表7-扣除项目明细采集底稿'!$G:$G,$B81)</f>
        <v>0</v>
      </c>
      <c r="Q81" s="117">
        <f t="shared" si="3"/>
        <v>0</v>
      </c>
      <c r="R81" s="118"/>
      <c r="S81" s="90" t="s">
        <v>11</v>
      </c>
      <c r="T81" s="90" t="s">
        <v>46</v>
      </c>
      <c r="U81" s="90" t="s">
        <v>371</v>
      </c>
      <c r="V81" s="90"/>
      <c r="W81" s="90"/>
      <c r="X81" s="90"/>
      <c r="Y81" s="90"/>
      <c r="Z81" s="90"/>
      <c r="AA81" s="90"/>
      <c r="AB81" s="90"/>
    </row>
    <row r="82" s="80" customFormat="1" ht="15.05" spans="1:28">
      <c r="A82" s="90">
        <v>208</v>
      </c>
      <c r="B82" s="91" t="s">
        <v>4379</v>
      </c>
      <c r="C82" s="100" t="s">
        <v>4755</v>
      </c>
      <c r="D82" s="93" t="s">
        <v>4659</v>
      </c>
      <c r="E82" s="94" t="s">
        <v>4742</v>
      </c>
      <c r="F82" s="95">
        <v>45036</v>
      </c>
      <c r="G82" s="96">
        <v>7530</v>
      </c>
      <c r="H82" s="97">
        <v>0</v>
      </c>
      <c r="I82" s="96" t="s">
        <v>4650</v>
      </c>
      <c r="J82" s="90" t="s">
        <v>4650</v>
      </c>
      <c r="K82" s="90" t="s">
        <v>15</v>
      </c>
      <c r="L82" s="90" t="s">
        <v>4719</v>
      </c>
      <c r="M82" s="112">
        <f>IFERROR(IF(COUNTIFS(S82:AB82,清算项目基本情况表!$D$6)&gt;=1,IF(L82="占地面积法",ROUND(SUM('附表4-项目间分摊信息采集表'!$E$5)/SUMPRODUCT(SUMIFS('附表4-项目间分摊信息采集表'!$E:$E,'附表4-项目间分摊信息采集表'!$B:$B,S82:AB82)),20),IF(L82="测绘总建筑面积法",ROUND(SUM('附表4-项目间分摊信息采集表'!$F$5)/SUMPRODUCT(SUMIFS('附表4-项目间分摊信息采集表'!$F:$F,'附表4-项目间分摊信息采集表'!$B:$B,S82:AB82)),20),IF(L82="可售建筑面积法",ROUND(SUM('附表4-项目间分摊信息采集表'!$G$5)/SUMPRODUCT(SUMIFS('附表4-项目间分摊信息采集表'!$G:$G,'附表4-项目间分摊信息采集表'!$B:$B,S82:AB82)),20),IF(L82="其他分摊方法",ROUND(SUM('附表4-项目间分摊信息采集表'!$H$5)/SUMPRODUCT(SUMIFS('附表4-项目间分摊信息采集表'!$H:$H,'附表4-项目间分摊信息采集表'!$B:$B,S82:AB82)),20),IF(L82="手工填写分摊比例","请填写分摊比例",100%))))),IF(COUNTA(S82:AB82)&gt;=1,0%,100%)),100%)</f>
        <v>0.109829243890136</v>
      </c>
      <c r="N82" s="97">
        <f>SUMIFS('附表7-扣除项目明细采集底稿'!$R:$R,'附表7-扣除项目明细采集底稿'!$G:$G,B82)</f>
        <v>125900.41</v>
      </c>
      <c r="O82" s="90" t="s">
        <v>4651</v>
      </c>
      <c r="P82" s="113">
        <f>SUMIFS('附表7-扣除项目明细采集底稿'!$T:$T,'附表7-扣除项目明细采集底稿'!$G:$G,$B82)</f>
        <v>13827.55</v>
      </c>
      <c r="Q82" s="117">
        <f t="shared" si="3"/>
        <v>112072.86</v>
      </c>
      <c r="R82" s="118"/>
      <c r="S82" s="90" t="s">
        <v>11</v>
      </c>
      <c r="T82" s="90" t="s">
        <v>46</v>
      </c>
      <c r="U82" s="90" t="s">
        <v>371</v>
      </c>
      <c r="V82" s="90"/>
      <c r="W82" s="90"/>
      <c r="X82" s="90"/>
      <c r="Y82" s="90"/>
      <c r="Z82" s="90"/>
      <c r="AA82" s="90"/>
      <c r="AB82" s="90"/>
    </row>
    <row r="83" s="80" customFormat="1" ht="15.05" spans="1:28">
      <c r="A83" s="90">
        <v>227</v>
      </c>
      <c r="B83" s="91" t="s">
        <v>4497</v>
      </c>
      <c r="C83" s="100" t="s">
        <v>4756</v>
      </c>
      <c r="D83" s="93" t="s">
        <v>4757</v>
      </c>
      <c r="E83" s="99" t="s">
        <v>4742</v>
      </c>
      <c r="F83" s="95">
        <v>45156</v>
      </c>
      <c r="G83" s="96">
        <v>82800</v>
      </c>
      <c r="H83" s="97">
        <v>135461.36</v>
      </c>
      <c r="I83" s="96" t="s">
        <v>4650</v>
      </c>
      <c r="J83" s="90" t="s">
        <v>4650</v>
      </c>
      <c r="K83" s="90" t="s">
        <v>15</v>
      </c>
      <c r="L83" s="90" t="s">
        <v>351</v>
      </c>
      <c r="M83" s="112">
        <f>IFERROR(IF(COUNTIFS(S83:AB83,清算项目基本情况表!$D$6)&gt;=1,IF(L83="占地面积法",ROUND(SUM('附表4-项目间分摊信息采集表'!$E$5)/SUMPRODUCT(SUMIFS('附表4-项目间分摊信息采集表'!$E:$E,'附表4-项目间分摊信息采集表'!$B:$B,S83:AB83)),20),IF(L83="测绘总建筑面积法",ROUND(SUM('附表4-项目间分摊信息采集表'!$F$5)/SUMPRODUCT(SUMIFS('附表4-项目间分摊信息采集表'!$F:$F,'附表4-项目间分摊信息采集表'!$B:$B,S83:AB83)),20),IF(L83="可售建筑面积法",ROUND(SUM('附表4-项目间分摊信息采集表'!$G$5)/SUMPRODUCT(SUMIFS('附表4-项目间分摊信息采集表'!$G:$G,'附表4-项目间分摊信息采集表'!$B:$B,S83:AB83)),20),IF(L83="其他分摊方法",ROUND(SUM('附表4-项目间分摊信息采集表'!$H$5)/SUMPRODUCT(SUMIFS('附表4-项目间分摊信息采集表'!$H:$H,'附表4-项目间分摊信息采集表'!$B:$B,S83:AB83)),20),IF(L83="手工填写分摊比例","请填写分摊比例",100%))))),IF(COUNTA(S83:AB83)&gt;=1,0%,100%)),100%)</f>
        <v>0.338555832480367</v>
      </c>
      <c r="N83" s="97">
        <f>SUMIFS('附表7-扣除项目明细采集底稿'!$R:$R,'附表7-扣除项目明细采集底稿'!$G:$G,B83)</f>
        <v>135461.36</v>
      </c>
      <c r="O83" s="90" t="s">
        <v>4651</v>
      </c>
      <c r="P83" s="113">
        <f>SUMIFS('附表7-扣除项目明细采集底稿'!$T:$T,'附表7-扣除项目明细采集底稿'!$G:$G,$B83)</f>
        <v>45861.23</v>
      </c>
      <c r="Q83" s="117">
        <f t="shared" si="3"/>
        <v>89600.13</v>
      </c>
      <c r="R83" s="118"/>
      <c r="S83" s="90" t="s">
        <v>11</v>
      </c>
      <c r="T83" s="90" t="s">
        <v>46</v>
      </c>
      <c r="U83" s="90" t="s">
        <v>371</v>
      </c>
      <c r="V83" s="90"/>
      <c r="W83" s="90"/>
      <c r="X83" s="90"/>
      <c r="Y83" s="90"/>
      <c r="Z83" s="90"/>
      <c r="AA83" s="90"/>
      <c r="AB83" s="90"/>
    </row>
    <row r="84" s="80" customFormat="1" ht="15.05" spans="1:28">
      <c r="A84" s="90">
        <v>149</v>
      </c>
      <c r="B84" s="91" t="s">
        <v>3137</v>
      </c>
      <c r="C84" s="92" t="s">
        <v>4758</v>
      </c>
      <c r="D84" s="93" t="s">
        <v>4655</v>
      </c>
      <c r="E84" s="98" t="s">
        <v>3138</v>
      </c>
      <c r="F84" s="95">
        <v>43991</v>
      </c>
      <c r="G84" s="96">
        <v>100000</v>
      </c>
      <c r="H84" s="97">
        <v>0</v>
      </c>
      <c r="I84" s="96" t="s">
        <v>4650</v>
      </c>
      <c r="J84" s="90" t="s">
        <v>4650</v>
      </c>
      <c r="K84" s="90" t="s">
        <v>15</v>
      </c>
      <c r="L84" s="90" t="s">
        <v>351</v>
      </c>
      <c r="M84" s="112">
        <f>IFERROR(IF(COUNTIFS(S84:AB84,清算项目基本情况表!$D$6)&gt;=1,IF(L84="占地面积法",ROUND(SUM('附表4-项目间分摊信息采集表'!$E$5)/SUMPRODUCT(SUMIFS('附表4-项目间分摊信息采集表'!$E:$E,'附表4-项目间分摊信息采集表'!$B:$B,S84:AB84)),20),IF(L84="测绘总建筑面积法",ROUND(SUM('附表4-项目间分摊信息采集表'!$F$5)/SUMPRODUCT(SUMIFS('附表4-项目间分摊信息采集表'!$F:$F,'附表4-项目间分摊信息采集表'!$B:$B,S84:AB84)),20),IF(L84="可售建筑面积法",ROUND(SUM('附表4-项目间分摊信息采集表'!$G$5)/SUMPRODUCT(SUMIFS('附表4-项目间分摊信息采集表'!$G:$G,'附表4-项目间分摊信息采集表'!$B:$B,S84:AB84)),20),IF(L84="其他分摊方法",ROUND(SUM('附表4-项目间分摊信息采集表'!$H$5)/SUMPRODUCT(SUMIFS('附表4-项目间分摊信息采集表'!$H:$H,'附表4-项目间分摊信息采集表'!$B:$B,S84:AB84)),20),IF(L84="手工填写分摊比例","请填写分摊比例",100%))))),IF(COUNTA(S84:AB84)&gt;=1,0%,100%)),100%)</f>
        <v>0.338555832480367</v>
      </c>
      <c r="N84" s="97">
        <f>SUMIFS('附表7-扣除项目明细采集底稿'!$R:$R,'附表7-扣除项目明细采集底稿'!$G:$G,B84)</f>
        <v>88495.58</v>
      </c>
      <c r="O84" s="90" t="s">
        <v>4651</v>
      </c>
      <c r="P84" s="113">
        <f>SUMIFS('附表7-扣除项目明细采集底稿'!$T:$T,'附表7-扣除项目明细采集底稿'!$G:$G,$B84)</f>
        <v>29960.69</v>
      </c>
      <c r="Q84" s="117">
        <f t="shared" ref="Q84:Q118" si="4">ROUND(SUM(N84)-SUM(O84)-SUM(P84),2)</f>
        <v>58534.89</v>
      </c>
      <c r="R84" s="118"/>
      <c r="S84" s="90" t="s">
        <v>11</v>
      </c>
      <c r="T84" s="90" t="s">
        <v>46</v>
      </c>
      <c r="U84" s="90" t="s">
        <v>371</v>
      </c>
      <c r="V84" s="90"/>
      <c r="W84" s="90"/>
      <c r="X84" s="90"/>
      <c r="Y84" s="90"/>
      <c r="Z84" s="90"/>
      <c r="AA84" s="90"/>
      <c r="AB84" s="90"/>
    </row>
    <row r="85" s="80" customFormat="1" ht="15.05" spans="1:28">
      <c r="A85" s="90">
        <v>202</v>
      </c>
      <c r="B85" s="91" t="s">
        <v>3528</v>
      </c>
      <c r="C85" s="98" t="s">
        <v>4759</v>
      </c>
      <c r="D85" s="93" t="s">
        <v>4655</v>
      </c>
      <c r="E85" s="94" t="s">
        <v>3529</v>
      </c>
      <c r="F85" s="95">
        <v>43999</v>
      </c>
      <c r="G85" s="96">
        <v>155526</v>
      </c>
      <c r="H85" s="97">
        <v>137633.63</v>
      </c>
      <c r="I85" s="96" t="s">
        <v>4650</v>
      </c>
      <c r="J85" s="90" t="s">
        <v>4650</v>
      </c>
      <c r="K85" s="90" t="s">
        <v>4650</v>
      </c>
      <c r="L85" s="90"/>
      <c r="M85" s="112">
        <f>IFERROR(IF(COUNTIFS(S85:AB85,清算项目基本情况表!$D$6)&gt;=1,IF(L85="占地面积法",ROUND(SUM('附表4-项目间分摊信息采集表'!$E$5)/SUMPRODUCT(SUMIFS('附表4-项目间分摊信息采集表'!$E:$E,'附表4-项目间分摊信息采集表'!$B:$B,S85:AB85)),20),IF(L85="测绘总建筑面积法",ROUND(SUM('附表4-项目间分摊信息采集表'!$F$5)/SUMPRODUCT(SUMIFS('附表4-项目间分摊信息采集表'!$F:$F,'附表4-项目间分摊信息采集表'!$B:$B,S85:AB85)),20),IF(L85="可售建筑面积法",ROUND(SUM('附表4-项目间分摊信息采集表'!$G$5)/SUMPRODUCT(SUMIFS('附表4-项目间分摊信息采集表'!$G:$G,'附表4-项目间分摊信息采集表'!$B:$B,S85:AB85)),20),IF(L85="其他分摊方法",ROUND(SUM('附表4-项目间分摊信息采集表'!$H$5)/SUMPRODUCT(SUMIFS('附表4-项目间分摊信息采集表'!$H:$H,'附表4-项目间分摊信息采集表'!$B:$B,S85:AB85)),20),IF(L85="手工填写分摊比例","请填写分摊比例",100%))))),IF(COUNTA(S85:AB85)&gt;=1,0%,100%)),100%)</f>
        <v>1</v>
      </c>
      <c r="N85" s="97">
        <f>SUMIFS('附表7-扣除项目明细采集底稿'!$R:$R,'附表7-扣除项目明细采集底稿'!$G:$G,B85)</f>
        <v>143097.34</v>
      </c>
      <c r="O85" s="90" t="s">
        <v>4651</v>
      </c>
      <c r="P85" s="113">
        <f>SUMIFS('附表7-扣除项目明细采集底稿'!$T:$T,'附表7-扣除项目明细采集底稿'!$G:$G,$B85)</f>
        <v>143097.34</v>
      </c>
      <c r="Q85" s="117">
        <f t="shared" si="4"/>
        <v>0</v>
      </c>
      <c r="R85" s="118"/>
      <c r="S85" s="90"/>
      <c r="T85" s="90"/>
      <c r="U85" s="90"/>
      <c r="V85" s="90"/>
      <c r="W85" s="90"/>
      <c r="X85" s="90"/>
      <c r="Y85" s="90"/>
      <c r="Z85" s="90"/>
      <c r="AA85" s="90"/>
      <c r="AB85" s="90"/>
    </row>
    <row r="86" s="80" customFormat="1" ht="15.05" spans="1:28">
      <c r="A86" s="90">
        <v>189</v>
      </c>
      <c r="B86" s="91" t="s">
        <v>2940</v>
      </c>
      <c r="C86" s="100" t="s">
        <v>4760</v>
      </c>
      <c r="D86" s="93" t="s">
        <v>4655</v>
      </c>
      <c r="E86" s="99" t="s">
        <v>2941</v>
      </c>
      <c r="F86" s="95">
        <v>43917</v>
      </c>
      <c r="G86" s="96">
        <v>243000</v>
      </c>
      <c r="H86" s="97">
        <v>0</v>
      </c>
      <c r="I86" s="96" t="s">
        <v>4650</v>
      </c>
      <c r="J86" s="90" t="s">
        <v>4650</v>
      </c>
      <c r="K86" s="90" t="s">
        <v>4650</v>
      </c>
      <c r="L86" s="90"/>
      <c r="M86" s="112">
        <f>IFERROR(IF(COUNTIFS(S86:AB86,清算项目基本情况表!$D$6)&gt;=1,IF(L86="占地面积法",ROUND(SUM('附表4-项目间分摊信息采集表'!$E$5)/SUMPRODUCT(SUMIFS('附表4-项目间分摊信息采集表'!$E:$E,'附表4-项目间分摊信息采集表'!$B:$B,S86:AB86)),20),IF(L86="测绘总建筑面积法",ROUND(SUM('附表4-项目间分摊信息采集表'!$F$5)/SUMPRODUCT(SUMIFS('附表4-项目间分摊信息采集表'!$F:$F,'附表4-项目间分摊信息采集表'!$B:$B,S86:AB86)),20),IF(L86="可售建筑面积法",ROUND(SUM('附表4-项目间分摊信息采集表'!$G$5)/SUMPRODUCT(SUMIFS('附表4-项目间分摊信息采集表'!$G:$G,'附表4-项目间分摊信息采集表'!$B:$B,S86:AB86)),20),IF(L86="其他分摊方法",ROUND(SUM('附表4-项目间分摊信息采集表'!$H$5)/SUMPRODUCT(SUMIFS('附表4-项目间分摊信息采集表'!$H:$H,'附表4-项目间分摊信息采集表'!$B:$B,S86:AB86)),20),IF(L86="手工填写分摊比例","请填写分摊比例",100%))))),IF(COUNTA(S86:AB86)&gt;=1,0%,100%)),100%)</f>
        <v>1</v>
      </c>
      <c r="N86" s="97">
        <f>SUMIFS('附表7-扣除项目明细采集底稿'!$R:$R,'附表7-扣除项目明细采集底稿'!$G:$G,B86)</f>
        <v>108452.18</v>
      </c>
      <c r="O86" s="90" t="s">
        <v>4651</v>
      </c>
      <c r="P86" s="113">
        <f>SUMIFS('附表7-扣除项目明细采集底稿'!$T:$T,'附表7-扣除项目明细采集底稿'!$G:$G,$B86)</f>
        <v>108452.18</v>
      </c>
      <c r="Q86" s="117">
        <f t="shared" si="4"/>
        <v>0</v>
      </c>
      <c r="R86" s="118"/>
      <c r="S86" s="90"/>
      <c r="T86" s="90"/>
      <c r="U86" s="90"/>
      <c r="V86" s="90"/>
      <c r="W86" s="90"/>
      <c r="X86" s="90"/>
      <c r="Y86" s="90"/>
      <c r="Z86" s="90"/>
      <c r="AA86" s="90"/>
      <c r="AB86" s="90"/>
    </row>
    <row r="87" s="80" customFormat="1" ht="15.05" spans="1:28">
      <c r="A87" s="90">
        <v>137</v>
      </c>
      <c r="B87" s="91" t="s">
        <v>2776</v>
      </c>
      <c r="C87" s="100" t="s">
        <v>4761</v>
      </c>
      <c r="D87" s="93" t="s">
        <v>4655</v>
      </c>
      <c r="E87" s="94" t="s">
        <v>2609</v>
      </c>
      <c r="F87" s="95">
        <v>43761</v>
      </c>
      <c r="G87" s="96">
        <v>120540</v>
      </c>
      <c r="H87" s="97">
        <v>0</v>
      </c>
      <c r="I87" s="96" t="s">
        <v>4650</v>
      </c>
      <c r="J87" s="90" t="s">
        <v>4650</v>
      </c>
      <c r="K87" s="90" t="s">
        <v>4650</v>
      </c>
      <c r="L87" s="90"/>
      <c r="M87" s="112">
        <f>IFERROR(IF(COUNTIFS(S87:AB87,清算项目基本情况表!$D$6)&gt;=1,IF(L87="占地面积法",ROUND(SUM('附表4-项目间分摊信息采集表'!$E$5)/SUMPRODUCT(SUMIFS('附表4-项目间分摊信息采集表'!$E:$E,'附表4-项目间分摊信息采集表'!$B:$B,S87:AB87)),20),IF(L87="测绘总建筑面积法",ROUND(SUM('附表4-项目间分摊信息采集表'!$F$5)/SUMPRODUCT(SUMIFS('附表4-项目间分摊信息采集表'!$F:$F,'附表4-项目间分摊信息采集表'!$B:$B,S87:AB87)),20),IF(L87="可售建筑面积法",ROUND(SUM('附表4-项目间分摊信息采集表'!$G$5)/SUMPRODUCT(SUMIFS('附表4-项目间分摊信息采集表'!$G:$G,'附表4-项目间分摊信息采集表'!$B:$B,S87:AB87)),20),IF(L87="其他分摊方法",ROUND(SUM('附表4-项目间分摊信息采集表'!$H$5)/SUMPRODUCT(SUMIFS('附表4-项目间分摊信息采集表'!$H:$H,'附表4-项目间分摊信息采集表'!$B:$B,S87:AB87)),20),IF(L87="手工填写分摊比例","请填写分摊比例",100%))))),IF(COUNTA(S87:AB87)&gt;=1,0%,100%)),100%)</f>
        <v>1</v>
      </c>
      <c r="N87" s="97">
        <f>SUMIFS('附表7-扣除项目明细采集底稿'!$R:$R,'附表7-扣除项目明细采集底稿'!$G:$G,B87)</f>
        <v>106672.57</v>
      </c>
      <c r="O87" s="90" t="s">
        <v>4651</v>
      </c>
      <c r="P87" s="113">
        <f>SUMIFS('附表7-扣除项目明细采集底稿'!$T:$T,'附表7-扣除项目明细采集底稿'!$G:$G,$B87)</f>
        <v>106672.57</v>
      </c>
      <c r="Q87" s="117">
        <f t="shared" si="4"/>
        <v>0</v>
      </c>
      <c r="R87" s="118"/>
      <c r="S87" s="90"/>
      <c r="T87" s="90"/>
      <c r="U87" s="90"/>
      <c r="V87" s="90"/>
      <c r="W87" s="90"/>
      <c r="X87" s="90"/>
      <c r="Y87" s="90"/>
      <c r="Z87" s="90"/>
      <c r="AA87" s="90"/>
      <c r="AB87" s="90"/>
    </row>
    <row r="88" s="80" customFormat="1" ht="15.05" spans="1:28">
      <c r="A88" s="90">
        <v>179</v>
      </c>
      <c r="B88" s="91" t="s">
        <v>2722</v>
      </c>
      <c r="C88" s="100" t="s">
        <v>4762</v>
      </c>
      <c r="D88" s="93" t="s">
        <v>4655</v>
      </c>
      <c r="E88" s="99" t="s">
        <v>4763</v>
      </c>
      <c r="F88" s="95">
        <v>43675</v>
      </c>
      <c r="G88" s="96">
        <v>30000</v>
      </c>
      <c r="H88" s="97">
        <v>0</v>
      </c>
      <c r="I88" s="96" t="s">
        <v>4650</v>
      </c>
      <c r="J88" s="90" t="s">
        <v>4650</v>
      </c>
      <c r="K88" s="90" t="s">
        <v>4650</v>
      </c>
      <c r="L88" s="90"/>
      <c r="M88" s="112">
        <f>IFERROR(IF(COUNTIFS(S88:AB88,清算项目基本情况表!$D$6)&gt;=1,IF(L88="占地面积法",ROUND(SUM('附表4-项目间分摊信息采集表'!$E$5)/SUMPRODUCT(SUMIFS('附表4-项目间分摊信息采集表'!$E:$E,'附表4-项目间分摊信息采集表'!$B:$B,S88:AB88)),20),IF(L88="测绘总建筑面积法",ROUND(SUM('附表4-项目间分摊信息采集表'!$F$5)/SUMPRODUCT(SUMIFS('附表4-项目间分摊信息采集表'!$F:$F,'附表4-项目间分摊信息采集表'!$B:$B,S88:AB88)),20),IF(L88="可售建筑面积法",ROUND(SUM('附表4-项目间分摊信息采集表'!$G$5)/SUMPRODUCT(SUMIFS('附表4-项目间分摊信息采集表'!$G:$G,'附表4-项目间分摊信息采集表'!$B:$B,S88:AB88)),20),IF(L88="其他分摊方法",ROUND(SUM('附表4-项目间分摊信息采集表'!$H$5)/SUMPRODUCT(SUMIFS('附表4-项目间分摊信息采集表'!$H:$H,'附表4-项目间分摊信息采集表'!$B:$B,S88:AB88)),20),IF(L88="手工填写分摊比例","请填写分摊比例",100%))))),IF(COUNTA(S88:AB88)&gt;=1,0%,100%)),100%)</f>
        <v>1</v>
      </c>
      <c r="N88" s="97">
        <f>SUMIFS('附表7-扣除项目明细采集底稿'!$R:$R,'附表7-扣除项目明细采集底稿'!$G:$G,B88)</f>
        <v>0</v>
      </c>
      <c r="O88" s="90" t="s">
        <v>4651</v>
      </c>
      <c r="P88" s="113">
        <f>SUMIFS('附表7-扣除项目明细采集底稿'!$T:$T,'附表7-扣除项目明细采集底稿'!$G:$G,$B88)</f>
        <v>0</v>
      </c>
      <c r="Q88" s="117">
        <f t="shared" si="4"/>
        <v>0</v>
      </c>
      <c r="R88" s="118"/>
      <c r="S88" s="90"/>
      <c r="T88" s="90"/>
      <c r="U88" s="90"/>
      <c r="V88" s="90"/>
      <c r="W88" s="90"/>
      <c r="X88" s="90"/>
      <c r="Y88" s="90"/>
      <c r="Z88" s="90"/>
      <c r="AA88" s="90"/>
      <c r="AB88" s="90"/>
    </row>
    <row r="89" s="80" customFormat="1" ht="15.05" spans="1:28">
      <c r="A89" s="90">
        <v>173</v>
      </c>
      <c r="B89" s="91" t="s">
        <v>3872</v>
      </c>
      <c r="C89" s="99" t="s">
        <v>4764</v>
      </c>
      <c r="D89" s="93" t="s">
        <v>4655</v>
      </c>
      <c r="E89" s="99" t="s">
        <v>3305</v>
      </c>
      <c r="F89" s="95">
        <v>44375</v>
      </c>
      <c r="G89" s="96">
        <v>68085</v>
      </c>
      <c r="H89" s="97">
        <v>0</v>
      </c>
      <c r="I89" s="96" t="s">
        <v>4650</v>
      </c>
      <c r="J89" s="90" t="s">
        <v>4650</v>
      </c>
      <c r="K89" s="90" t="s">
        <v>4650</v>
      </c>
      <c r="L89" s="90"/>
      <c r="M89" s="112">
        <f>IFERROR(IF(COUNTIFS(S89:AB89,清算项目基本情况表!$D$6)&gt;=1,IF(L89="占地面积法",ROUND(SUM('附表4-项目间分摊信息采集表'!$E$5)/SUMPRODUCT(SUMIFS('附表4-项目间分摊信息采集表'!$E:$E,'附表4-项目间分摊信息采集表'!$B:$B,S89:AB89)),20),IF(L89="测绘总建筑面积法",ROUND(SUM('附表4-项目间分摊信息采集表'!$F$5)/SUMPRODUCT(SUMIFS('附表4-项目间分摊信息采集表'!$F:$F,'附表4-项目间分摊信息采集表'!$B:$B,S89:AB89)),20),IF(L89="可售建筑面积法",ROUND(SUM('附表4-项目间分摊信息采集表'!$G$5)/SUMPRODUCT(SUMIFS('附表4-项目间分摊信息采集表'!$G:$G,'附表4-项目间分摊信息采集表'!$B:$B,S89:AB89)),20),IF(L89="其他分摊方法",ROUND(SUM('附表4-项目间分摊信息采集表'!$H$5)/SUMPRODUCT(SUMIFS('附表4-项目间分摊信息采集表'!$H:$H,'附表4-项目间分摊信息采集表'!$B:$B,S89:AB89)),20),IF(L89="手工填写分摊比例","请填写分摊比例",100%))))),IF(COUNTA(S89:AB89)&gt;=1,0%,100%)),100%)</f>
        <v>1</v>
      </c>
      <c r="N89" s="97">
        <f>SUMIFS('附表7-扣除项目明细采集底稿'!$R:$R,'附表7-扣除项目明细采集底稿'!$G:$G,B89)</f>
        <v>68085</v>
      </c>
      <c r="O89" s="90" t="s">
        <v>4651</v>
      </c>
      <c r="P89" s="113">
        <f>SUMIFS('附表7-扣除项目明细采集底稿'!$T:$T,'附表7-扣除项目明细采集底稿'!$G:$G,$B89)</f>
        <v>68085</v>
      </c>
      <c r="Q89" s="117">
        <f t="shared" si="4"/>
        <v>0</v>
      </c>
      <c r="R89" s="118"/>
      <c r="S89" s="90"/>
      <c r="T89" s="90"/>
      <c r="U89" s="90"/>
      <c r="V89" s="90"/>
      <c r="W89" s="90"/>
      <c r="X89" s="90"/>
      <c r="Y89" s="90"/>
      <c r="Z89" s="90"/>
      <c r="AA89" s="90"/>
      <c r="AB89" s="90"/>
    </row>
    <row r="90" s="80" customFormat="1" ht="15.05" spans="1:28">
      <c r="A90" s="90">
        <v>156</v>
      </c>
      <c r="B90" s="91" t="s">
        <v>3149</v>
      </c>
      <c r="C90" s="99" t="s">
        <v>4765</v>
      </c>
      <c r="D90" s="93" t="s">
        <v>4655</v>
      </c>
      <c r="E90" s="99" t="s">
        <v>4766</v>
      </c>
      <c r="F90" s="108">
        <v>44027</v>
      </c>
      <c r="G90" s="96">
        <v>66000</v>
      </c>
      <c r="H90" s="97">
        <v>0</v>
      </c>
      <c r="I90" s="96" t="s">
        <v>4650</v>
      </c>
      <c r="J90" s="90" t="s">
        <v>4650</v>
      </c>
      <c r="K90" s="90" t="s">
        <v>15</v>
      </c>
      <c r="L90" s="90" t="s">
        <v>351</v>
      </c>
      <c r="M90" s="112">
        <f>IFERROR(IF(COUNTIFS(S90:AB90,清算项目基本情况表!$D$6)&gt;=1,IF(L90="占地面积法",ROUND(SUM('附表4-项目间分摊信息采集表'!$E$5)/SUMPRODUCT(SUMIFS('附表4-项目间分摊信息采集表'!$E:$E,'附表4-项目间分摊信息采集表'!$B:$B,S90:AB90)),20),IF(L90="测绘总建筑面积法",ROUND(SUM('附表4-项目间分摊信息采集表'!$F$5)/SUMPRODUCT(SUMIFS('附表4-项目间分摊信息采集表'!$F:$F,'附表4-项目间分摊信息采集表'!$B:$B,S90:AB90)),20),IF(L90="可售建筑面积法",ROUND(SUM('附表4-项目间分摊信息采集表'!$G$5)/SUMPRODUCT(SUMIFS('附表4-项目间分摊信息采集表'!$G:$G,'附表4-项目间分摊信息采集表'!$B:$B,S90:AB90)),20),IF(L90="其他分摊方法",ROUND(SUM('附表4-项目间分摊信息采集表'!$H$5)/SUMPRODUCT(SUMIFS('附表4-项目间分摊信息采集表'!$H:$H,'附表4-项目间分摊信息采集表'!$B:$B,S90:AB90)),20),IF(L90="手工填写分摊比例","请填写分摊比例",100%))))),IF(COUNTA(S90:AB90)&gt;=1,0%,100%)),100%)</f>
        <v>0.338555832480367</v>
      </c>
      <c r="N90" s="97">
        <f>SUMIFS('附表7-扣除项目明细采集底稿'!$R:$R,'附表7-扣除项目明细采集底稿'!$G:$G,B90)</f>
        <v>58407.08</v>
      </c>
      <c r="O90" s="90" t="s">
        <v>4651</v>
      </c>
      <c r="P90" s="113">
        <f>SUMIFS('附表7-扣除项目明细采集底稿'!$T:$T,'附表7-扣除项目明细采集底稿'!$G:$G,$B90)</f>
        <v>19774.06</v>
      </c>
      <c r="Q90" s="117">
        <f t="shared" si="4"/>
        <v>38633.02</v>
      </c>
      <c r="R90" s="118"/>
      <c r="S90" s="90" t="s">
        <v>11</v>
      </c>
      <c r="T90" s="90" t="s">
        <v>46</v>
      </c>
      <c r="U90" s="90" t="s">
        <v>371</v>
      </c>
      <c r="V90" s="90"/>
      <c r="W90" s="90"/>
      <c r="X90" s="90"/>
      <c r="Y90" s="90"/>
      <c r="Z90" s="90"/>
      <c r="AA90" s="90"/>
      <c r="AB90" s="90"/>
    </row>
    <row r="91" s="80" customFormat="1" ht="15.05" spans="1:28">
      <c r="A91" s="90">
        <v>83</v>
      </c>
      <c r="B91" s="91" t="s">
        <v>2645</v>
      </c>
      <c r="C91" s="99" t="s">
        <v>4767</v>
      </c>
      <c r="D91" s="93" t="s">
        <v>4675</v>
      </c>
      <c r="E91" s="94" t="s">
        <v>4734</v>
      </c>
      <c r="F91" s="95">
        <v>44148</v>
      </c>
      <c r="G91" s="96">
        <v>556500</v>
      </c>
      <c r="H91" s="97">
        <v>536298.83</v>
      </c>
      <c r="I91" s="96" t="s">
        <v>4650</v>
      </c>
      <c r="J91" s="90" t="s">
        <v>4650</v>
      </c>
      <c r="K91" s="90" t="s">
        <v>15</v>
      </c>
      <c r="L91" s="90" t="s">
        <v>351</v>
      </c>
      <c r="M91" s="112">
        <f>IFERROR(IF(COUNTIFS(S91:AB91,清算项目基本情况表!$D$6)&gt;=1,IF(L91="占地面积法",ROUND(SUM('附表4-项目间分摊信息采集表'!$E$5)/SUMPRODUCT(SUMIFS('附表4-项目间分摊信息采集表'!$E:$E,'附表4-项目间分摊信息采集表'!$B:$B,S91:AB91)),20),IF(L91="测绘总建筑面积法",ROUND(SUM('附表4-项目间分摊信息采集表'!$F$5)/SUMPRODUCT(SUMIFS('附表4-项目间分摊信息采集表'!$F:$F,'附表4-项目间分摊信息采集表'!$B:$B,S91:AB91)),20),IF(L91="可售建筑面积法",ROUND(SUM('附表4-项目间分摊信息采集表'!$G$5)/SUMPRODUCT(SUMIFS('附表4-项目间分摊信息采集表'!$G:$G,'附表4-项目间分摊信息采集表'!$B:$B,S91:AB91)),20),IF(L91="其他分摊方法",ROUND(SUM('附表4-项目间分摊信息采集表'!$H$5)/SUMPRODUCT(SUMIFS('附表4-项目间分摊信息采集表'!$H:$H,'附表4-项目间分摊信息采集表'!$B:$B,S91:AB91)),20),IF(L91="手工填写分摊比例","请填写分摊比例",100%))))),IF(COUNTA(S91:AB91)&gt;=1,0%,100%)),100%)</f>
        <v>0.338555832480367</v>
      </c>
      <c r="N91" s="97">
        <f>SUMIFS('附表7-扣除项目明细采集底稿'!$R:$R,'附表7-扣除项目明细采集底稿'!$G:$G,B91)</f>
        <v>536298.83</v>
      </c>
      <c r="O91" s="90" t="s">
        <v>4651</v>
      </c>
      <c r="P91" s="113">
        <f>SUMIFS('附表7-扣除项目明细采集底稿'!$T:$T,'附表7-扣除项目明细采集底稿'!$G:$G,$B91)</f>
        <v>181567.1</v>
      </c>
      <c r="Q91" s="117">
        <f t="shared" si="4"/>
        <v>354731.73</v>
      </c>
      <c r="R91" s="118"/>
      <c r="S91" s="90" t="s">
        <v>11</v>
      </c>
      <c r="T91" s="90" t="s">
        <v>46</v>
      </c>
      <c r="U91" s="90" t="s">
        <v>371</v>
      </c>
      <c r="V91" s="90"/>
      <c r="W91" s="90"/>
      <c r="X91" s="90"/>
      <c r="Y91" s="90"/>
      <c r="Z91" s="90"/>
      <c r="AA91" s="90"/>
      <c r="AB91" s="90"/>
    </row>
    <row r="92" s="80" customFormat="1" ht="15.05" spans="1:28">
      <c r="A92" s="90">
        <v>100</v>
      </c>
      <c r="B92" s="91" t="s">
        <v>2733</v>
      </c>
      <c r="C92" s="99" t="s">
        <v>4768</v>
      </c>
      <c r="D92" s="93" t="s">
        <v>4655</v>
      </c>
      <c r="E92" s="99" t="s">
        <v>2734</v>
      </c>
      <c r="F92" s="95">
        <v>43663</v>
      </c>
      <c r="G92" s="96">
        <v>270183</v>
      </c>
      <c r="H92" s="97">
        <v>0</v>
      </c>
      <c r="I92" s="96" t="s">
        <v>4650</v>
      </c>
      <c r="J92" s="90" t="s">
        <v>4650</v>
      </c>
      <c r="K92" s="90" t="s">
        <v>15</v>
      </c>
      <c r="L92" s="90" t="s">
        <v>351</v>
      </c>
      <c r="M92" s="112">
        <f>IFERROR(IF(COUNTIFS(S92:AB92,清算项目基本情况表!$D$6)&gt;=1,IF(L92="占地面积法",ROUND(SUM('附表4-项目间分摊信息采集表'!$E$5)/SUMPRODUCT(SUMIFS('附表4-项目间分摊信息采集表'!$E:$E,'附表4-项目间分摊信息采集表'!$B:$B,S92:AB92)),20),IF(L92="测绘总建筑面积法",ROUND(SUM('附表4-项目间分摊信息采集表'!$F$5)/SUMPRODUCT(SUMIFS('附表4-项目间分摊信息采集表'!$F:$F,'附表4-项目间分摊信息采集表'!$B:$B,S92:AB92)),20),IF(L92="可售建筑面积法",ROUND(SUM('附表4-项目间分摊信息采集表'!$G$5)/SUMPRODUCT(SUMIFS('附表4-项目间分摊信息采集表'!$G:$G,'附表4-项目间分摊信息采集表'!$B:$B,S92:AB92)),20),IF(L92="其他分摊方法",ROUND(SUM('附表4-项目间分摊信息采集表'!$H$5)/SUMPRODUCT(SUMIFS('附表4-项目间分摊信息采集表'!$H:$H,'附表4-项目间分摊信息采集表'!$B:$B,S92:AB92)),20),IF(L92="手工填写分摊比例","请填写分摊比例",100%))))),IF(COUNTA(S92:AB92)&gt;=1,0%,100%)),100%)</f>
        <v>0.338555832480367</v>
      </c>
      <c r="N92" s="97">
        <f>SUMIFS('附表7-扣除项目明细采集底稿'!$R:$R,'附表7-扣除项目明细采集底稿'!$G:$G,B92)</f>
        <v>402108.85</v>
      </c>
      <c r="O92" s="90" t="s">
        <v>4651</v>
      </c>
      <c r="P92" s="113">
        <f>SUMIFS('附表7-扣除项目明细采集底稿'!$T:$T,'附表7-扣除项目明细采集底稿'!$G:$G,$B92)</f>
        <v>136136.3</v>
      </c>
      <c r="Q92" s="117">
        <f t="shared" si="4"/>
        <v>265972.55</v>
      </c>
      <c r="R92" s="118"/>
      <c r="S92" s="90" t="s">
        <v>11</v>
      </c>
      <c r="T92" s="90" t="s">
        <v>46</v>
      </c>
      <c r="U92" s="90" t="s">
        <v>371</v>
      </c>
      <c r="V92" s="90"/>
      <c r="W92" s="90"/>
      <c r="X92" s="90"/>
      <c r="Y92" s="90"/>
      <c r="Z92" s="90"/>
      <c r="AA92" s="90"/>
      <c r="AB92" s="90"/>
    </row>
    <row r="93" s="80" customFormat="1" ht="15.05" spans="1:28">
      <c r="A93" s="90">
        <v>11</v>
      </c>
      <c r="B93" s="91" t="s">
        <v>2993</v>
      </c>
      <c r="C93" s="100" t="s">
        <v>4769</v>
      </c>
      <c r="D93" s="93" t="s">
        <v>4655</v>
      </c>
      <c r="E93" s="99" t="s">
        <v>4770</v>
      </c>
      <c r="F93" s="95">
        <v>43901</v>
      </c>
      <c r="G93" s="96">
        <v>96965.83</v>
      </c>
      <c r="H93" s="97">
        <v>85810.48</v>
      </c>
      <c r="I93" s="96" t="s">
        <v>4650</v>
      </c>
      <c r="J93" s="90" t="s">
        <v>4650</v>
      </c>
      <c r="K93" s="90" t="s">
        <v>4650</v>
      </c>
      <c r="L93" s="90"/>
      <c r="M93" s="112">
        <f>IFERROR(IF(COUNTIFS(S93:AB93,清算项目基本情况表!$D$6)&gt;=1,IF(L93="占地面积法",ROUND(SUM('附表4-项目间分摊信息采集表'!$E$5)/SUMPRODUCT(SUMIFS('附表4-项目间分摊信息采集表'!$E:$E,'附表4-项目间分摊信息采集表'!$B:$B,S93:AB93)),20),IF(L93="测绘总建筑面积法",ROUND(SUM('附表4-项目间分摊信息采集表'!$F$5)/SUMPRODUCT(SUMIFS('附表4-项目间分摊信息采集表'!$F:$F,'附表4-项目间分摊信息采集表'!$B:$B,S93:AB93)),20),IF(L93="可售建筑面积法",ROUND(SUM('附表4-项目间分摊信息采集表'!$G$5)/SUMPRODUCT(SUMIFS('附表4-项目间分摊信息采集表'!$G:$G,'附表4-项目间分摊信息采集表'!$B:$B,S93:AB93)),20),IF(L93="其他分摊方法",ROUND(SUM('附表4-项目间分摊信息采集表'!$H$5)/SUMPRODUCT(SUMIFS('附表4-项目间分摊信息采集表'!$H:$H,'附表4-项目间分摊信息采集表'!$B:$B,S93:AB93)),20),IF(L93="手工填写分摊比例","请填写分摊比例",100%))))),IF(COUNTA(S93:AB93)&gt;=1,0%,100%)),100%)</f>
        <v>1</v>
      </c>
      <c r="N93" s="97">
        <f>SUMIFS('附表7-扣除项目明细采集底稿'!$R:$R,'附表7-扣除项目明细采集底稿'!$G:$G,B93)</f>
        <v>68568.58</v>
      </c>
      <c r="O93" s="90" t="s">
        <v>4651</v>
      </c>
      <c r="P93" s="113">
        <f>SUMIFS('附表7-扣除项目明细采集底稿'!$T:$T,'附表7-扣除项目明细采集底稿'!$G:$G,$B93)</f>
        <v>68568.58</v>
      </c>
      <c r="Q93" s="117">
        <f t="shared" si="4"/>
        <v>0</v>
      </c>
      <c r="R93" s="118"/>
      <c r="S93" s="90"/>
      <c r="T93" s="90"/>
      <c r="U93" s="90"/>
      <c r="V93" s="90"/>
      <c r="W93" s="90"/>
      <c r="X93" s="90"/>
      <c r="Y93" s="90"/>
      <c r="Z93" s="90"/>
      <c r="AA93" s="90"/>
      <c r="AB93" s="90"/>
    </row>
    <row r="94" s="80" customFormat="1" ht="15.05" spans="1:28">
      <c r="A94" s="90">
        <v>180</v>
      </c>
      <c r="B94" s="91" t="s">
        <v>3180</v>
      </c>
      <c r="C94" s="100" t="s">
        <v>4771</v>
      </c>
      <c r="D94" s="93" t="s">
        <v>4655</v>
      </c>
      <c r="E94" s="99" t="s">
        <v>4763</v>
      </c>
      <c r="F94" s="95">
        <v>44013</v>
      </c>
      <c r="G94" s="96">
        <v>270000</v>
      </c>
      <c r="H94" s="97">
        <v>0</v>
      </c>
      <c r="I94" s="96" t="s">
        <v>4650</v>
      </c>
      <c r="J94" s="90" t="s">
        <v>4650</v>
      </c>
      <c r="K94" s="90" t="s">
        <v>4650</v>
      </c>
      <c r="L94" s="90"/>
      <c r="M94" s="112">
        <f>IFERROR(IF(COUNTIFS(S94:AB94,清算项目基本情况表!$D$6)&gt;=1,IF(L94="占地面积法",ROUND(SUM('附表4-项目间分摊信息采集表'!$E$5)/SUMPRODUCT(SUMIFS('附表4-项目间分摊信息采集表'!$E:$E,'附表4-项目间分摊信息采集表'!$B:$B,S94:AB94)),20),IF(L94="测绘总建筑面积法",ROUND(SUM('附表4-项目间分摊信息采集表'!$F$5)/SUMPRODUCT(SUMIFS('附表4-项目间分摊信息采集表'!$F:$F,'附表4-项目间分摊信息采集表'!$B:$B,S94:AB94)),20),IF(L94="可售建筑面积法",ROUND(SUM('附表4-项目间分摊信息采集表'!$G$5)/SUMPRODUCT(SUMIFS('附表4-项目间分摊信息采集表'!$G:$G,'附表4-项目间分摊信息采集表'!$B:$B,S94:AB94)),20),IF(L94="其他分摊方法",ROUND(SUM('附表4-项目间分摊信息采集表'!$H$5)/SUMPRODUCT(SUMIFS('附表4-项目间分摊信息采集表'!$H:$H,'附表4-项目间分摊信息采集表'!$B:$B,S94:AB94)),20),IF(L94="手工填写分摊比例","请填写分摊比例",100%))))),IF(COUNTA(S94:AB94)&gt;=1,0%,100%)),100%)</f>
        <v>1</v>
      </c>
      <c r="N94" s="97">
        <f>SUMIFS('附表7-扣除项目明细采集底稿'!$R:$R,'附表7-扣除项目明细采集底稿'!$G:$G,B94)</f>
        <v>267326.73</v>
      </c>
      <c r="O94" s="90" t="s">
        <v>4651</v>
      </c>
      <c r="P94" s="113">
        <f>SUMIFS('附表7-扣除项目明细采集底稿'!$T:$T,'附表7-扣除项目明细采集底稿'!$G:$G,$B94)</f>
        <v>267326.73</v>
      </c>
      <c r="Q94" s="117">
        <f t="shared" si="4"/>
        <v>0</v>
      </c>
      <c r="R94" s="118"/>
      <c r="S94" s="90"/>
      <c r="T94" s="90"/>
      <c r="U94" s="90"/>
      <c r="V94" s="90"/>
      <c r="W94" s="90"/>
      <c r="X94" s="90"/>
      <c r="Y94" s="90"/>
      <c r="Z94" s="90"/>
      <c r="AA94" s="90"/>
      <c r="AB94" s="90"/>
    </row>
    <row r="95" s="80" customFormat="1" ht="15.05" spans="1:28">
      <c r="A95" s="90">
        <v>181</v>
      </c>
      <c r="B95" s="91" t="s">
        <v>3631</v>
      </c>
      <c r="C95" s="100" t="s">
        <v>4772</v>
      </c>
      <c r="D95" s="93" t="s">
        <v>4655</v>
      </c>
      <c r="E95" s="99" t="s">
        <v>4763</v>
      </c>
      <c r="F95" s="95">
        <v>44002</v>
      </c>
      <c r="G95" s="96">
        <v>150000</v>
      </c>
      <c r="H95" s="97">
        <v>0</v>
      </c>
      <c r="I95" s="96" t="s">
        <v>4650</v>
      </c>
      <c r="J95" s="90" t="s">
        <v>4650</v>
      </c>
      <c r="K95" s="90" t="s">
        <v>4650</v>
      </c>
      <c r="L95" s="90"/>
      <c r="M95" s="112">
        <f>IFERROR(IF(COUNTIFS(S95:AB95,清算项目基本情况表!$D$6)&gt;=1,IF(L95="占地面积法",ROUND(SUM('附表4-项目间分摊信息采集表'!$E$5)/SUMPRODUCT(SUMIFS('附表4-项目间分摊信息采集表'!$E:$E,'附表4-项目间分摊信息采集表'!$B:$B,S95:AB95)),20),IF(L95="测绘总建筑面积法",ROUND(SUM('附表4-项目间分摊信息采集表'!$F$5)/SUMPRODUCT(SUMIFS('附表4-项目间分摊信息采集表'!$F:$F,'附表4-项目间分摊信息采集表'!$B:$B,S95:AB95)),20),IF(L95="可售建筑面积法",ROUND(SUM('附表4-项目间分摊信息采集表'!$G$5)/SUMPRODUCT(SUMIFS('附表4-项目间分摊信息采集表'!$G:$G,'附表4-项目间分摊信息采集表'!$B:$B,S95:AB95)),20),IF(L95="其他分摊方法",ROUND(SUM('附表4-项目间分摊信息采集表'!$H$5)/SUMPRODUCT(SUMIFS('附表4-项目间分摊信息采集表'!$H:$H,'附表4-项目间分摊信息采集表'!$B:$B,S95:AB95)),20),IF(L95="手工填写分摊比例","请填写分摊比例",100%))))),IF(COUNTA(S95:AB95)&gt;=1,0%,100%)),100%)</f>
        <v>1</v>
      </c>
      <c r="N95" s="97">
        <f>SUMIFS('附表7-扣除项目明细采集底稿'!$R:$R,'附表7-扣除项目明细采集底稿'!$G:$G,B95)</f>
        <v>148514.85</v>
      </c>
      <c r="O95" s="90" t="s">
        <v>4651</v>
      </c>
      <c r="P95" s="113">
        <f>SUMIFS('附表7-扣除项目明细采集底稿'!$T:$T,'附表7-扣除项目明细采集底稿'!$G:$G,$B95)</f>
        <v>148514.85</v>
      </c>
      <c r="Q95" s="117">
        <f t="shared" si="4"/>
        <v>0</v>
      </c>
      <c r="R95" s="118"/>
      <c r="S95" s="90"/>
      <c r="T95" s="90"/>
      <c r="U95" s="90"/>
      <c r="V95" s="90"/>
      <c r="W95" s="90"/>
      <c r="X95" s="90"/>
      <c r="Y95" s="90"/>
      <c r="Z95" s="90"/>
      <c r="AA95" s="90"/>
      <c r="AB95" s="90"/>
    </row>
    <row r="96" s="80" customFormat="1" ht="15.05" spans="1:28">
      <c r="A96" s="90">
        <v>94</v>
      </c>
      <c r="B96" s="91" t="s">
        <v>3485</v>
      </c>
      <c r="C96" s="100" t="s">
        <v>4773</v>
      </c>
      <c r="D96" s="93" t="s">
        <v>4655</v>
      </c>
      <c r="E96" s="94" t="s">
        <v>3486</v>
      </c>
      <c r="F96" s="95">
        <v>44144</v>
      </c>
      <c r="G96" s="96">
        <v>120000</v>
      </c>
      <c r="H96" s="97">
        <v>0</v>
      </c>
      <c r="I96" s="96" t="s">
        <v>4650</v>
      </c>
      <c r="J96" s="90" t="s">
        <v>4650</v>
      </c>
      <c r="K96" s="90" t="s">
        <v>4650</v>
      </c>
      <c r="L96" s="90"/>
      <c r="M96" s="112">
        <f>IFERROR(IF(COUNTIFS(S96:AB96,清算项目基本情况表!$D$6)&gt;=1,IF(L96="占地面积法",ROUND(SUM('附表4-项目间分摊信息采集表'!$E$5)/SUMPRODUCT(SUMIFS('附表4-项目间分摊信息采集表'!$E:$E,'附表4-项目间分摊信息采集表'!$B:$B,S96:AB96)),20),IF(L96="测绘总建筑面积法",ROUND(SUM('附表4-项目间分摊信息采集表'!$F$5)/SUMPRODUCT(SUMIFS('附表4-项目间分摊信息采集表'!$F:$F,'附表4-项目间分摊信息采集表'!$B:$B,S96:AB96)),20),IF(L96="可售建筑面积法",ROUND(SUM('附表4-项目间分摊信息采集表'!$G$5)/SUMPRODUCT(SUMIFS('附表4-项目间分摊信息采集表'!$G:$G,'附表4-项目间分摊信息采集表'!$B:$B,S96:AB96)),20),IF(L96="其他分摊方法",ROUND(SUM('附表4-项目间分摊信息采集表'!$H$5)/SUMPRODUCT(SUMIFS('附表4-项目间分摊信息采集表'!$H:$H,'附表4-项目间分摊信息采集表'!$B:$B,S96:AB96)),20),IF(L96="手工填写分摊比例","请填写分摊比例",100%))))),IF(COUNTA(S96:AB96)&gt;=1,0%,100%)),100%)</f>
        <v>1</v>
      </c>
      <c r="N96" s="97">
        <f>SUMIFS('附表7-扣除项目明细采集底稿'!$R:$R,'附表7-扣除项目明细采集底稿'!$G:$G,B96)</f>
        <v>0</v>
      </c>
      <c r="O96" s="90" t="s">
        <v>4651</v>
      </c>
      <c r="P96" s="113">
        <f>SUMIFS('附表7-扣除项目明细采集底稿'!$T:$T,'附表7-扣除项目明细采集底稿'!$G:$G,$B96)</f>
        <v>0</v>
      </c>
      <c r="Q96" s="117">
        <f t="shared" si="4"/>
        <v>0</v>
      </c>
      <c r="R96" s="118"/>
      <c r="S96" s="90"/>
      <c r="T96" s="90"/>
      <c r="U96" s="90"/>
      <c r="V96" s="90"/>
      <c r="W96" s="90"/>
      <c r="X96" s="90"/>
      <c r="Y96" s="90"/>
      <c r="Z96" s="90"/>
      <c r="AA96" s="90"/>
      <c r="AB96" s="90"/>
    </row>
    <row r="97" s="80" customFormat="1" ht="30.05" spans="1:28">
      <c r="A97" s="90">
        <v>38</v>
      </c>
      <c r="B97" s="91" t="s">
        <v>3676</v>
      </c>
      <c r="C97" s="98" t="s">
        <v>4774</v>
      </c>
      <c r="D97" s="93" t="s">
        <v>4648</v>
      </c>
      <c r="E97" s="94" t="s">
        <v>4775</v>
      </c>
      <c r="F97" s="95">
        <v>44148</v>
      </c>
      <c r="G97" s="96">
        <v>4364712.48</v>
      </c>
      <c r="H97" s="97">
        <v>4004323.38</v>
      </c>
      <c r="I97" s="96" t="s">
        <v>4650</v>
      </c>
      <c r="J97" s="90" t="s">
        <v>4650</v>
      </c>
      <c r="K97" s="90" t="s">
        <v>15</v>
      </c>
      <c r="L97" s="90" t="s">
        <v>351</v>
      </c>
      <c r="M97" s="112">
        <f>IFERROR(IF(COUNTIFS(S97:AB97,清算项目基本情况表!$D$6)&gt;=1,IF(L97="占地面积法",ROUND(SUM('附表4-项目间分摊信息采集表'!$E$5)/SUMPRODUCT(SUMIFS('附表4-项目间分摊信息采集表'!$E:$E,'附表4-项目间分摊信息采集表'!$B:$B,S97:AB97)),20),IF(L97="测绘总建筑面积法",ROUND(SUM('附表4-项目间分摊信息采集表'!$F$5)/SUMPRODUCT(SUMIFS('附表4-项目间分摊信息采集表'!$F:$F,'附表4-项目间分摊信息采集表'!$B:$B,S97:AB97)),20),IF(L97="可售建筑面积法",ROUND(SUM('附表4-项目间分摊信息采集表'!$G$5)/SUMPRODUCT(SUMIFS('附表4-项目间分摊信息采集表'!$G:$G,'附表4-项目间分摊信息采集表'!$B:$B,S97:AB97)),20),IF(L97="其他分摊方法",ROUND(SUM('附表4-项目间分摊信息采集表'!$H$5)/SUMPRODUCT(SUMIFS('附表4-项目间分摊信息采集表'!$H:$H,'附表4-项目间分摊信息采集表'!$B:$B,S97:AB97)),20),IF(L97="手工填写分摊比例","请填写分摊比例",100%))))),IF(COUNTA(S97:AB97)&gt;=1,0%,100%)),100%)</f>
        <v>0.338555832480367</v>
      </c>
      <c r="N97" s="97">
        <f>SUMIFS('附表7-扣除项目明细采集底稿'!$R:$R,'附表7-扣除项目明细采集底稿'!$G:$G,B97)</f>
        <v>4296646.04</v>
      </c>
      <c r="O97" s="90" t="s">
        <v>4651</v>
      </c>
      <c r="P97" s="113">
        <f>SUMIFS('附表7-扣除项目明细采集底稿'!$T:$T,'附表7-扣除项目明细采集底稿'!$G:$G,$B97)</f>
        <v>1454654.59</v>
      </c>
      <c r="Q97" s="117">
        <f t="shared" si="4"/>
        <v>2841991.45</v>
      </c>
      <c r="R97" s="118"/>
      <c r="S97" s="90" t="s">
        <v>11</v>
      </c>
      <c r="T97" s="90" t="s">
        <v>46</v>
      </c>
      <c r="U97" s="90" t="s">
        <v>371</v>
      </c>
      <c r="V97" s="90"/>
      <c r="W97" s="90"/>
      <c r="X97" s="90"/>
      <c r="Y97" s="90"/>
      <c r="Z97" s="90"/>
      <c r="AA97" s="90"/>
      <c r="AB97" s="90"/>
    </row>
    <row r="98" s="80" customFormat="1" ht="30.05" spans="1:28">
      <c r="A98" s="90">
        <v>39</v>
      </c>
      <c r="B98" s="91" t="s">
        <v>3679</v>
      </c>
      <c r="C98" s="98" t="s">
        <v>4776</v>
      </c>
      <c r="D98" s="93" t="s">
        <v>4648</v>
      </c>
      <c r="E98" s="94" t="s">
        <v>4775</v>
      </c>
      <c r="F98" s="95">
        <v>44148</v>
      </c>
      <c r="G98" s="96">
        <v>1451380.23</v>
      </c>
      <c r="H98" s="97">
        <v>1331541.5</v>
      </c>
      <c r="I98" s="96" t="s">
        <v>4650</v>
      </c>
      <c r="J98" s="90" t="s">
        <v>4650</v>
      </c>
      <c r="K98" s="90" t="s">
        <v>4650</v>
      </c>
      <c r="L98" s="90"/>
      <c r="M98" s="112">
        <f>IFERROR(IF(COUNTIFS(S98:AB98,清算项目基本情况表!$D$6)&gt;=1,IF(L98="占地面积法",ROUND(SUM('附表4-项目间分摊信息采集表'!$E$5)/SUMPRODUCT(SUMIFS('附表4-项目间分摊信息采集表'!$E:$E,'附表4-项目间分摊信息采集表'!$B:$B,S98:AB98)),20),IF(L98="测绘总建筑面积法",ROUND(SUM('附表4-项目间分摊信息采集表'!$F$5)/SUMPRODUCT(SUMIFS('附表4-项目间分摊信息采集表'!$F:$F,'附表4-项目间分摊信息采集表'!$B:$B,S98:AB98)),20),IF(L98="可售建筑面积法",ROUND(SUM('附表4-项目间分摊信息采集表'!$G$5)/SUMPRODUCT(SUMIFS('附表4-项目间分摊信息采集表'!$G:$G,'附表4-项目间分摊信息采集表'!$B:$B,S98:AB98)),20),IF(L98="其他分摊方法",ROUND(SUM('附表4-项目间分摊信息采集表'!$H$5)/SUMPRODUCT(SUMIFS('附表4-项目间分摊信息采集表'!$H:$H,'附表4-项目间分摊信息采集表'!$B:$B,S98:AB98)),20),IF(L98="手工填写分摊比例","请填写分摊比例",100%))))),IF(COUNTA(S98:AB98)&gt;=1,0%,100%)),100%)</f>
        <v>1</v>
      </c>
      <c r="N98" s="97">
        <f>SUMIFS('附表7-扣除项目明细采集底稿'!$R:$R,'附表7-扣除项目明细采集底稿'!$G:$G,B98)</f>
        <v>0</v>
      </c>
      <c r="O98" s="90" t="s">
        <v>4651</v>
      </c>
      <c r="P98" s="113">
        <f>SUMIFS('附表7-扣除项目明细采集底稿'!$T:$T,'附表7-扣除项目明细采集底稿'!$G:$G,$B98)</f>
        <v>0</v>
      </c>
      <c r="Q98" s="117">
        <f t="shared" si="4"/>
        <v>0</v>
      </c>
      <c r="R98" s="118"/>
      <c r="S98" s="90"/>
      <c r="T98" s="90"/>
      <c r="U98" s="90"/>
      <c r="V98" s="90"/>
      <c r="W98" s="90"/>
      <c r="X98" s="90"/>
      <c r="Y98" s="90"/>
      <c r="Z98" s="90"/>
      <c r="AA98" s="90"/>
      <c r="AB98" s="90"/>
    </row>
    <row r="99" s="80" customFormat="1" ht="15.05" spans="1:28">
      <c r="A99" s="90">
        <v>176</v>
      </c>
      <c r="B99" s="91" t="s">
        <v>3747</v>
      </c>
      <c r="C99" s="100" t="s">
        <v>4777</v>
      </c>
      <c r="D99" s="93" t="s">
        <v>4655</v>
      </c>
      <c r="E99" s="94" t="s">
        <v>3748</v>
      </c>
      <c r="F99" s="95">
        <v>43759</v>
      </c>
      <c r="G99" s="96">
        <v>58000</v>
      </c>
      <c r="H99" s="97">
        <v>0</v>
      </c>
      <c r="I99" s="96" t="s">
        <v>4650</v>
      </c>
      <c r="J99" s="90" t="s">
        <v>4650</v>
      </c>
      <c r="K99" s="90" t="s">
        <v>4650</v>
      </c>
      <c r="L99" s="90"/>
      <c r="M99" s="112">
        <f>IFERROR(IF(COUNTIFS(S99:AB99,清算项目基本情况表!$D$6)&gt;=1,IF(L99="占地面积法",ROUND(SUM('附表4-项目间分摊信息采集表'!$E$5)/SUMPRODUCT(SUMIFS('附表4-项目间分摊信息采集表'!$E:$E,'附表4-项目间分摊信息采集表'!$B:$B,S99:AB99)),20),IF(L99="测绘总建筑面积法",ROUND(SUM('附表4-项目间分摊信息采集表'!$F$5)/SUMPRODUCT(SUMIFS('附表4-项目间分摊信息采集表'!$F:$F,'附表4-项目间分摊信息采集表'!$B:$B,S99:AB99)),20),IF(L99="可售建筑面积法",ROUND(SUM('附表4-项目间分摊信息采集表'!$G$5)/SUMPRODUCT(SUMIFS('附表4-项目间分摊信息采集表'!$G:$G,'附表4-项目间分摊信息采集表'!$B:$B,S99:AB99)),20),IF(L99="其他分摊方法",ROUND(SUM('附表4-项目间分摊信息采集表'!$H$5)/SUMPRODUCT(SUMIFS('附表4-项目间分摊信息采集表'!$H:$H,'附表4-项目间分摊信息采集表'!$B:$B,S99:AB99)),20),IF(L99="手工填写分摊比例","请填写分摊比例",100%))))),IF(COUNTA(S99:AB99)&gt;=1,0%,100%)),100%)</f>
        <v>1</v>
      </c>
      <c r="N99" s="97">
        <f>SUMIFS('附表7-扣除项目明细采集底稿'!$R:$R,'附表7-扣除项目明细采集底稿'!$G:$G,B99)</f>
        <v>0</v>
      </c>
      <c r="O99" s="90" t="s">
        <v>4651</v>
      </c>
      <c r="P99" s="113">
        <f>SUMIFS('附表7-扣除项目明细采集底稿'!$T:$T,'附表7-扣除项目明细采集底稿'!$G:$G,$B99)</f>
        <v>0</v>
      </c>
      <c r="Q99" s="117">
        <f t="shared" si="4"/>
        <v>0</v>
      </c>
      <c r="R99" s="118"/>
      <c r="S99" s="90"/>
      <c r="T99" s="90"/>
      <c r="U99" s="90"/>
      <c r="V99" s="90"/>
      <c r="W99" s="90"/>
      <c r="X99" s="90"/>
      <c r="Y99" s="90"/>
      <c r="Z99" s="90"/>
      <c r="AA99" s="90"/>
      <c r="AB99" s="90"/>
    </row>
    <row r="100" s="80" customFormat="1" ht="30.05" spans="1:28">
      <c r="A100" s="90">
        <v>191</v>
      </c>
      <c r="B100" s="91" t="s">
        <v>2805</v>
      </c>
      <c r="C100" s="100" t="s">
        <v>4778</v>
      </c>
      <c r="D100" s="93" t="s">
        <v>4648</v>
      </c>
      <c r="E100" s="99" t="s">
        <v>2806</v>
      </c>
      <c r="F100" s="95">
        <v>43629</v>
      </c>
      <c r="G100" s="96">
        <v>600000</v>
      </c>
      <c r="H100" s="97">
        <v>0</v>
      </c>
      <c r="I100" s="96" t="s">
        <v>4650</v>
      </c>
      <c r="J100" s="90" t="s">
        <v>4650</v>
      </c>
      <c r="K100" s="90" t="s">
        <v>4650</v>
      </c>
      <c r="L100" s="90"/>
      <c r="M100" s="112">
        <f>IFERROR(IF(COUNTIFS(S100:AB100,清算项目基本情况表!$D$6)&gt;=1,IF(L100="占地面积法",ROUND(SUM('附表4-项目间分摊信息采集表'!$E$5)/SUMPRODUCT(SUMIFS('附表4-项目间分摊信息采集表'!$E:$E,'附表4-项目间分摊信息采集表'!$B:$B,S100:AB100)),20),IF(L100="测绘总建筑面积法",ROUND(SUM('附表4-项目间分摊信息采集表'!$F$5)/SUMPRODUCT(SUMIFS('附表4-项目间分摊信息采集表'!$F:$F,'附表4-项目间分摊信息采集表'!$B:$B,S100:AB100)),20),IF(L100="可售建筑面积法",ROUND(SUM('附表4-项目间分摊信息采集表'!$G$5)/SUMPRODUCT(SUMIFS('附表4-项目间分摊信息采集表'!$G:$G,'附表4-项目间分摊信息采集表'!$B:$B,S100:AB100)),20),IF(L100="其他分摊方法",ROUND(SUM('附表4-项目间分摊信息采集表'!$H$5)/SUMPRODUCT(SUMIFS('附表4-项目间分摊信息采集表'!$H:$H,'附表4-项目间分摊信息采集表'!$B:$B,S100:AB100)),20),IF(L100="手工填写分摊比例","请填写分摊比例",100%))))),IF(COUNTA(S100:AB100)&gt;=1,0%,100%)),100%)</f>
        <v>1</v>
      </c>
      <c r="N100" s="97">
        <f>SUMIFS('附表7-扣除项目明细采集底稿'!$R:$R,'附表7-扣除项目明细采集底稿'!$G:$G,B100)</f>
        <v>0</v>
      </c>
      <c r="O100" s="90" t="s">
        <v>4651</v>
      </c>
      <c r="P100" s="113">
        <f>SUMIFS('附表7-扣除项目明细采集底稿'!$T:$T,'附表7-扣除项目明细采集底稿'!$G:$G,$B100)</f>
        <v>0</v>
      </c>
      <c r="Q100" s="117">
        <f t="shared" si="4"/>
        <v>0</v>
      </c>
      <c r="R100" s="118"/>
      <c r="S100" s="90"/>
      <c r="T100" s="90"/>
      <c r="U100" s="90"/>
      <c r="V100" s="90"/>
      <c r="W100" s="90"/>
      <c r="X100" s="90"/>
      <c r="Y100" s="90"/>
      <c r="Z100" s="90"/>
      <c r="AA100" s="90"/>
      <c r="AB100" s="90"/>
    </row>
    <row r="101" s="80" customFormat="1" ht="30.05" spans="1:28">
      <c r="A101" s="90">
        <v>159</v>
      </c>
      <c r="B101" s="91" t="s">
        <v>2571</v>
      </c>
      <c r="C101" s="92" t="s">
        <v>4779</v>
      </c>
      <c r="D101" s="93" t="s">
        <v>4648</v>
      </c>
      <c r="E101" s="99" t="s">
        <v>2572</v>
      </c>
      <c r="F101" s="95">
        <v>43549</v>
      </c>
      <c r="G101" s="96">
        <v>116000</v>
      </c>
      <c r="H101" s="97">
        <v>0</v>
      </c>
      <c r="I101" s="96" t="s">
        <v>4650</v>
      </c>
      <c r="J101" s="90" t="s">
        <v>4650</v>
      </c>
      <c r="K101" s="90" t="s">
        <v>4650</v>
      </c>
      <c r="L101" s="90"/>
      <c r="M101" s="112">
        <f>IFERROR(IF(COUNTIFS(S101:AB101,清算项目基本情况表!$D$6)&gt;=1,IF(L101="占地面积法",ROUND(SUM('附表4-项目间分摊信息采集表'!$E$5)/SUMPRODUCT(SUMIFS('附表4-项目间分摊信息采集表'!$E:$E,'附表4-项目间分摊信息采集表'!$B:$B,S101:AB101)),20),IF(L101="测绘总建筑面积法",ROUND(SUM('附表4-项目间分摊信息采集表'!$F$5)/SUMPRODUCT(SUMIFS('附表4-项目间分摊信息采集表'!$F:$F,'附表4-项目间分摊信息采集表'!$B:$B,S101:AB101)),20),IF(L101="可售建筑面积法",ROUND(SUM('附表4-项目间分摊信息采集表'!$G$5)/SUMPRODUCT(SUMIFS('附表4-项目间分摊信息采集表'!$G:$G,'附表4-项目间分摊信息采集表'!$B:$B,S101:AB101)),20),IF(L101="其他分摊方法",ROUND(SUM('附表4-项目间分摊信息采集表'!$H$5)/SUMPRODUCT(SUMIFS('附表4-项目间分摊信息采集表'!$H:$H,'附表4-项目间分摊信息采集表'!$B:$B,S101:AB101)),20),IF(L101="手工填写分摊比例","请填写分摊比例",100%))))),IF(COUNTA(S101:AB101)&gt;=1,0%,100%)),100%)</f>
        <v>1</v>
      </c>
      <c r="N101" s="97">
        <f>SUMIFS('附表7-扣除项目明细采集底稿'!$R:$R,'附表7-扣除项目明细采集底稿'!$G:$G,B101)</f>
        <v>106019.42</v>
      </c>
      <c r="O101" s="90" t="s">
        <v>4651</v>
      </c>
      <c r="P101" s="113">
        <f>SUMIFS('附表7-扣除项目明细采集底稿'!$T:$T,'附表7-扣除项目明细采集底稿'!$G:$G,$B101)</f>
        <v>106019.42</v>
      </c>
      <c r="Q101" s="117">
        <f t="shared" si="4"/>
        <v>0</v>
      </c>
      <c r="R101" s="118"/>
      <c r="S101" s="90"/>
      <c r="T101" s="90"/>
      <c r="U101" s="90"/>
      <c r="V101" s="90"/>
      <c r="W101" s="90"/>
      <c r="X101" s="90"/>
      <c r="Y101" s="90"/>
      <c r="Z101" s="90"/>
      <c r="AA101" s="90"/>
      <c r="AB101" s="90"/>
    </row>
    <row r="102" s="80" customFormat="1" ht="15.05" spans="1:28">
      <c r="A102" s="90">
        <v>96</v>
      </c>
      <c r="B102" s="91" t="s">
        <v>2353</v>
      </c>
      <c r="C102" s="100" t="s">
        <v>4780</v>
      </c>
      <c r="D102" s="93" t="s">
        <v>4675</v>
      </c>
      <c r="E102" s="94" t="s">
        <v>4781</v>
      </c>
      <c r="F102" s="95">
        <v>43321</v>
      </c>
      <c r="G102" s="96">
        <v>1915344</v>
      </c>
      <c r="H102" s="97">
        <v>0</v>
      </c>
      <c r="I102" s="96" t="s">
        <v>4650</v>
      </c>
      <c r="J102" s="90" t="s">
        <v>4650</v>
      </c>
      <c r="K102" s="90" t="s">
        <v>15</v>
      </c>
      <c r="L102" s="90" t="s">
        <v>351</v>
      </c>
      <c r="M102" s="112">
        <f>IFERROR(IF(COUNTIFS(S102:AB102,清算项目基本情况表!$D$6)&gt;=1,IF(L102="占地面积法",ROUND(SUM('附表4-项目间分摊信息采集表'!$E$5)/SUMPRODUCT(SUMIFS('附表4-项目间分摊信息采集表'!$E:$E,'附表4-项目间分摊信息采集表'!$B:$B,S102:AB102)),20),IF(L102="测绘总建筑面积法",ROUND(SUM('附表4-项目间分摊信息采集表'!$F$5)/SUMPRODUCT(SUMIFS('附表4-项目间分摊信息采集表'!$F:$F,'附表4-项目间分摊信息采集表'!$B:$B,S102:AB102)),20),IF(L102="可售建筑面积法",ROUND(SUM('附表4-项目间分摊信息采集表'!$G$5)/SUMPRODUCT(SUMIFS('附表4-项目间分摊信息采集表'!$G:$G,'附表4-项目间分摊信息采集表'!$B:$B,S102:AB102)),20),IF(L102="其他分摊方法",ROUND(SUM('附表4-项目间分摊信息采集表'!$H$5)/SUMPRODUCT(SUMIFS('附表4-项目间分摊信息采集表'!$H:$H,'附表4-项目间分摊信息采集表'!$B:$B,S102:AB102)),20),IF(L102="手工填写分摊比例","请填写分摊比例",100%))))),IF(COUNTA(S102:AB102)&gt;=1,0%,100%)),100%)</f>
        <v>0.338555832480367</v>
      </c>
      <c r="N102" s="97">
        <f>SUMIFS('附表7-扣除项目明细采集底稿'!$R:$R,'附表7-扣除项目明细采集底稿'!$G:$G,B102)</f>
        <v>1196860.55</v>
      </c>
      <c r="O102" s="90" t="s">
        <v>4651</v>
      </c>
      <c r="P102" s="113">
        <f>SUMIFS('附表7-扣除项目明细采集底稿'!$T:$T,'附表7-扣除项目明细采集底稿'!$G:$G,$B102)</f>
        <v>405204.12</v>
      </c>
      <c r="Q102" s="117">
        <f t="shared" si="4"/>
        <v>791656.43</v>
      </c>
      <c r="R102" s="118"/>
      <c r="S102" s="90" t="s">
        <v>11</v>
      </c>
      <c r="T102" s="90" t="s">
        <v>46</v>
      </c>
      <c r="U102" s="90" t="s">
        <v>371</v>
      </c>
      <c r="V102" s="90"/>
      <c r="W102" s="90"/>
      <c r="X102" s="90"/>
      <c r="Y102" s="90"/>
      <c r="Z102" s="90"/>
      <c r="AA102" s="90"/>
      <c r="AB102" s="90"/>
    </row>
    <row r="103" s="80" customFormat="1" ht="15.05" spans="1:28">
      <c r="A103" s="90">
        <v>79</v>
      </c>
      <c r="B103" s="91" t="s">
        <v>2461</v>
      </c>
      <c r="C103" s="99" t="s">
        <v>4782</v>
      </c>
      <c r="D103" s="93" t="s">
        <v>4675</v>
      </c>
      <c r="E103" s="94" t="s">
        <v>2462</v>
      </c>
      <c r="F103" s="95">
        <v>43531</v>
      </c>
      <c r="G103" s="96">
        <v>75000</v>
      </c>
      <c r="H103" s="97">
        <v>0</v>
      </c>
      <c r="I103" s="96" t="s">
        <v>4650</v>
      </c>
      <c r="J103" s="90" t="s">
        <v>4650</v>
      </c>
      <c r="K103" s="90" t="s">
        <v>4650</v>
      </c>
      <c r="L103" s="90"/>
      <c r="M103" s="112">
        <f>IFERROR(IF(COUNTIFS(S103:AB103,清算项目基本情况表!$D$6)&gt;=1,IF(L103="占地面积法",ROUND(SUM('附表4-项目间分摊信息采集表'!$E$5)/SUMPRODUCT(SUMIFS('附表4-项目间分摊信息采集表'!$E:$E,'附表4-项目间分摊信息采集表'!$B:$B,S103:AB103)),20),IF(L103="测绘总建筑面积法",ROUND(SUM('附表4-项目间分摊信息采集表'!$F$5)/SUMPRODUCT(SUMIFS('附表4-项目间分摊信息采集表'!$F:$F,'附表4-项目间分摊信息采集表'!$B:$B,S103:AB103)),20),IF(L103="可售建筑面积法",ROUND(SUM('附表4-项目间分摊信息采集表'!$G$5)/SUMPRODUCT(SUMIFS('附表4-项目间分摊信息采集表'!$G:$G,'附表4-项目间分摊信息采集表'!$B:$B,S103:AB103)),20),IF(L103="其他分摊方法",ROUND(SUM('附表4-项目间分摊信息采集表'!$H$5)/SUMPRODUCT(SUMIFS('附表4-项目间分摊信息采集表'!$H:$H,'附表4-项目间分摊信息采集表'!$B:$B,S103:AB103)),20),IF(L103="手工填写分摊比例","请填写分摊比例",100%))))),IF(COUNTA(S103:AB103)&gt;=1,0%,100%)),100%)</f>
        <v>1</v>
      </c>
      <c r="N103" s="97">
        <f>SUMIFS('附表7-扣除项目明细采集底稿'!$R:$R,'附表7-扣除项目明细采集底稿'!$G:$G,B103)</f>
        <v>0</v>
      </c>
      <c r="O103" s="90" t="s">
        <v>4651</v>
      </c>
      <c r="P103" s="113">
        <f>SUMIFS('附表7-扣除项目明细采集底稿'!$T:$T,'附表7-扣除项目明细采集底稿'!$G:$G,$B103)</f>
        <v>0</v>
      </c>
      <c r="Q103" s="117">
        <f t="shared" si="4"/>
        <v>0</v>
      </c>
      <c r="R103" s="118"/>
      <c r="S103" s="90"/>
      <c r="T103" s="90"/>
      <c r="U103" s="90"/>
      <c r="V103" s="90"/>
      <c r="W103" s="90"/>
      <c r="X103" s="90"/>
      <c r="Y103" s="90"/>
      <c r="Z103" s="90"/>
      <c r="AA103" s="90"/>
      <c r="AB103" s="90"/>
    </row>
    <row r="104" s="80" customFormat="1" ht="15.05" spans="1:28">
      <c r="A104" s="90">
        <v>63</v>
      </c>
      <c r="B104" s="91" t="s">
        <v>4135</v>
      </c>
      <c r="C104" s="99" t="s">
        <v>4783</v>
      </c>
      <c r="D104" s="93" t="s">
        <v>4655</v>
      </c>
      <c r="E104" s="99" t="s">
        <v>4136</v>
      </c>
      <c r="F104" s="95">
        <v>44390</v>
      </c>
      <c r="G104" s="96">
        <v>1686800</v>
      </c>
      <c r="H104" s="97">
        <v>1492743.36</v>
      </c>
      <c r="I104" s="96" t="s">
        <v>4650</v>
      </c>
      <c r="J104" s="90" t="s">
        <v>4650</v>
      </c>
      <c r="K104" s="90" t="s">
        <v>15</v>
      </c>
      <c r="L104" s="90" t="s">
        <v>351</v>
      </c>
      <c r="M104" s="112">
        <f>IFERROR(IF(COUNTIFS(S104:AB104,清算项目基本情况表!$D$6)&gt;=1,IF(L104="占地面积法",ROUND(SUM('附表4-项目间分摊信息采集表'!$E$5)/SUMPRODUCT(SUMIFS('附表4-项目间分摊信息采集表'!$E:$E,'附表4-项目间分摊信息采集表'!$B:$B,S104:AB104)),20),IF(L104="测绘总建筑面积法",ROUND(SUM('附表4-项目间分摊信息采集表'!$F$5)/SUMPRODUCT(SUMIFS('附表4-项目间分摊信息采集表'!$F:$F,'附表4-项目间分摊信息采集表'!$B:$B,S104:AB104)),20),IF(L104="可售建筑面积法",ROUND(SUM('附表4-项目间分摊信息采集表'!$G$5)/SUMPRODUCT(SUMIFS('附表4-项目间分摊信息采集表'!$G:$G,'附表4-项目间分摊信息采集表'!$B:$B,S104:AB104)),20),IF(L104="其他分摊方法",ROUND(SUM('附表4-项目间分摊信息采集表'!$H$5)/SUMPRODUCT(SUMIFS('附表4-项目间分摊信息采集表'!$H:$H,'附表4-项目间分摊信息采集表'!$B:$B,S104:AB104)),20),IF(L104="手工填写分摊比例","请填写分摊比例",100%))))),IF(COUNTA(S104:AB104)&gt;=1,0%,100%)),100%)</f>
        <v>0.338555832480367</v>
      </c>
      <c r="N104" s="97">
        <f>SUMIFS('附表7-扣除项目明细采集底稿'!$R:$R,'附表7-扣除项目明细采集底稿'!$G:$G,B104)</f>
        <v>1492743.33884956</v>
      </c>
      <c r="O104" s="90" t="s">
        <v>4651</v>
      </c>
      <c r="P104" s="113">
        <f>SUMIFS('附表7-扣除项目明细采集底稿'!$T:$T,'附表7-扣除项目明细采集底稿'!$G:$G,$B104)</f>
        <v>505376.97</v>
      </c>
      <c r="Q104" s="117">
        <f t="shared" si="4"/>
        <v>987366.37</v>
      </c>
      <c r="R104" s="118"/>
      <c r="S104" s="90" t="s">
        <v>11</v>
      </c>
      <c r="T104" s="90" t="s">
        <v>46</v>
      </c>
      <c r="U104" s="90" t="s">
        <v>371</v>
      </c>
      <c r="V104" s="90"/>
      <c r="W104" s="90"/>
      <c r="X104" s="90"/>
      <c r="Y104" s="90"/>
      <c r="Z104" s="90"/>
      <c r="AA104" s="90"/>
      <c r="AB104" s="90"/>
    </row>
    <row r="105" s="80" customFormat="1" ht="15.05" spans="1:28">
      <c r="A105" s="90">
        <v>56</v>
      </c>
      <c r="B105" s="91" t="s">
        <v>3944</v>
      </c>
      <c r="C105" s="100" t="s">
        <v>4784</v>
      </c>
      <c r="D105" s="93" t="s">
        <v>4655</v>
      </c>
      <c r="E105" s="99" t="s">
        <v>4785</v>
      </c>
      <c r="F105" s="95">
        <v>44469</v>
      </c>
      <c r="G105" s="96">
        <v>38865.03</v>
      </c>
      <c r="H105" s="97">
        <v>38480.23</v>
      </c>
      <c r="I105" s="96" t="s">
        <v>4650</v>
      </c>
      <c r="J105" s="90" t="s">
        <v>4650</v>
      </c>
      <c r="K105" s="90" t="s">
        <v>4650</v>
      </c>
      <c r="L105" s="90"/>
      <c r="M105" s="112">
        <f>IFERROR(IF(COUNTIFS(S105:AB105,清算项目基本情况表!$D$6)&gt;=1,IF(L105="占地面积法",ROUND(SUM('附表4-项目间分摊信息采集表'!$E$5)/SUMPRODUCT(SUMIFS('附表4-项目间分摊信息采集表'!$E:$E,'附表4-项目间分摊信息采集表'!$B:$B,S105:AB105)),20),IF(L105="测绘总建筑面积法",ROUND(SUM('附表4-项目间分摊信息采集表'!$F$5)/SUMPRODUCT(SUMIFS('附表4-项目间分摊信息采集表'!$F:$F,'附表4-项目间分摊信息采集表'!$B:$B,S105:AB105)),20),IF(L105="可售建筑面积法",ROUND(SUM('附表4-项目间分摊信息采集表'!$G$5)/SUMPRODUCT(SUMIFS('附表4-项目间分摊信息采集表'!$G:$G,'附表4-项目间分摊信息采集表'!$B:$B,S105:AB105)),20),IF(L105="其他分摊方法",ROUND(SUM('附表4-项目间分摊信息采集表'!$H$5)/SUMPRODUCT(SUMIFS('附表4-项目间分摊信息采集表'!$H:$H,'附表4-项目间分摊信息采集表'!$B:$B,S105:AB105)),20),IF(L105="手工填写分摊比例","请填写分摊比例",100%))))),IF(COUNTA(S105:AB105)&gt;=1,0%,100%)),100%)</f>
        <v>1</v>
      </c>
      <c r="N105" s="97">
        <f>SUMIFS('附表7-扣除项目明细采集底稿'!$R:$R,'附表7-扣除项目明细采集底稿'!$G:$G,B105)</f>
        <v>38480.23</v>
      </c>
      <c r="O105" s="90" t="s">
        <v>4651</v>
      </c>
      <c r="P105" s="113">
        <f>SUMIFS('附表7-扣除项目明细采集底稿'!$T:$T,'附表7-扣除项目明细采集底稿'!$G:$G,$B105)</f>
        <v>38480.23</v>
      </c>
      <c r="Q105" s="117">
        <f t="shared" si="4"/>
        <v>0</v>
      </c>
      <c r="R105" s="118"/>
      <c r="S105" s="90"/>
      <c r="T105" s="90"/>
      <c r="U105" s="90"/>
      <c r="V105" s="90"/>
      <c r="W105" s="90"/>
      <c r="X105" s="90"/>
      <c r="Y105" s="90"/>
      <c r="Z105" s="90"/>
      <c r="AA105" s="90"/>
      <c r="AB105" s="90"/>
    </row>
    <row r="106" s="80" customFormat="1" ht="15.05" spans="1:28">
      <c r="A106" s="90">
        <v>51</v>
      </c>
      <c r="B106" s="91" t="s">
        <v>2865</v>
      </c>
      <c r="C106" s="100" t="s">
        <v>4786</v>
      </c>
      <c r="D106" s="93" t="s">
        <v>4655</v>
      </c>
      <c r="E106" s="94" t="s">
        <v>2866</v>
      </c>
      <c r="F106" s="95">
        <v>43686</v>
      </c>
      <c r="G106" s="96">
        <v>80001</v>
      </c>
      <c r="H106" s="97">
        <v>70797.34</v>
      </c>
      <c r="I106" s="96" t="s">
        <v>4650</v>
      </c>
      <c r="J106" s="90" t="s">
        <v>4650</v>
      </c>
      <c r="K106" s="90" t="s">
        <v>4650</v>
      </c>
      <c r="L106" s="90"/>
      <c r="M106" s="112">
        <f>IFERROR(IF(COUNTIFS(S106:AB106,清算项目基本情况表!$D$6)&gt;=1,IF(L106="占地面积法",ROUND(SUM('附表4-项目间分摊信息采集表'!$E$5)/SUMPRODUCT(SUMIFS('附表4-项目间分摊信息采集表'!$E:$E,'附表4-项目间分摊信息采集表'!$B:$B,S106:AB106)),20),IF(L106="测绘总建筑面积法",ROUND(SUM('附表4-项目间分摊信息采集表'!$F$5)/SUMPRODUCT(SUMIFS('附表4-项目间分摊信息采集表'!$F:$F,'附表4-项目间分摊信息采集表'!$B:$B,S106:AB106)),20),IF(L106="可售建筑面积法",ROUND(SUM('附表4-项目间分摊信息采集表'!$G$5)/SUMPRODUCT(SUMIFS('附表4-项目间分摊信息采集表'!$G:$G,'附表4-项目间分摊信息采集表'!$B:$B,S106:AB106)),20),IF(L106="其他分摊方法",ROUND(SUM('附表4-项目间分摊信息采集表'!$H$5)/SUMPRODUCT(SUMIFS('附表4-项目间分摊信息采集表'!$H:$H,'附表4-项目间分摊信息采集表'!$B:$B,S106:AB106)),20),IF(L106="手工填写分摊比例","请填写分摊比例",100%))))),IF(COUNTA(S106:AB106)&gt;=1,0%,100%)),100%)</f>
        <v>1</v>
      </c>
      <c r="N106" s="97">
        <f>SUMIFS('附表7-扣除项目明细采集底稿'!$R:$R,'附表7-扣除项目明细采集底稿'!$G:$G,B106)</f>
        <v>69027.43</v>
      </c>
      <c r="O106" s="90" t="s">
        <v>4651</v>
      </c>
      <c r="P106" s="113">
        <f>SUMIFS('附表7-扣除项目明细采集底稿'!$T:$T,'附表7-扣除项目明细采集底稿'!$G:$G,$B106)</f>
        <v>69027.43</v>
      </c>
      <c r="Q106" s="117">
        <f t="shared" si="4"/>
        <v>0</v>
      </c>
      <c r="R106" s="118"/>
      <c r="S106" s="90"/>
      <c r="T106" s="90"/>
      <c r="U106" s="90"/>
      <c r="V106" s="90"/>
      <c r="W106" s="90"/>
      <c r="X106" s="90"/>
      <c r="Y106" s="90"/>
      <c r="Z106" s="90"/>
      <c r="AA106" s="90"/>
      <c r="AB106" s="90"/>
    </row>
    <row r="107" s="80" customFormat="1" ht="15.05" spans="1:28">
      <c r="A107" s="90">
        <v>30</v>
      </c>
      <c r="B107" s="91" t="s">
        <v>2519</v>
      </c>
      <c r="C107" s="100" t="s">
        <v>4787</v>
      </c>
      <c r="D107" s="93" t="s">
        <v>4659</v>
      </c>
      <c r="E107" s="94" t="s">
        <v>2520</v>
      </c>
      <c r="F107" s="95">
        <v>43605</v>
      </c>
      <c r="G107" s="96">
        <v>180000</v>
      </c>
      <c r="H107" s="97">
        <v>159292.03</v>
      </c>
      <c r="I107" s="96" t="s">
        <v>4650</v>
      </c>
      <c r="J107" s="90" t="s">
        <v>4650</v>
      </c>
      <c r="K107" s="90" t="s">
        <v>4650</v>
      </c>
      <c r="L107" s="90"/>
      <c r="M107" s="112">
        <f>IFERROR(IF(COUNTIFS(S107:AB107,清算项目基本情况表!$D$6)&gt;=1,IF(L107="占地面积法",ROUND(SUM('附表4-项目间分摊信息采集表'!$E$5)/SUMPRODUCT(SUMIFS('附表4-项目间分摊信息采集表'!$E:$E,'附表4-项目间分摊信息采集表'!$B:$B,S107:AB107)),20),IF(L107="测绘总建筑面积法",ROUND(SUM('附表4-项目间分摊信息采集表'!$F$5)/SUMPRODUCT(SUMIFS('附表4-项目间分摊信息采集表'!$F:$F,'附表4-项目间分摊信息采集表'!$B:$B,S107:AB107)),20),IF(L107="可售建筑面积法",ROUND(SUM('附表4-项目间分摊信息采集表'!$G$5)/SUMPRODUCT(SUMIFS('附表4-项目间分摊信息采集表'!$G:$G,'附表4-项目间分摊信息采集表'!$B:$B,S107:AB107)),20),IF(L107="其他分摊方法",ROUND(SUM('附表4-项目间分摊信息采集表'!$H$5)/SUMPRODUCT(SUMIFS('附表4-项目间分摊信息采集表'!$H:$H,'附表4-项目间分摊信息采集表'!$B:$B,S107:AB107)),20),IF(L107="手工填写分摊比例","请填写分摊比例",100%))))),IF(COUNTA(S107:AB107)&gt;=1,0%,100%)),100%)</f>
        <v>1</v>
      </c>
      <c r="N107" s="97">
        <f>SUMIFS('附表7-扣除项目明细采集底稿'!$R:$R,'附表7-扣除项目明细采集底稿'!$G:$G,B107)</f>
        <v>0</v>
      </c>
      <c r="O107" s="90" t="s">
        <v>4651</v>
      </c>
      <c r="P107" s="113">
        <f>SUMIFS('附表7-扣除项目明细采集底稿'!$T:$T,'附表7-扣除项目明细采集底稿'!$G:$G,$B107)</f>
        <v>0</v>
      </c>
      <c r="Q107" s="117">
        <f t="shared" si="4"/>
        <v>0</v>
      </c>
      <c r="R107" s="118"/>
      <c r="S107" s="90"/>
      <c r="T107" s="90"/>
      <c r="U107" s="90"/>
      <c r="V107" s="90"/>
      <c r="W107" s="90"/>
      <c r="X107" s="90"/>
      <c r="Y107" s="90"/>
      <c r="Z107" s="90"/>
      <c r="AA107" s="90"/>
      <c r="AB107" s="90"/>
    </row>
    <row r="108" s="80" customFormat="1" ht="15.05" spans="1:28">
      <c r="A108" s="90">
        <v>183</v>
      </c>
      <c r="B108" s="91" t="s">
        <v>4238</v>
      </c>
      <c r="C108" s="100" t="s">
        <v>4788</v>
      </c>
      <c r="D108" s="93" t="s">
        <v>4655</v>
      </c>
      <c r="E108" s="99" t="s">
        <v>4763</v>
      </c>
      <c r="F108" s="95">
        <v>43649.46</v>
      </c>
      <c r="G108" s="96">
        <v>43000</v>
      </c>
      <c r="H108" s="97">
        <v>0</v>
      </c>
      <c r="I108" s="96" t="s">
        <v>4650</v>
      </c>
      <c r="J108" s="90" t="s">
        <v>4650</v>
      </c>
      <c r="K108" s="90" t="s">
        <v>15</v>
      </c>
      <c r="L108" s="90" t="s">
        <v>351</v>
      </c>
      <c r="M108" s="112">
        <f>IFERROR(IF(COUNTIFS(S108:AB108,清算项目基本情况表!$D$6)&gt;=1,IF(L108="占地面积法",ROUND(SUM('附表4-项目间分摊信息采集表'!$E$5)/SUMPRODUCT(SUMIFS('附表4-项目间分摊信息采集表'!$E:$E,'附表4-项目间分摊信息采集表'!$B:$B,S108:AB108)),20),IF(L108="测绘总建筑面积法",ROUND(SUM('附表4-项目间分摊信息采集表'!$F$5)/SUMPRODUCT(SUMIFS('附表4-项目间分摊信息采集表'!$F:$F,'附表4-项目间分摊信息采集表'!$B:$B,S108:AB108)),20),IF(L108="可售建筑面积法",ROUND(SUM('附表4-项目间分摊信息采集表'!$G$5)/SUMPRODUCT(SUMIFS('附表4-项目间分摊信息采集表'!$G:$G,'附表4-项目间分摊信息采集表'!$B:$B,S108:AB108)),20),IF(L108="其他分摊方法",ROUND(SUM('附表4-项目间分摊信息采集表'!$H$5)/SUMPRODUCT(SUMIFS('附表4-项目间分摊信息采集表'!$H:$H,'附表4-项目间分摊信息采集表'!$B:$B,S108:AB108)),20),IF(L108="手工填写分摊比例","请填写分摊比例",100%))))),IF(COUNTA(S108:AB108)&gt;=1,0%,100%)),100%)</f>
        <v>0.338555832480367</v>
      </c>
      <c r="N108" s="97">
        <f>SUMIFS('附表7-扣除项目明细采集底稿'!$R:$R,'附表7-扣除项目明细采集底稿'!$G:$G,B108)</f>
        <v>41747.57</v>
      </c>
      <c r="O108" s="90" t="s">
        <v>4651</v>
      </c>
      <c r="P108" s="113">
        <f>SUMIFS('附表7-扣除项目明细采集底稿'!$T:$T,'附表7-扣除项目明细采集底稿'!$G:$G,$B108)</f>
        <v>14133.88</v>
      </c>
      <c r="Q108" s="117">
        <f t="shared" si="4"/>
        <v>27613.69</v>
      </c>
      <c r="R108" s="118"/>
      <c r="S108" s="90" t="s">
        <v>11</v>
      </c>
      <c r="T108" s="90" t="s">
        <v>46</v>
      </c>
      <c r="U108" s="90" t="s">
        <v>371</v>
      </c>
      <c r="V108" s="90"/>
      <c r="W108" s="90"/>
      <c r="X108" s="90"/>
      <c r="Y108" s="90"/>
      <c r="Z108" s="90"/>
      <c r="AA108" s="90"/>
      <c r="AB108" s="90"/>
    </row>
    <row r="109" s="80" customFormat="1" ht="15.05" spans="1:28">
      <c r="A109" s="90">
        <v>184</v>
      </c>
      <c r="B109" s="91" t="s">
        <v>2725</v>
      </c>
      <c r="C109" s="99" t="s">
        <v>4789</v>
      </c>
      <c r="D109" s="93" t="s">
        <v>4655</v>
      </c>
      <c r="E109" s="99" t="s">
        <v>4763</v>
      </c>
      <c r="F109" s="95">
        <v>43692</v>
      </c>
      <c r="G109" s="96">
        <v>61500</v>
      </c>
      <c r="H109" s="97">
        <v>0</v>
      </c>
      <c r="I109" s="96" t="s">
        <v>4650</v>
      </c>
      <c r="J109" s="90" t="s">
        <v>4650</v>
      </c>
      <c r="K109" s="90" t="s">
        <v>15</v>
      </c>
      <c r="L109" s="90" t="s">
        <v>351</v>
      </c>
      <c r="M109" s="112">
        <f>IFERROR(IF(COUNTIFS(S109:AB109,清算项目基本情况表!$D$6)&gt;=1,IF(L109="占地面积法",ROUND(SUM('附表4-项目间分摊信息采集表'!$E$5)/SUMPRODUCT(SUMIFS('附表4-项目间分摊信息采集表'!$E:$E,'附表4-项目间分摊信息采集表'!$B:$B,S109:AB109)),20),IF(L109="测绘总建筑面积法",ROUND(SUM('附表4-项目间分摊信息采集表'!$F$5)/SUMPRODUCT(SUMIFS('附表4-项目间分摊信息采集表'!$F:$F,'附表4-项目间分摊信息采集表'!$B:$B,S109:AB109)),20),IF(L109="可售建筑面积法",ROUND(SUM('附表4-项目间分摊信息采集表'!$G$5)/SUMPRODUCT(SUMIFS('附表4-项目间分摊信息采集表'!$G:$G,'附表4-项目间分摊信息采集表'!$B:$B,S109:AB109)),20),IF(L109="其他分摊方法",ROUND(SUM('附表4-项目间分摊信息采集表'!$H$5)/SUMPRODUCT(SUMIFS('附表4-项目间分摊信息采集表'!$H:$H,'附表4-项目间分摊信息采集表'!$B:$B,S109:AB109)),20),IF(L109="手工填写分摊比例","请填写分摊比例",100%))))),IF(COUNTA(S109:AB109)&gt;=1,0%,100%)),100%)</f>
        <v>0.338555832480367</v>
      </c>
      <c r="N109" s="97">
        <f>SUMIFS('附表7-扣除项目明细采集底稿'!$R:$R,'附表7-扣除项目明细采集底稿'!$G:$G,B109)</f>
        <v>34591.46</v>
      </c>
      <c r="O109" s="90" t="s">
        <v>4651</v>
      </c>
      <c r="P109" s="113">
        <f>SUMIFS('附表7-扣除项目明细采集底稿'!$T:$T,'附表7-扣除项目明细采集底稿'!$G:$G,$B109)</f>
        <v>11711.14</v>
      </c>
      <c r="Q109" s="117">
        <f t="shared" si="4"/>
        <v>22880.32</v>
      </c>
      <c r="R109" s="118"/>
      <c r="S109" s="90" t="s">
        <v>11</v>
      </c>
      <c r="T109" s="90" t="s">
        <v>46</v>
      </c>
      <c r="U109" s="90" t="s">
        <v>371</v>
      </c>
      <c r="V109" s="90"/>
      <c r="W109" s="90"/>
      <c r="X109" s="90"/>
      <c r="Y109" s="90"/>
      <c r="Z109" s="90"/>
      <c r="AA109" s="90"/>
      <c r="AB109" s="90"/>
    </row>
    <row r="110" s="80" customFormat="1" ht="30.05" spans="1:28">
      <c r="A110" s="90">
        <v>140</v>
      </c>
      <c r="B110" s="91" t="s">
        <v>4790</v>
      </c>
      <c r="C110" s="100" t="s">
        <v>4791</v>
      </c>
      <c r="D110" s="93" t="s">
        <v>4648</v>
      </c>
      <c r="E110" s="98" t="s">
        <v>4792</v>
      </c>
      <c r="F110" s="95">
        <v>44271</v>
      </c>
      <c r="G110" s="96">
        <v>10088430</v>
      </c>
      <c r="H110" s="97">
        <v>0</v>
      </c>
      <c r="I110" s="96" t="s">
        <v>4650</v>
      </c>
      <c r="J110" s="90" t="s">
        <v>4650</v>
      </c>
      <c r="K110" s="90" t="s">
        <v>4650</v>
      </c>
      <c r="L110" s="90"/>
      <c r="M110" s="112">
        <f>IFERROR(IF(COUNTIFS(S110:AB110,清算项目基本情况表!$D$6)&gt;=1,IF(L110="占地面积法",ROUND(SUM('附表4-项目间分摊信息采集表'!$E$5)/SUMPRODUCT(SUMIFS('附表4-项目间分摊信息采集表'!$E:$E,'附表4-项目间分摊信息采集表'!$B:$B,S110:AB110)),20),IF(L110="测绘总建筑面积法",ROUND(SUM('附表4-项目间分摊信息采集表'!$F$5)/SUMPRODUCT(SUMIFS('附表4-项目间分摊信息采集表'!$F:$F,'附表4-项目间分摊信息采集表'!$B:$B,S110:AB110)),20),IF(L110="可售建筑面积法",ROUND(SUM('附表4-项目间分摊信息采集表'!$G$5)/SUMPRODUCT(SUMIFS('附表4-项目间分摊信息采集表'!$G:$G,'附表4-项目间分摊信息采集表'!$B:$B,S110:AB110)),20),IF(L110="其他分摊方法",ROUND(SUM('附表4-项目间分摊信息采集表'!$H$5)/SUMPRODUCT(SUMIFS('附表4-项目间分摊信息采集表'!$H:$H,'附表4-项目间分摊信息采集表'!$B:$B,S110:AB110)),20),IF(L110="手工填写分摊比例","请填写分摊比例",100%))))),IF(COUNTA(S110:AB110)&gt;=1,0%,100%)),100%)</f>
        <v>1</v>
      </c>
      <c r="N110" s="97">
        <f>SUMIFS('附表7-扣除项目明细采集底稿'!$R:$R,'附表7-扣除项目明细采集底稿'!$G:$G,B110)</f>
        <v>0</v>
      </c>
      <c r="O110" s="90" t="s">
        <v>4651</v>
      </c>
      <c r="P110" s="113">
        <f>SUMIFS('附表7-扣除项目明细采集底稿'!$T:$T,'附表7-扣除项目明细采集底稿'!$G:$G,$B110)</f>
        <v>0</v>
      </c>
      <c r="Q110" s="117">
        <f t="shared" si="4"/>
        <v>0</v>
      </c>
      <c r="R110" s="118"/>
      <c r="S110" s="90"/>
      <c r="T110" s="90"/>
      <c r="U110" s="90"/>
      <c r="V110" s="90"/>
      <c r="W110" s="90"/>
      <c r="X110" s="90"/>
      <c r="Y110" s="90"/>
      <c r="Z110" s="90"/>
      <c r="AA110" s="90"/>
      <c r="AB110" s="90"/>
    </row>
    <row r="111" s="80" customFormat="1" ht="30.05" spans="1:28">
      <c r="A111" s="90">
        <v>141</v>
      </c>
      <c r="B111" s="91" t="s">
        <v>4289</v>
      </c>
      <c r="C111" s="100" t="s">
        <v>4793</v>
      </c>
      <c r="D111" s="93" t="s">
        <v>4648</v>
      </c>
      <c r="E111" s="98" t="s">
        <v>4792</v>
      </c>
      <c r="F111" s="95">
        <v>44271</v>
      </c>
      <c r="G111" s="96">
        <v>0</v>
      </c>
      <c r="H111" s="97">
        <v>43820.19</v>
      </c>
      <c r="I111" s="96" t="s">
        <v>4650</v>
      </c>
      <c r="J111" s="90" t="s">
        <v>4650</v>
      </c>
      <c r="K111" s="90" t="s">
        <v>4650</v>
      </c>
      <c r="L111" s="90"/>
      <c r="M111" s="112">
        <f>IFERROR(IF(COUNTIFS(S111:AB111,清算项目基本情况表!$D$6)&gt;=1,IF(L111="占地面积法",ROUND(SUM('附表4-项目间分摊信息采集表'!$E$5)/SUMPRODUCT(SUMIFS('附表4-项目间分摊信息采集表'!$E:$E,'附表4-项目间分摊信息采集表'!$B:$B,S111:AB111)),20),IF(L111="测绘总建筑面积法",ROUND(SUM('附表4-项目间分摊信息采集表'!$F$5)/SUMPRODUCT(SUMIFS('附表4-项目间分摊信息采集表'!$F:$F,'附表4-项目间分摊信息采集表'!$B:$B,S111:AB111)),20),IF(L111="可售建筑面积法",ROUND(SUM('附表4-项目间分摊信息采集表'!$G$5)/SUMPRODUCT(SUMIFS('附表4-项目间分摊信息采集表'!$G:$G,'附表4-项目间分摊信息采集表'!$B:$B,S111:AB111)),20),IF(L111="其他分摊方法",ROUND(SUM('附表4-项目间分摊信息采集表'!$H$5)/SUMPRODUCT(SUMIFS('附表4-项目间分摊信息采集表'!$H:$H,'附表4-项目间分摊信息采集表'!$B:$B,S111:AB111)),20),IF(L111="手工填写分摊比例","请填写分摊比例",100%))))),IF(COUNTA(S111:AB111)&gt;=1,0%,100%)),100%)</f>
        <v>1</v>
      </c>
      <c r="N111" s="97">
        <f>SUMIFS('附表7-扣除项目明细采集底稿'!$R:$R,'附表7-扣除项目明细采集底稿'!$G:$G,B111)</f>
        <v>0</v>
      </c>
      <c r="O111" s="90" t="s">
        <v>4651</v>
      </c>
      <c r="P111" s="113">
        <f>SUMIFS('附表7-扣除项目明细采集底稿'!$T:$T,'附表7-扣除项目明细采集底稿'!$G:$G,$B111)</f>
        <v>0</v>
      </c>
      <c r="Q111" s="117">
        <f t="shared" si="4"/>
        <v>0</v>
      </c>
      <c r="R111" s="118"/>
      <c r="S111" s="90"/>
      <c r="T111" s="90"/>
      <c r="U111" s="90"/>
      <c r="V111" s="90"/>
      <c r="W111" s="90"/>
      <c r="X111" s="90"/>
      <c r="Y111" s="90"/>
      <c r="Z111" s="90"/>
      <c r="AA111" s="90"/>
      <c r="AB111" s="90"/>
    </row>
    <row r="112" s="80" customFormat="1" ht="30.05" spans="1:28">
      <c r="A112" s="90">
        <v>142</v>
      </c>
      <c r="B112" s="91" t="s">
        <v>4458</v>
      </c>
      <c r="C112" s="100" t="s">
        <v>4794</v>
      </c>
      <c r="D112" s="93" t="s">
        <v>4648</v>
      </c>
      <c r="E112" s="98" t="s">
        <v>4792</v>
      </c>
      <c r="F112" s="95">
        <v>44271</v>
      </c>
      <c r="G112" s="96">
        <v>164355.95</v>
      </c>
      <c r="H112" s="97">
        <v>150785.28</v>
      </c>
      <c r="I112" s="96" t="s">
        <v>4650</v>
      </c>
      <c r="J112" s="90" t="s">
        <v>4650</v>
      </c>
      <c r="K112" s="90" t="s">
        <v>15</v>
      </c>
      <c r="L112" s="90" t="s">
        <v>351</v>
      </c>
      <c r="M112" s="112">
        <f>IFERROR(IF(COUNTIFS(S112:AB112,清算项目基本情况表!$D$6)&gt;=1,IF(L112="占地面积法",ROUND(SUM('附表4-项目间分摊信息采集表'!$E$5)/SUMPRODUCT(SUMIFS('附表4-项目间分摊信息采集表'!$E:$E,'附表4-项目间分摊信息采集表'!$B:$B,S112:AB112)),20),IF(L112="测绘总建筑面积法",ROUND(SUM('附表4-项目间分摊信息采集表'!$F$5)/SUMPRODUCT(SUMIFS('附表4-项目间分摊信息采集表'!$F:$F,'附表4-项目间分摊信息采集表'!$B:$B,S112:AB112)),20),IF(L112="可售建筑面积法",ROUND(SUM('附表4-项目间分摊信息采集表'!$G$5)/SUMPRODUCT(SUMIFS('附表4-项目间分摊信息采集表'!$G:$G,'附表4-项目间分摊信息采集表'!$B:$B,S112:AB112)),20),IF(L112="其他分摊方法",ROUND(SUM('附表4-项目间分摊信息采集表'!$H$5)/SUMPRODUCT(SUMIFS('附表4-项目间分摊信息采集表'!$H:$H,'附表4-项目间分摊信息采集表'!$B:$B,S112:AB112)),20),IF(L112="手工填写分摊比例","请填写分摊比例",100%))))),IF(COUNTA(S112:AB112)&gt;=1,0%,100%)),100%)</f>
        <v>0.338555832480367</v>
      </c>
      <c r="N112" s="97">
        <f>SUMIFS('附表7-扣除项目明细采集底稿'!$R:$R,'附表7-扣除项目明细采集底稿'!$G:$G,B112)</f>
        <v>150785.277798165</v>
      </c>
      <c r="O112" s="90" t="s">
        <v>4651</v>
      </c>
      <c r="P112" s="113">
        <f>SUMIFS('附表7-扣除项目明细采集底稿'!$T:$T,'附表7-扣除项目明细采集底稿'!$G:$G,$B112)</f>
        <v>51049.24</v>
      </c>
      <c r="Q112" s="117">
        <f t="shared" si="4"/>
        <v>99736.04</v>
      </c>
      <c r="R112" s="118"/>
      <c r="S112" s="90" t="s">
        <v>11</v>
      </c>
      <c r="T112" s="90" t="s">
        <v>46</v>
      </c>
      <c r="U112" s="90" t="s">
        <v>371</v>
      </c>
      <c r="V112" s="90"/>
      <c r="W112" s="90"/>
      <c r="X112" s="90"/>
      <c r="Y112" s="90"/>
      <c r="Z112" s="90"/>
      <c r="AA112" s="90"/>
      <c r="AB112" s="90"/>
    </row>
    <row r="113" s="80" customFormat="1" ht="30.05" spans="1:28">
      <c r="A113" s="90">
        <v>143</v>
      </c>
      <c r="B113" s="91" t="s">
        <v>4142</v>
      </c>
      <c r="C113" s="100" t="s">
        <v>4795</v>
      </c>
      <c r="D113" s="93" t="s">
        <v>4648</v>
      </c>
      <c r="E113" s="98" t="s">
        <v>4792</v>
      </c>
      <c r="F113" s="95">
        <v>44271</v>
      </c>
      <c r="G113" s="96">
        <v>249434.38</v>
      </c>
      <c r="H113" s="97">
        <v>228838.88</v>
      </c>
      <c r="I113" s="96" t="s">
        <v>4650</v>
      </c>
      <c r="J113" s="90" t="s">
        <v>4650</v>
      </c>
      <c r="K113" s="90" t="s">
        <v>15</v>
      </c>
      <c r="L113" s="90" t="s">
        <v>351</v>
      </c>
      <c r="M113" s="112">
        <f>IFERROR(IF(COUNTIFS(S113:AB113,清算项目基本情况表!$D$6)&gt;=1,IF(L113="占地面积法",ROUND(SUM('附表4-项目间分摊信息采集表'!$E$5)/SUMPRODUCT(SUMIFS('附表4-项目间分摊信息采集表'!$E:$E,'附表4-项目间分摊信息采集表'!$B:$B,S113:AB113)),20),IF(L113="测绘总建筑面积法",ROUND(SUM('附表4-项目间分摊信息采集表'!$F$5)/SUMPRODUCT(SUMIFS('附表4-项目间分摊信息采集表'!$F:$F,'附表4-项目间分摊信息采集表'!$B:$B,S113:AB113)),20),IF(L113="可售建筑面积法",ROUND(SUM('附表4-项目间分摊信息采集表'!$G$5)/SUMPRODUCT(SUMIFS('附表4-项目间分摊信息采集表'!$G:$G,'附表4-项目间分摊信息采集表'!$B:$B,S113:AB113)),20),IF(L113="其他分摊方法",ROUND(SUM('附表4-项目间分摊信息采集表'!$H$5)/SUMPRODUCT(SUMIFS('附表4-项目间分摊信息采集表'!$H:$H,'附表4-项目间分摊信息采集表'!$B:$B,S113:AB113)),20),IF(L113="手工填写分摊比例","请填写分摊比例",100%))))),IF(COUNTA(S113:AB113)&gt;=1,0%,100%)),100%)</f>
        <v>0.338555832480367</v>
      </c>
      <c r="N113" s="97">
        <f>SUMIFS('附表7-扣除项目明细采集底稿'!$R:$R,'附表7-扣除项目明细采集底稿'!$G:$G,B113)</f>
        <v>228838.88</v>
      </c>
      <c r="O113" s="90" t="s">
        <v>4651</v>
      </c>
      <c r="P113" s="113">
        <f>SUMIFS('附表7-扣除项目明细采集底稿'!$T:$T,'附表7-扣除项目明细采集底稿'!$G:$G,$B113)</f>
        <v>77474.74</v>
      </c>
      <c r="Q113" s="117">
        <f t="shared" si="4"/>
        <v>151364.14</v>
      </c>
      <c r="R113" s="118"/>
      <c r="S113" s="90" t="s">
        <v>11</v>
      </c>
      <c r="T113" s="90" t="s">
        <v>46</v>
      </c>
      <c r="U113" s="90" t="s">
        <v>371</v>
      </c>
      <c r="V113" s="90"/>
      <c r="W113" s="90"/>
      <c r="X113" s="90"/>
      <c r="Y113" s="90"/>
      <c r="Z113" s="90"/>
      <c r="AA113" s="90"/>
      <c r="AB113" s="90"/>
    </row>
    <row r="114" s="80" customFormat="1" ht="30.05" spans="1:28">
      <c r="A114" s="90">
        <v>144</v>
      </c>
      <c r="B114" s="91" t="s">
        <v>4231</v>
      </c>
      <c r="C114" s="100" t="s">
        <v>4796</v>
      </c>
      <c r="D114" s="93" t="s">
        <v>4648</v>
      </c>
      <c r="E114" s="98" t="s">
        <v>4792</v>
      </c>
      <c r="F114" s="95">
        <v>44271</v>
      </c>
      <c r="G114" s="96">
        <v>0</v>
      </c>
      <c r="H114" s="97">
        <v>1130906.5</v>
      </c>
      <c r="I114" s="96" t="s">
        <v>4650</v>
      </c>
      <c r="J114" s="90" t="s">
        <v>4650</v>
      </c>
      <c r="K114" s="90" t="s">
        <v>15</v>
      </c>
      <c r="L114" s="90" t="s">
        <v>4719</v>
      </c>
      <c r="M114" s="112">
        <f>IFERROR(IF(COUNTIFS(S114:AB114,清算项目基本情况表!$D$6)&gt;=1,IF(L114="占地面积法",ROUND(SUM('附表4-项目间分摊信息采集表'!$E$5)/SUMPRODUCT(SUMIFS('附表4-项目间分摊信息采集表'!$E:$E,'附表4-项目间分摊信息采集表'!$B:$B,S114:AB114)),20),IF(L114="测绘总建筑面积法",ROUND(SUM('附表4-项目间分摊信息采集表'!$F$5)/SUMPRODUCT(SUMIFS('附表4-项目间分摊信息采集表'!$F:$F,'附表4-项目间分摊信息采集表'!$B:$B,S114:AB114)),20),IF(L114="可售建筑面积法",ROUND(SUM('附表4-项目间分摊信息采集表'!$G$5)/SUMPRODUCT(SUMIFS('附表4-项目间分摊信息采集表'!$G:$G,'附表4-项目间分摊信息采集表'!$B:$B,S114:AB114)),20),IF(L114="其他分摊方法",ROUND(SUM('附表4-项目间分摊信息采集表'!$H$5)/SUMPRODUCT(SUMIFS('附表4-项目间分摊信息采集表'!$H:$H,'附表4-项目间分摊信息采集表'!$B:$B,S114:AB114)),20),IF(L114="手工填写分摊比例","请填写分摊比例",100%))))),IF(COUNTA(S114:AB114)&gt;=1,0%,100%)),100%)</f>
        <v>0.109829243890136</v>
      </c>
      <c r="N114" s="97">
        <f>SUMIFS('附表7-扣除项目明细采集底稿'!$R:$R,'附表7-扣除项目明细采集底稿'!$G:$G,B114)</f>
        <v>1130906.5</v>
      </c>
      <c r="O114" s="90" t="s">
        <v>4651</v>
      </c>
      <c r="P114" s="113">
        <f>SUMIFS('附表7-扣除项目明细采集底稿'!$T:$T,'附表7-扣除项目明细采集底稿'!$G:$G,$B114)</f>
        <v>124206.61</v>
      </c>
      <c r="Q114" s="117">
        <f t="shared" si="4"/>
        <v>1006699.89</v>
      </c>
      <c r="R114" s="118"/>
      <c r="S114" s="90" t="s">
        <v>11</v>
      </c>
      <c r="T114" s="90" t="s">
        <v>46</v>
      </c>
      <c r="U114" s="90" t="s">
        <v>371</v>
      </c>
      <c r="V114" s="90"/>
      <c r="W114" s="90"/>
      <c r="X114" s="90"/>
      <c r="Y114" s="90"/>
      <c r="Z114" s="90"/>
      <c r="AA114" s="90"/>
      <c r="AB114" s="90"/>
    </row>
    <row r="115" s="80" customFormat="1" ht="15.05" spans="1:28">
      <c r="A115" s="90">
        <v>19</v>
      </c>
      <c r="B115" s="91" t="s">
        <v>4188</v>
      </c>
      <c r="C115" s="99" t="s">
        <v>4797</v>
      </c>
      <c r="D115" s="93" t="s">
        <v>4655</v>
      </c>
      <c r="E115" s="99" t="s">
        <v>4798</v>
      </c>
      <c r="F115" s="95">
        <v>44148</v>
      </c>
      <c r="G115" s="96">
        <v>292000</v>
      </c>
      <c r="H115" s="97">
        <v>193805.31</v>
      </c>
      <c r="I115" s="96" t="s">
        <v>4650</v>
      </c>
      <c r="J115" s="90" t="s">
        <v>4650</v>
      </c>
      <c r="K115" s="90" t="s">
        <v>15</v>
      </c>
      <c r="L115" s="90" t="s">
        <v>351</v>
      </c>
      <c r="M115" s="112">
        <f>IFERROR(IF(COUNTIFS(S115:AB115,清算项目基本情况表!$D$6)&gt;=1,IF(L115="占地面积法",ROUND(SUM('附表4-项目间分摊信息采集表'!$E$5)/SUMPRODUCT(SUMIFS('附表4-项目间分摊信息采集表'!$E:$E,'附表4-项目间分摊信息采集表'!$B:$B,S115:AB115)),20),IF(L115="测绘总建筑面积法",ROUND(SUM('附表4-项目间分摊信息采集表'!$F$5)/SUMPRODUCT(SUMIFS('附表4-项目间分摊信息采集表'!$F:$F,'附表4-项目间分摊信息采集表'!$B:$B,S115:AB115)),20),IF(L115="可售建筑面积法",ROUND(SUM('附表4-项目间分摊信息采集表'!$G$5)/SUMPRODUCT(SUMIFS('附表4-项目间分摊信息采集表'!$G:$G,'附表4-项目间分摊信息采集表'!$B:$B,S115:AB115)),20),IF(L115="其他分摊方法",ROUND(SUM('附表4-项目间分摊信息采集表'!$H$5)/SUMPRODUCT(SUMIFS('附表4-项目间分摊信息采集表'!$H:$H,'附表4-项目间分摊信息采集表'!$B:$B,S115:AB115)),20),IF(L115="手工填写分摊比例","请填写分摊比例",100%))))),IF(COUNTA(S115:AB115)&gt;=1,0%,100%)),100%)</f>
        <v>0.338555832480367</v>
      </c>
      <c r="N115" s="97">
        <f>SUMIFS('附表7-扣除项目明细采集底稿'!$R:$R,'附表7-扣除项目明细采集底稿'!$G:$G,B115)</f>
        <v>193805.31</v>
      </c>
      <c r="O115" s="90" t="s">
        <v>4651</v>
      </c>
      <c r="P115" s="113">
        <f>SUMIFS('附表7-扣除项目明细采集底稿'!$T:$T,'附表7-扣除项目明细采集底稿'!$G:$G,$B115)</f>
        <v>65613.92</v>
      </c>
      <c r="Q115" s="117">
        <f t="shared" si="4"/>
        <v>128191.39</v>
      </c>
      <c r="R115" s="118"/>
      <c r="S115" s="90" t="s">
        <v>11</v>
      </c>
      <c r="T115" s="90" t="s">
        <v>46</v>
      </c>
      <c r="U115" s="90" t="s">
        <v>371</v>
      </c>
      <c r="V115" s="90"/>
      <c r="W115" s="90"/>
      <c r="X115" s="90"/>
      <c r="Y115" s="90"/>
      <c r="Z115" s="90"/>
      <c r="AA115" s="90"/>
      <c r="AB115" s="90"/>
    </row>
    <row r="116" s="80" customFormat="1" ht="30.05" spans="1:28">
      <c r="A116" s="90">
        <v>26</v>
      </c>
      <c r="B116" s="91" t="s">
        <v>2790</v>
      </c>
      <c r="C116" s="92" t="s">
        <v>4799</v>
      </c>
      <c r="D116" s="93" t="s">
        <v>4648</v>
      </c>
      <c r="E116" s="94" t="s">
        <v>4800</v>
      </c>
      <c r="F116" s="95">
        <v>43678</v>
      </c>
      <c r="G116" s="96">
        <v>2750000</v>
      </c>
      <c r="H116" s="97">
        <v>2594339.62</v>
      </c>
      <c r="I116" s="96" t="s">
        <v>4650</v>
      </c>
      <c r="J116" s="90" t="s">
        <v>4650</v>
      </c>
      <c r="K116" s="90" t="s">
        <v>4650</v>
      </c>
      <c r="L116" s="90"/>
      <c r="M116" s="112">
        <f>IFERROR(IF(COUNTIFS(S116:AB116,清算项目基本情况表!$D$6)&gt;=1,IF(L116="占地面积法",ROUND(SUM('附表4-项目间分摊信息采集表'!$E$5)/SUMPRODUCT(SUMIFS('附表4-项目间分摊信息采集表'!$E:$E,'附表4-项目间分摊信息采集表'!$B:$B,S116:AB116)),20),IF(L116="测绘总建筑面积法",ROUND(SUM('附表4-项目间分摊信息采集表'!$F$5)/SUMPRODUCT(SUMIFS('附表4-项目间分摊信息采集表'!$F:$F,'附表4-项目间分摊信息采集表'!$B:$B,S116:AB116)),20),IF(L116="可售建筑面积法",ROUND(SUM('附表4-项目间分摊信息采集表'!$G$5)/SUMPRODUCT(SUMIFS('附表4-项目间分摊信息采集表'!$G:$G,'附表4-项目间分摊信息采集表'!$B:$B,S116:AB116)),20),IF(L116="其他分摊方法",ROUND(SUM('附表4-项目间分摊信息采集表'!$H$5)/SUMPRODUCT(SUMIFS('附表4-项目间分摊信息采集表'!$H:$H,'附表4-项目间分摊信息采集表'!$B:$B,S116:AB116)),20),IF(L116="手工填写分摊比例","请填写分摊比例",100%))))),IF(COUNTA(S116:AB116)&gt;=1,0%,100%)),100%)</f>
        <v>1</v>
      </c>
      <c r="N116" s="97">
        <f>SUMIFS('附表7-扣除项目明细采集底稿'!$R:$R,'附表7-扣除项目明细采集底稿'!$G:$G,B116)</f>
        <v>119059.42</v>
      </c>
      <c r="O116" s="90" t="s">
        <v>4651</v>
      </c>
      <c r="P116" s="113">
        <f>SUMIFS('附表7-扣除项目明细采集底稿'!$T:$T,'附表7-扣除项目明细采集底稿'!$G:$G,$B116)</f>
        <v>119059.42</v>
      </c>
      <c r="Q116" s="117">
        <f t="shared" si="4"/>
        <v>0</v>
      </c>
      <c r="R116" s="118"/>
      <c r="S116" s="90"/>
      <c r="T116" s="90"/>
      <c r="U116" s="90"/>
      <c r="V116" s="90"/>
      <c r="W116" s="90"/>
      <c r="X116" s="90"/>
      <c r="Y116" s="90"/>
      <c r="Z116" s="90"/>
      <c r="AA116" s="90"/>
      <c r="AB116" s="90"/>
    </row>
    <row r="117" s="80" customFormat="1" ht="15.05" spans="1:28">
      <c r="A117" s="90">
        <v>27</v>
      </c>
      <c r="B117" s="91" t="s">
        <v>3458</v>
      </c>
      <c r="C117" s="92" t="s">
        <v>4801</v>
      </c>
      <c r="D117" s="93" t="s">
        <v>4655</v>
      </c>
      <c r="E117" s="94" t="s">
        <v>2791</v>
      </c>
      <c r="F117" s="95">
        <v>43663</v>
      </c>
      <c r="G117" s="96">
        <v>145600</v>
      </c>
      <c r="H117" s="97">
        <v>144158.42</v>
      </c>
      <c r="I117" s="96" t="s">
        <v>4650</v>
      </c>
      <c r="J117" s="90" t="s">
        <v>4650</v>
      </c>
      <c r="K117" s="90" t="s">
        <v>4650</v>
      </c>
      <c r="L117" s="90"/>
      <c r="M117" s="112">
        <f>IFERROR(IF(COUNTIFS(S117:AB117,清算项目基本情况表!$D$6)&gt;=1,IF(L117="占地面积法",ROUND(SUM('附表4-项目间分摊信息采集表'!$E$5)/SUMPRODUCT(SUMIFS('附表4-项目间分摊信息采集表'!$E:$E,'附表4-项目间分摊信息采集表'!$B:$B,S117:AB117)),20),IF(L117="测绘总建筑面积法",ROUND(SUM('附表4-项目间分摊信息采集表'!$F$5)/SUMPRODUCT(SUMIFS('附表4-项目间分摊信息采集表'!$F:$F,'附表4-项目间分摊信息采集表'!$B:$B,S117:AB117)),20),IF(L117="可售建筑面积法",ROUND(SUM('附表4-项目间分摊信息采集表'!$G$5)/SUMPRODUCT(SUMIFS('附表4-项目间分摊信息采集表'!$G:$G,'附表4-项目间分摊信息采集表'!$B:$B,S117:AB117)),20),IF(L117="其他分摊方法",ROUND(SUM('附表4-项目间分摊信息采集表'!$H$5)/SUMPRODUCT(SUMIFS('附表4-项目间分摊信息采集表'!$H:$H,'附表4-项目间分摊信息采集表'!$B:$B,S117:AB117)),20),IF(L117="手工填写分摊比例","请填写分摊比例",100%))))),IF(COUNTA(S117:AB117)&gt;=1,0%,100%)),100%)</f>
        <v>1</v>
      </c>
      <c r="N117" s="97">
        <f>SUMIFS('附表7-扣除项目明细采集底稿'!$R:$R,'附表7-扣除项目明细采集底稿'!$G:$G,B117)</f>
        <v>25099.01</v>
      </c>
      <c r="O117" s="90" t="s">
        <v>4651</v>
      </c>
      <c r="P117" s="113">
        <f>SUMIFS('附表7-扣除项目明细采集底稿'!$T:$T,'附表7-扣除项目明细采集底稿'!$G:$G,$B117)</f>
        <v>25099.01</v>
      </c>
      <c r="Q117" s="117">
        <f t="shared" si="4"/>
        <v>0</v>
      </c>
      <c r="R117" s="118"/>
      <c r="S117" s="90"/>
      <c r="T117" s="90"/>
      <c r="U117" s="90"/>
      <c r="V117" s="90"/>
      <c r="W117" s="90"/>
      <c r="X117" s="90"/>
      <c r="Y117" s="90"/>
      <c r="Z117" s="90"/>
      <c r="AA117" s="90"/>
      <c r="AB117" s="90"/>
    </row>
    <row r="118" s="80" customFormat="1" ht="15.05" spans="1:28">
      <c r="A118" s="90">
        <v>23</v>
      </c>
      <c r="B118" s="91" t="s">
        <v>2397</v>
      </c>
      <c r="C118" s="99" t="s">
        <v>4802</v>
      </c>
      <c r="D118" s="93" t="s">
        <v>4675</v>
      </c>
      <c r="E118" s="94" t="s">
        <v>2388</v>
      </c>
      <c r="F118" s="95">
        <v>43463</v>
      </c>
      <c r="G118" s="96">
        <v>80000</v>
      </c>
      <c r="H118" s="97">
        <v>75471.7</v>
      </c>
      <c r="I118" s="96" t="s">
        <v>4650</v>
      </c>
      <c r="J118" s="90" t="s">
        <v>4650</v>
      </c>
      <c r="K118" s="90" t="s">
        <v>15</v>
      </c>
      <c r="L118" s="90" t="s">
        <v>351</v>
      </c>
      <c r="M118" s="112">
        <f>IFERROR(IF(COUNTIFS(S118:AB118,清算项目基本情况表!$D$6)&gt;=1,IF(L118="占地面积法",ROUND(SUM('附表4-项目间分摊信息采集表'!$E$5)/SUMPRODUCT(SUMIFS('附表4-项目间分摊信息采集表'!$E:$E,'附表4-项目间分摊信息采集表'!$B:$B,S118:AB118)),20),IF(L118="测绘总建筑面积法",ROUND(SUM('附表4-项目间分摊信息采集表'!$F$5)/SUMPRODUCT(SUMIFS('附表4-项目间分摊信息采集表'!$F:$F,'附表4-项目间分摊信息采集表'!$B:$B,S118:AB118)),20),IF(L118="可售建筑面积法",ROUND(SUM('附表4-项目间分摊信息采集表'!$G$5)/SUMPRODUCT(SUMIFS('附表4-项目间分摊信息采集表'!$G:$G,'附表4-项目间分摊信息采集表'!$B:$B,S118:AB118)),20),IF(L118="其他分摊方法",ROUND(SUM('附表4-项目间分摊信息采集表'!$H$5)/SUMPRODUCT(SUMIFS('附表4-项目间分摊信息采集表'!$H:$H,'附表4-项目间分摊信息采集表'!$B:$B,S118:AB118)),20),IF(L118="手工填写分摊比例","请填写分摊比例",100%))))),IF(COUNTA(S118:AB118)&gt;=1,0%,100%)),100%)</f>
        <v>0.338555832480367</v>
      </c>
      <c r="N118" s="97">
        <f>SUMIFS('附表7-扣除项目明细采集底稿'!$R:$R,'附表7-扣除项目明细采集底稿'!$G:$G,B118)</f>
        <v>76626.81</v>
      </c>
      <c r="O118" s="90" t="s">
        <v>4651</v>
      </c>
      <c r="P118" s="113">
        <f>SUMIFS('附表7-扣除项目明细采集底稿'!$T:$T,'附表7-扣除项目明细采集底稿'!$G:$G,$B118)</f>
        <v>25942.46</v>
      </c>
      <c r="Q118" s="117">
        <f t="shared" si="4"/>
        <v>50684.35</v>
      </c>
      <c r="R118" s="118"/>
      <c r="S118" s="90" t="s">
        <v>11</v>
      </c>
      <c r="T118" s="90" t="s">
        <v>46</v>
      </c>
      <c r="U118" s="90" t="s">
        <v>371</v>
      </c>
      <c r="V118" s="90"/>
      <c r="W118" s="90"/>
      <c r="X118" s="90"/>
      <c r="Y118" s="90"/>
      <c r="Z118" s="90"/>
      <c r="AA118" s="90"/>
      <c r="AB118" s="90"/>
    </row>
    <row r="119" s="80" customFormat="1" ht="30.05" spans="1:28">
      <c r="A119" s="90">
        <v>225</v>
      </c>
      <c r="B119" s="91" t="s">
        <v>4490</v>
      </c>
      <c r="C119" s="99" t="s">
        <v>4803</v>
      </c>
      <c r="D119" s="93" t="s">
        <v>4648</v>
      </c>
      <c r="E119" s="94" t="s">
        <v>4491</v>
      </c>
      <c r="F119" s="95">
        <v>44348</v>
      </c>
      <c r="G119" s="96">
        <v>385274.6</v>
      </c>
      <c r="H119" s="97">
        <v>0</v>
      </c>
      <c r="I119" s="96" t="s">
        <v>4650</v>
      </c>
      <c r="J119" s="90" t="s">
        <v>4650</v>
      </c>
      <c r="K119" s="90" t="s">
        <v>4650</v>
      </c>
      <c r="L119" s="90"/>
      <c r="M119" s="112">
        <f>IFERROR(IF(COUNTIFS(S119:AB119,清算项目基本情况表!$D$6)&gt;=1,IF(L119="占地面积法",ROUND(SUM('附表4-项目间分摊信息采集表'!$E$5)/SUMPRODUCT(SUMIFS('附表4-项目间分摊信息采集表'!$E:$E,'附表4-项目间分摊信息采集表'!$B:$B,S119:AB119)),20),IF(L119="测绘总建筑面积法",ROUND(SUM('附表4-项目间分摊信息采集表'!$F$5)/SUMPRODUCT(SUMIFS('附表4-项目间分摊信息采集表'!$F:$F,'附表4-项目间分摊信息采集表'!$B:$B,S119:AB119)),20),IF(L119="可售建筑面积法",ROUND(SUM('附表4-项目间分摊信息采集表'!$G$5)/SUMPRODUCT(SUMIFS('附表4-项目间分摊信息采集表'!$G:$G,'附表4-项目间分摊信息采集表'!$B:$B,S119:AB119)),20),IF(L119="其他分摊方法",ROUND(SUM('附表4-项目间分摊信息采集表'!$H$5)/SUMPRODUCT(SUMIFS('附表4-项目间分摊信息采集表'!$H:$H,'附表4-项目间分摊信息采集表'!$B:$B,S119:AB119)),20),IF(L119="手工填写分摊比例","请填写分摊比例",100%))))),IF(COUNTA(S119:AB119)&gt;=1,0%,100%)),100%)</f>
        <v>1</v>
      </c>
      <c r="N119" s="97">
        <f>SUMIFS('附表7-扣除项目明细采集底稿'!$R:$R,'附表7-扣除项目明细采集底稿'!$G:$G,B119)</f>
        <v>383274.6</v>
      </c>
      <c r="O119" s="90" t="s">
        <v>4651</v>
      </c>
      <c r="P119" s="113">
        <f>SUMIFS('附表7-扣除项目明细采集底稿'!$T:$T,'附表7-扣除项目明细采集底稿'!$G:$G,$B119)</f>
        <v>383274.6</v>
      </c>
      <c r="Q119" s="117"/>
      <c r="R119" s="118"/>
      <c r="S119" s="90"/>
      <c r="T119" s="90"/>
      <c r="U119" s="90"/>
      <c r="V119" s="90"/>
      <c r="W119" s="90"/>
      <c r="X119" s="90"/>
      <c r="Y119" s="90"/>
      <c r="Z119" s="90"/>
      <c r="AA119" s="90"/>
      <c r="AB119" s="90"/>
    </row>
    <row r="120" s="80" customFormat="1" ht="30.05" spans="1:28">
      <c r="A120" s="90">
        <v>31</v>
      </c>
      <c r="B120" s="91" t="s">
        <v>3735</v>
      </c>
      <c r="C120" s="100" t="s">
        <v>4804</v>
      </c>
      <c r="D120" s="93" t="s">
        <v>4648</v>
      </c>
      <c r="E120" s="99" t="s">
        <v>4805</v>
      </c>
      <c r="F120" s="95">
        <v>44130</v>
      </c>
      <c r="G120" s="96">
        <v>94864</v>
      </c>
      <c r="H120" s="97">
        <v>98502.75</v>
      </c>
      <c r="I120" s="96" t="s">
        <v>4650</v>
      </c>
      <c r="J120" s="90" t="s">
        <v>4650</v>
      </c>
      <c r="K120" s="90" t="s">
        <v>4650</v>
      </c>
      <c r="L120" s="90"/>
      <c r="M120" s="112">
        <f>IFERROR(IF(COUNTIFS(S120:AB120,清算项目基本情况表!$D$6)&gt;=1,IF(L120="占地面积法",ROUND(SUM('附表4-项目间分摊信息采集表'!$E$5)/SUMPRODUCT(SUMIFS('附表4-项目间分摊信息采集表'!$E:$E,'附表4-项目间分摊信息采集表'!$B:$B,S120:AB120)),20),IF(L120="测绘总建筑面积法",ROUND(SUM('附表4-项目间分摊信息采集表'!$F$5)/SUMPRODUCT(SUMIFS('附表4-项目间分摊信息采集表'!$F:$F,'附表4-项目间分摊信息采集表'!$B:$B,S120:AB120)),20),IF(L120="可售建筑面积法",ROUND(SUM('附表4-项目间分摊信息采集表'!$G$5)/SUMPRODUCT(SUMIFS('附表4-项目间分摊信息采集表'!$G:$G,'附表4-项目间分摊信息采集表'!$B:$B,S120:AB120)),20),IF(L120="其他分摊方法",ROUND(SUM('附表4-项目间分摊信息采集表'!$H$5)/SUMPRODUCT(SUMIFS('附表4-项目间分摊信息采集表'!$H:$H,'附表4-项目间分摊信息采集表'!$B:$B,S120:AB120)),20),IF(L120="手工填写分摊比例","请填写分摊比例",100%))))),IF(COUNTA(S120:AB120)&gt;=1,0%,100%)),100%)</f>
        <v>1</v>
      </c>
      <c r="N120" s="97">
        <f>SUMIFS('附表7-扣除项目明细采集底稿'!$R:$R,'附表7-扣除项目明细采集底稿'!$G:$G,B120)</f>
        <v>79926.61</v>
      </c>
      <c r="O120" s="90" t="s">
        <v>4651</v>
      </c>
      <c r="P120" s="113">
        <f>SUMIFS('附表7-扣除项目明细采集底稿'!$T:$T,'附表7-扣除项目明细采集底稿'!$G:$G,$B120)</f>
        <v>79926.61</v>
      </c>
      <c r="Q120" s="117">
        <f t="shared" ref="Q120:Q126" si="5">ROUND(SUM(N120)-SUM(O120)-SUM(P120),2)</f>
        <v>0</v>
      </c>
      <c r="R120" s="118"/>
      <c r="S120" s="90"/>
      <c r="T120" s="90"/>
      <c r="U120" s="90"/>
      <c r="V120" s="90"/>
      <c r="W120" s="90"/>
      <c r="X120" s="90"/>
      <c r="Y120" s="90"/>
      <c r="Z120" s="90"/>
      <c r="AA120" s="90"/>
      <c r="AB120" s="90"/>
    </row>
    <row r="121" s="80" customFormat="1" ht="15.05" spans="1:28">
      <c r="A121" s="90">
        <v>10</v>
      </c>
      <c r="B121" s="91" t="s">
        <v>3355</v>
      </c>
      <c r="C121" s="100" t="s">
        <v>4806</v>
      </c>
      <c r="D121" s="93" t="s">
        <v>4807</v>
      </c>
      <c r="E121" s="94" t="s">
        <v>3356</v>
      </c>
      <c r="F121" s="95">
        <v>44148</v>
      </c>
      <c r="G121" s="96">
        <v>334125</v>
      </c>
      <c r="H121" s="97">
        <v>330816.83</v>
      </c>
      <c r="I121" s="96" t="s">
        <v>4650</v>
      </c>
      <c r="J121" s="90" t="s">
        <v>4650</v>
      </c>
      <c r="K121" s="90" t="s">
        <v>4650</v>
      </c>
      <c r="L121" s="90"/>
      <c r="M121" s="112">
        <f>IFERROR(IF(COUNTIFS(S121:AB121,清算项目基本情况表!$D$6)&gt;=1,IF(L121="占地面积法",ROUND(SUM('附表4-项目间分摊信息采集表'!$E$5)/SUMPRODUCT(SUMIFS('附表4-项目间分摊信息采集表'!$E:$E,'附表4-项目间分摊信息采集表'!$B:$B,S121:AB121)),20),IF(L121="测绘总建筑面积法",ROUND(SUM('附表4-项目间分摊信息采集表'!$F$5)/SUMPRODUCT(SUMIFS('附表4-项目间分摊信息采集表'!$F:$F,'附表4-项目间分摊信息采集表'!$B:$B,S121:AB121)),20),IF(L121="可售建筑面积法",ROUND(SUM('附表4-项目间分摊信息采集表'!$G$5)/SUMPRODUCT(SUMIFS('附表4-项目间分摊信息采集表'!$G:$G,'附表4-项目间分摊信息采集表'!$B:$B,S121:AB121)),20),IF(L121="其他分摊方法",ROUND(SUM('附表4-项目间分摊信息采集表'!$H$5)/SUMPRODUCT(SUMIFS('附表4-项目间分摊信息采集表'!$H:$H,'附表4-项目间分摊信息采集表'!$B:$B,S121:AB121)),20),IF(L121="手工填写分摊比例","请填写分摊比例",100%))))),IF(COUNTA(S121:AB121)&gt;=1,0%,100%)),100%)</f>
        <v>1</v>
      </c>
      <c r="N121" s="97">
        <f>SUMIFS('附表7-扣除项目明细采集底稿'!$R:$R,'附表7-扣除项目明细采集底稿'!$G:$G,B121)</f>
        <v>330816.83</v>
      </c>
      <c r="O121" s="90" t="s">
        <v>4651</v>
      </c>
      <c r="P121" s="113">
        <f>SUMIFS('附表7-扣除项目明细采集底稿'!$T:$T,'附表7-扣除项目明细采集底稿'!$G:$G,$B121)</f>
        <v>330816.83</v>
      </c>
      <c r="Q121" s="117">
        <f t="shared" si="5"/>
        <v>0</v>
      </c>
      <c r="R121" s="118"/>
      <c r="S121" s="90"/>
      <c r="T121" s="90"/>
      <c r="U121" s="90"/>
      <c r="V121" s="90"/>
      <c r="W121" s="90"/>
      <c r="X121" s="90"/>
      <c r="Y121" s="90"/>
      <c r="Z121" s="90"/>
      <c r="AA121" s="90"/>
      <c r="AB121" s="90"/>
    </row>
    <row r="122" s="80" customFormat="1" ht="15.05" spans="1:28">
      <c r="A122" s="90">
        <v>67</v>
      </c>
      <c r="B122" s="91" t="s">
        <v>3539</v>
      </c>
      <c r="C122" s="100" t="s">
        <v>4808</v>
      </c>
      <c r="D122" s="93" t="s">
        <v>4655</v>
      </c>
      <c r="E122" s="99" t="s">
        <v>3540</v>
      </c>
      <c r="F122" s="95">
        <v>44148</v>
      </c>
      <c r="G122" s="96">
        <v>1000000</v>
      </c>
      <c r="H122" s="97">
        <v>943396.23</v>
      </c>
      <c r="I122" s="96" t="s">
        <v>4650</v>
      </c>
      <c r="J122" s="90" t="s">
        <v>4650</v>
      </c>
      <c r="K122" s="90" t="s">
        <v>15</v>
      </c>
      <c r="L122" s="90" t="s">
        <v>4809</v>
      </c>
      <c r="M122" s="112">
        <v>0.3183</v>
      </c>
      <c r="N122" s="97">
        <f>SUMIFS('附表7-扣除项目明细采集底稿'!$R:$R,'附表7-扣除项目明细采集底稿'!$G:$G,B122)</f>
        <v>1000000</v>
      </c>
      <c r="O122" s="90" t="s">
        <v>4651</v>
      </c>
      <c r="P122" s="113">
        <f>SUMIFS('附表7-扣除项目明细采集底稿'!$T:$T,'附表7-扣除项目明细采集底稿'!$G:$G,$B122)</f>
        <v>318300</v>
      </c>
      <c r="Q122" s="117">
        <f t="shared" si="5"/>
        <v>681700</v>
      </c>
      <c r="R122" s="118"/>
      <c r="S122" s="90" t="s">
        <v>11</v>
      </c>
      <c r="T122" s="90" t="s">
        <v>46</v>
      </c>
      <c r="U122" s="90" t="s">
        <v>371</v>
      </c>
      <c r="V122" s="90"/>
      <c r="W122" s="90"/>
      <c r="X122" s="90"/>
      <c r="Y122" s="90"/>
      <c r="Z122" s="90"/>
      <c r="AA122" s="90"/>
      <c r="AB122" s="90"/>
    </row>
    <row r="123" s="80" customFormat="1" ht="15.05" spans="1:28">
      <c r="A123" s="90">
        <v>146</v>
      </c>
      <c r="B123" s="91" t="s">
        <v>3546</v>
      </c>
      <c r="C123" s="100" t="s">
        <v>4810</v>
      </c>
      <c r="D123" s="93" t="s">
        <v>4675</v>
      </c>
      <c r="E123" s="99" t="s">
        <v>3547</v>
      </c>
      <c r="F123" s="107" t="s">
        <v>4811</v>
      </c>
      <c r="G123" s="96">
        <v>170000</v>
      </c>
      <c r="H123" s="97">
        <v>0</v>
      </c>
      <c r="I123" s="96" t="s">
        <v>4650</v>
      </c>
      <c r="J123" s="90" t="s">
        <v>4650</v>
      </c>
      <c r="K123" s="90" t="s">
        <v>15</v>
      </c>
      <c r="L123" s="90" t="s">
        <v>351</v>
      </c>
      <c r="M123" s="112">
        <f>IFERROR(IF(COUNTIFS(S123:AB123,清算项目基本情况表!$D$6)&gt;=1,IF(L123="占地面积法",ROUND(SUM('附表4-项目间分摊信息采集表'!$E$5)/SUMPRODUCT(SUMIFS('附表4-项目间分摊信息采集表'!$E:$E,'附表4-项目间分摊信息采集表'!$B:$B,S123:AB123)),20),IF(L123="测绘总建筑面积法",ROUND(SUM('附表4-项目间分摊信息采集表'!$F$5)/SUMPRODUCT(SUMIFS('附表4-项目间分摊信息采集表'!$F:$F,'附表4-项目间分摊信息采集表'!$B:$B,S123:AB123)),20),IF(L123="可售建筑面积法",ROUND(SUM('附表4-项目间分摊信息采集表'!$G$5)/SUMPRODUCT(SUMIFS('附表4-项目间分摊信息采集表'!$G:$G,'附表4-项目间分摊信息采集表'!$B:$B,S123:AB123)),20),IF(L123="其他分摊方法",ROUND(SUM('附表4-项目间分摊信息采集表'!$H$5)/SUMPRODUCT(SUMIFS('附表4-项目间分摊信息采集表'!$H:$H,'附表4-项目间分摊信息采集表'!$B:$B,S123:AB123)),20),IF(L123="手工填写分摊比例","请填写分摊比例",100%))))),IF(COUNTA(S123:AB123)&gt;=1,0%,100%)),100%)</f>
        <v>0.338555832480367</v>
      </c>
      <c r="N123" s="97">
        <f>SUMIFS('附表7-扣除项目明细采集底稿'!$R:$R,'附表7-扣除项目明细采集底稿'!$G:$G,B123)</f>
        <v>119801.98</v>
      </c>
      <c r="O123" s="90" t="s">
        <v>4651</v>
      </c>
      <c r="P123" s="113">
        <f>SUMIFS('附表7-扣除项目明细采集底稿'!$T:$T,'附表7-扣除项目明细采集底稿'!$G:$G,$B123)</f>
        <v>40559.66</v>
      </c>
      <c r="Q123" s="117">
        <f t="shared" si="5"/>
        <v>79242.32</v>
      </c>
      <c r="R123" s="118"/>
      <c r="S123" s="90" t="s">
        <v>11</v>
      </c>
      <c r="T123" s="90" t="s">
        <v>46</v>
      </c>
      <c r="U123" s="90" t="s">
        <v>371</v>
      </c>
      <c r="V123" s="90"/>
      <c r="W123" s="90"/>
      <c r="X123" s="90"/>
      <c r="Y123" s="90"/>
      <c r="Z123" s="90"/>
      <c r="AA123" s="90"/>
      <c r="AB123" s="90"/>
    </row>
    <row r="124" s="80" customFormat="1" ht="15.05" spans="1:28">
      <c r="A124" s="90">
        <v>145</v>
      </c>
      <c r="B124" s="91" t="s">
        <v>3505</v>
      </c>
      <c r="C124" s="100" t="s">
        <v>4812</v>
      </c>
      <c r="D124" s="93" t="s">
        <v>4675</v>
      </c>
      <c r="E124" s="99" t="s">
        <v>4813</v>
      </c>
      <c r="F124" s="107" t="s">
        <v>4811</v>
      </c>
      <c r="G124" s="96">
        <v>35000</v>
      </c>
      <c r="H124" s="97">
        <v>0</v>
      </c>
      <c r="I124" s="96" t="s">
        <v>4650</v>
      </c>
      <c r="J124" s="90" t="s">
        <v>4650</v>
      </c>
      <c r="K124" s="90" t="s">
        <v>15</v>
      </c>
      <c r="L124" s="90" t="s">
        <v>351</v>
      </c>
      <c r="M124" s="112">
        <f>IFERROR(IF(COUNTIFS(S124:AB124,清算项目基本情况表!$D$6)&gt;=1,IF(L124="占地面积法",ROUND(SUM('附表4-项目间分摊信息采集表'!$E$5)/SUMPRODUCT(SUMIFS('附表4-项目间分摊信息采集表'!$E:$E,'附表4-项目间分摊信息采集表'!$B:$B,S124:AB124)),20),IF(L124="测绘总建筑面积法",ROUND(SUM('附表4-项目间分摊信息采集表'!$F$5)/SUMPRODUCT(SUMIFS('附表4-项目间分摊信息采集表'!$F:$F,'附表4-项目间分摊信息采集表'!$B:$B,S124:AB124)),20),IF(L124="可售建筑面积法",ROUND(SUM('附表4-项目间分摊信息采集表'!$G$5)/SUMPRODUCT(SUMIFS('附表4-项目间分摊信息采集表'!$G:$G,'附表4-项目间分摊信息采集表'!$B:$B,S124:AB124)),20),IF(L124="其他分摊方法",ROUND(SUM('附表4-项目间分摊信息采集表'!$H$5)/SUMPRODUCT(SUMIFS('附表4-项目间分摊信息采集表'!$H:$H,'附表4-项目间分摊信息采集表'!$B:$B,S124:AB124)),20),IF(L124="手工填写分摊比例","请填写分摊比例",100%))))),IF(COUNTA(S124:AB124)&gt;=1,0%,100%)),100%)</f>
        <v>0.338555832480367</v>
      </c>
      <c r="N124" s="97">
        <f>SUMIFS('附表7-扣除项目明细采集底稿'!$R:$R,'附表7-扣除项目明细采集底稿'!$G:$G,B124)</f>
        <v>33018.87</v>
      </c>
      <c r="O124" s="90" t="s">
        <v>4651</v>
      </c>
      <c r="P124" s="113">
        <f>SUMIFS('附表7-扣除项目明细采集底稿'!$T:$T,'附表7-扣除项目明细采集底稿'!$G:$G,$B124)</f>
        <v>11178.73</v>
      </c>
      <c r="Q124" s="117">
        <f t="shared" si="5"/>
        <v>21840.14</v>
      </c>
      <c r="R124" s="118"/>
      <c r="S124" s="90" t="s">
        <v>11</v>
      </c>
      <c r="T124" s="90" t="s">
        <v>46</v>
      </c>
      <c r="U124" s="90" t="s">
        <v>371</v>
      </c>
      <c r="V124" s="90"/>
      <c r="W124" s="90"/>
      <c r="X124" s="90"/>
      <c r="Y124" s="90"/>
      <c r="Z124" s="90"/>
      <c r="AA124" s="90"/>
      <c r="AB124" s="90"/>
    </row>
    <row r="125" s="80" customFormat="1" ht="15.05" spans="1:28">
      <c r="A125" s="90">
        <v>160</v>
      </c>
      <c r="B125" s="91" t="s">
        <v>3693</v>
      </c>
      <c r="C125" s="100" t="s">
        <v>4814</v>
      </c>
      <c r="D125" s="93" t="s">
        <v>4675</v>
      </c>
      <c r="E125" s="99" t="s">
        <v>3694</v>
      </c>
      <c r="F125" s="95">
        <v>44166</v>
      </c>
      <c r="G125" s="96">
        <v>100000</v>
      </c>
      <c r="H125" s="97">
        <v>0</v>
      </c>
      <c r="I125" s="96" t="s">
        <v>4650</v>
      </c>
      <c r="J125" s="90" t="s">
        <v>4650</v>
      </c>
      <c r="K125" s="90" t="s">
        <v>15</v>
      </c>
      <c r="L125" s="90" t="s">
        <v>4809</v>
      </c>
      <c r="M125" s="112">
        <v>0.3183</v>
      </c>
      <c r="N125" s="97">
        <f>SUMIFS('附表7-扣除项目明细采集底稿'!$R:$R,'附表7-扣除项目明细采集底稿'!$G:$G,B125)</f>
        <v>94339.62</v>
      </c>
      <c r="O125" s="90" t="s">
        <v>4651</v>
      </c>
      <c r="P125" s="113">
        <f>SUMIFS('附表7-扣除项目明细采集底稿'!$T:$T,'附表7-扣除项目明细采集底稿'!$G:$G,$B125)</f>
        <v>30028.3</v>
      </c>
      <c r="Q125" s="117">
        <f t="shared" si="5"/>
        <v>64311.32</v>
      </c>
      <c r="R125" s="118"/>
      <c r="S125" s="90" t="s">
        <v>11</v>
      </c>
      <c r="T125" s="90" t="s">
        <v>46</v>
      </c>
      <c r="U125" s="90" t="s">
        <v>371</v>
      </c>
      <c r="V125" s="90"/>
      <c r="W125" s="90"/>
      <c r="X125" s="90"/>
      <c r="Y125" s="90"/>
      <c r="Z125" s="90"/>
      <c r="AA125" s="90"/>
      <c r="AB125" s="90"/>
    </row>
    <row r="126" s="80" customFormat="1" ht="15.05" spans="1:28">
      <c r="A126" s="90">
        <v>182</v>
      </c>
      <c r="B126" s="91" t="s">
        <v>4302</v>
      </c>
      <c r="C126" s="100" t="s">
        <v>4815</v>
      </c>
      <c r="D126" s="93" t="s">
        <v>4655</v>
      </c>
      <c r="E126" s="99" t="s">
        <v>4763</v>
      </c>
      <c r="F126" s="95">
        <v>44927</v>
      </c>
      <c r="G126" s="96">
        <v>6880</v>
      </c>
      <c r="H126" s="97">
        <v>0</v>
      </c>
      <c r="I126" s="96" t="s">
        <v>4650</v>
      </c>
      <c r="J126" s="90" t="s">
        <v>4650</v>
      </c>
      <c r="K126" s="90" t="s">
        <v>15</v>
      </c>
      <c r="L126" s="90" t="s">
        <v>351</v>
      </c>
      <c r="M126" s="112">
        <f>IFERROR(IF(COUNTIFS(S126:AB126,清算项目基本情况表!$D$6)&gt;=1,IF(L126="占地面积法",ROUND(SUM('附表4-项目间分摊信息采集表'!$E$5)/SUMPRODUCT(SUMIFS('附表4-项目间分摊信息采集表'!$E:$E,'附表4-项目间分摊信息采集表'!$B:$B,S126:AB126)),20),IF(L126="测绘总建筑面积法",ROUND(SUM('附表4-项目间分摊信息采集表'!$F$5)/SUMPRODUCT(SUMIFS('附表4-项目间分摊信息采集表'!$F:$F,'附表4-项目间分摊信息采集表'!$B:$B,S126:AB126)),20),IF(L126="可售建筑面积法",ROUND(SUM('附表4-项目间分摊信息采集表'!$G$5)/SUMPRODUCT(SUMIFS('附表4-项目间分摊信息采集表'!$G:$G,'附表4-项目间分摊信息采集表'!$B:$B,S126:AB126)),20),IF(L126="其他分摊方法",ROUND(SUM('附表4-项目间分摊信息采集表'!$H$5)/SUMPRODUCT(SUMIFS('附表4-项目间分摊信息采集表'!$H:$H,'附表4-项目间分摊信息采集表'!$B:$B,S126:AB126)),20),IF(L126="手工填写分摊比例","请填写分摊比例",100%))))),IF(COUNTA(S126:AB126)&gt;=1,0%,100%)),100%)</f>
        <v>0.338555832480367</v>
      </c>
      <c r="N126" s="97">
        <f>SUMIFS('附表7-扣除项目明细采集底稿'!$R:$R,'附表7-扣除项目明细采集底稿'!$G:$G,B126)</f>
        <v>6679.61</v>
      </c>
      <c r="O126" s="90" t="s">
        <v>4651</v>
      </c>
      <c r="P126" s="113">
        <f>SUMIFS('附表7-扣除项目明细采集底稿'!$T:$T,'附表7-扣除项目明细采集底稿'!$G:$G,$B126)</f>
        <v>2261.42</v>
      </c>
      <c r="Q126" s="117">
        <f t="shared" si="5"/>
        <v>4418.19</v>
      </c>
      <c r="R126" s="118"/>
      <c r="S126" s="90" t="s">
        <v>11</v>
      </c>
      <c r="T126" s="90" t="s">
        <v>46</v>
      </c>
      <c r="U126" s="90" t="s">
        <v>371</v>
      </c>
      <c r="V126" s="90"/>
      <c r="W126" s="90"/>
      <c r="X126" s="90"/>
      <c r="Y126" s="90"/>
      <c r="Z126" s="90"/>
      <c r="AA126" s="90"/>
      <c r="AB126" s="90"/>
    </row>
    <row r="127" s="80" customFormat="1" ht="30.05" spans="1:28">
      <c r="A127" s="90">
        <v>217</v>
      </c>
      <c r="B127" s="91" t="s">
        <v>3419</v>
      </c>
      <c r="C127" s="99" t="s">
        <v>4816</v>
      </c>
      <c r="D127" s="93" t="s">
        <v>4648</v>
      </c>
      <c r="E127" s="99" t="s">
        <v>3420</v>
      </c>
      <c r="F127" s="95">
        <v>44103</v>
      </c>
      <c r="G127" s="96">
        <v>153600</v>
      </c>
      <c r="H127" s="97">
        <v>0</v>
      </c>
      <c r="I127" s="96" t="s">
        <v>4650</v>
      </c>
      <c r="J127" s="90" t="s">
        <v>4650</v>
      </c>
      <c r="K127" s="90" t="s">
        <v>4650</v>
      </c>
      <c r="L127" s="90"/>
      <c r="M127" s="112">
        <f>IFERROR(IF(COUNTIFS(S127:AB127,清算项目基本情况表!$D$6)&gt;=1,IF(L127="占地面积法",ROUND(SUM('附表4-项目间分摊信息采集表'!$E$5)/SUMPRODUCT(SUMIFS('附表4-项目间分摊信息采集表'!$E:$E,'附表4-项目间分摊信息采集表'!$B:$B,S127:AB127)),20),IF(L127="测绘总建筑面积法",ROUND(SUM('附表4-项目间分摊信息采集表'!$F$5)/SUMPRODUCT(SUMIFS('附表4-项目间分摊信息采集表'!$F:$F,'附表4-项目间分摊信息采集表'!$B:$B,S127:AB127)),20),IF(L127="可售建筑面积法",ROUND(SUM('附表4-项目间分摊信息采集表'!$G$5)/SUMPRODUCT(SUMIFS('附表4-项目间分摊信息采集表'!$G:$G,'附表4-项目间分摊信息采集表'!$B:$B,S127:AB127)),20),IF(L127="其他分摊方法",ROUND(SUM('附表4-项目间分摊信息采集表'!$H$5)/SUMPRODUCT(SUMIFS('附表4-项目间分摊信息采集表'!$H:$H,'附表4-项目间分摊信息采集表'!$B:$B,S127:AB127)),20),IF(L127="手工填写分摊比例","请填写分摊比例",100%))))),IF(COUNTA(S127:AB127)&gt;=1,0%,100%)),100%)</f>
        <v>1</v>
      </c>
      <c r="N127" s="97">
        <f>SUMIFS('附表7-扣除项目明细采集底稿'!$R:$R,'附表7-扣除项目明细采集底稿'!$G:$G,B127)</f>
        <v>112871.29</v>
      </c>
      <c r="O127" s="90" t="s">
        <v>4651</v>
      </c>
      <c r="P127" s="113">
        <f>SUMIFS('附表7-扣除项目明细采集底稿'!$T:$T,'附表7-扣除项目明细采集底稿'!$G:$G,$B127)</f>
        <v>112871.29</v>
      </c>
      <c r="Q127" s="117"/>
      <c r="R127" s="118"/>
      <c r="S127" s="90"/>
      <c r="T127" s="90"/>
      <c r="U127" s="90"/>
      <c r="V127" s="90"/>
      <c r="W127" s="90"/>
      <c r="X127" s="90"/>
      <c r="Y127" s="90"/>
      <c r="Z127" s="90"/>
      <c r="AA127" s="90"/>
      <c r="AB127" s="90"/>
    </row>
    <row r="128" s="80" customFormat="1" ht="15.05" spans="1:28">
      <c r="A128" s="90">
        <v>214</v>
      </c>
      <c r="B128" s="91" t="s">
        <v>4817</v>
      </c>
      <c r="C128" s="100" t="s">
        <v>4818</v>
      </c>
      <c r="D128" s="93" t="s">
        <v>4659</v>
      </c>
      <c r="E128" s="99" t="s">
        <v>4742</v>
      </c>
      <c r="F128" s="95">
        <v>45138</v>
      </c>
      <c r="G128" s="96">
        <v>150000</v>
      </c>
      <c r="H128" s="97">
        <v>0</v>
      </c>
      <c r="I128" s="96" t="s">
        <v>4650</v>
      </c>
      <c r="J128" s="90" t="s">
        <v>4650</v>
      </c>
      <c r="K128" s="90" t="s">
        <v>4650</v>
      </c>
      <c r="L128" s="90"/>
      <c r="M128" s="112">
        <f>IFERROR(IF(COUNTIFS(S128:AB128,清算项目基本情况表!$D$6)&gt;=1,IF(L128="占地面积法",ROUND(SUM('附表4-项目间分摊信息采集表'!$E$5)/SUMPRODUCT(SUMIFS('附表4-项目间分摊信息采集表'!$E:$E,'附表4-项目间分摊信息采集表'!$B:$B,S128:AB128)),20),IF(L128="测绘总建筑面积法",ROUND(SUM('附表4-项目间分摊信息采集表'!$F$5)/SUMPRODUCT(SUMIFS('附表4-项目间分摊信息采集表'!$F:$F,'附表4-项目间分摊信息采集表'!$B:$B,S128:AB128)),20),IF(L128="可售建筑面积法",ROUND(SUM('附表4-项目间分摊信息采集表'!$G$5)/SUMPRODUCT(SUMIFS('附表4-项目间分摊信息采集表'!$G:$G,'附表4-项目间分摊信息采集表'!$B:$B,S128:AB128)),20),IF(L128="其他分摊方法",ROUND(SUM('附表4-项目间分摊信息采集表'!$H$5)/SUMPRODUCT(SUMIFS('附表4-项目间分摊信息采集表'!$H:$H,'附表4-项目间分摊信息采集表'!$B:$B,S128:AB128)),20),IF(L128="手工填写分摊比例","请填写分摊比例",100%))))),IF(COUNTA(S128:AB128)&gt;=1,0%,100%)),100%)</f>
        <v>1</v>
      </c>
      <c r="N128" s="97">
        <f>SUMIFS('附表7-扣除项目明细采集底稿'!$R:$R,'附表7-扣除项目明细采集底稿'!$G:$G,B128)</f>
        <v>0</v>
      </c>
      <c r="O128" s="90" t="s">
        <v>4651</v>
      </c>
      <c r="P128" s="113">
        <f>SUMIFS('附表7-扣除项目明细采集底稿'!$T:$T,'附表7-扣除项目明细采集底稿'!$G:$G,$B128)</f>
        <v>0</v>
      </c>
      <c r="Q128" s="117">
        <f t="shared" ref="Q128:Q191" si="6">ROUND(SUM(N128)-SUM(O128)-SUM(P128),2)</f>
        <v>0</v>
      </c>
      <c r="R128" s="118"/>
      <c r="S128" s="90"/>
      <c r="T128" s="90"/>
      <c r="U128" s="90"/>
      <c r="V128" s="90"/>
      <c r="W128" s="90"/>
      <c r="X128" s="90"/>
      <c r="Y128" s="90"/>
      <c r="Z128" s="90"/>
      <c r="AA128" s="90"/>
      <c r="AB128" s="90"/>
    </row>
    <row r="129" s="80" customFormat="1" ht="15.05" spans="1:28">
      <c r="A129" s="90">
        <v>106</v>
      </c>
      <c r="B129" s="91" t="s">
        <v>3017</v>
      </c>
      <c r="C129" s="99" t="s">
        <v>4819</v>
      </c>
      <c r="D129" s="93" t="s">
        <v>4659</v>
      </c>
      <c r="E129" s="94" t="s">
        <v>4663</v>
      </c>
      <c r="F129" s="95">
        <v>43899</v>
      </c>
      <c r="G129" s="96">
        <v>657322</v>
      </c>
      <c r="H129" s="96">
        <v>657322</v>
      </c>
      <c r="I129" s="96" t="s">
        <v>4650</v>
      </c>
      <c r="J129" s="90" t="s">
        <v>4650</v>
      </c>
      <c r="K129" s="90" t="s">
        <v>4650</v>
      </c>
      <c r="L129" s="90"/>
      <c r="M129" s="112">
        <f>IFERROR(IF(COUNTIFS(S129:AB129,清算项目基本情况表!$D$6)&gt;=1,IF(L129="占地面积法",ROUND(SUM('附表4-项目间分摊信息采集表'!$E$5)/SUMPRODUCT(SUMIFS('附表4-项目间分摊信息采集表'!$E:$E,'附表4-项目间分摊信息采集表'!$B:$B,S129:AB129)),20),IF(L129="测绘总建筑面积法",ROUND(SUM('附表4-项目间分摊信息采集表'!$F$5)/SUMPRODUCT(SUMIFS('附表4-项目间分摊信息采集表'!$F:$F,'附表4-项目间分摊信息采集表'!$B:$B,S129:AB129)),20),IF(L129="可售建筑面积法",ROUND(SUM('附表4-项目间分摊信息采集表'!$G$5)/SUMPRODUCT(SUMIFS('附表4-项目间分摊信息采集表'!$G:$G,'附表4-项目间分摊信息采集表'!$B:$B,S129:AB129)),20),IF(L129="其他分摊方法",ROUND(SUM('附表4-项目间分摊信息采集表'!$H$5)/SUMPRODUCT(SUMIFS('附表4-项目间分摊信息采集表'!$H:$H,'附表4-项目间分摊信息采集表'!$B:$B,S129:AB129)),20),IF(L129="手工填写分摊比例","请填写分摊比例",100%))))),IF(COUNTA(S129:AB129)&gt;=1,0%,100%)),100%)</f>
        <v>1</v>
      </c>
      <c r="N129" s="97">
        <f>SUMIFS('附表7-扣除项目明细采集底稿'!$R:$R,'附表7-扣除项目明细采集底稿'!$G:$G,B129)</f>
        <v>581700.88</v>
      </c>
      <c r="O129" s="90" t="s">
        <v>4651</v>
      </c>
      <c r="P129" s="113">
        <f>SUMIFS('附表7-扣除项目明细采集底稿'!$T:$T,'附表7-扣除项目明细采集底稿'!$G:$G,$B129)</f>
        <v>581700.88</v>
      </c>
      <c r="Q129" s="117">
        <f t="shared" si="6"/>
        <v>0</v>
      </c>
      <c r="R129" s="118"/>
      <c r="S129" s="90"/>
      <c r="T129" s="90"/>
      <c r="U129" s="90"/>
      <c r="V129" s="90"/>
      <c r="W129" s="90"/>
      <c r="X129" s="90"/>
      <c r="Y129" s="90"/>
      <c r="Z129" s="90"/>
      <c r="AA129" s="90"/>
      <c r="AB129" s="90"/>
    </row>
    <row r="130" s="80" customFormat="1" ht="15.05" spans="1:28">
      <c r="A130" s="90">
        <v>58</v>
      </c>
      <c r="B130" s="91" t="s">
        <v>3898</v>
      </c>
      <c r="C130" s="100" t="s">
        <v>4820</v>
      </c>
      <c r="D130" s="93" t="s">
        <v>4655</v>
      </c>
      <c r="E130" s="99" t="s">
        <v>3512</v>
      </c>
      <c r="F130" s="95">
        <v>43952</v>
      </c>
      <c r="G130" s="96">
        <v>233060.79</v>
      </c>
      <c r="H130" s="97">
        <v>213817.24</v>
      </c>
      <c r="I130" s="96" t="s">
        <v>4650</v>
      </c>
      <c r="J130" s="90" t="s">
        <v>4650</v>
      </c>
      <c r="K130" s="90" t="s">
        <v>4650</v>
      </c>
      <c r="L130" s="90"/>
      <c r="M130" s="112">
        <f>IFERROR(IF(COUNTIFS(S130:AB130,清算项目基本情况表!$D$6)&gt;=1,IF(L130="占地面积法",ROUND(SUM('附表4-项目间分摊信息采集表'!$E$5)/SUMPRODUCT(SUMIFS('附表4-项目间分摊信息采集表'!$E:$E,'附表4-项目间分摊信息采集表'!$B:$B,S130:AB130)),20),IF(L130="测绘总建筑面积法",ROUND(SUM('附表4-项目间分摊信息采集表'!$F$5)/SUMPRODUCT(SUMIFS('附表4-项目间分摊信息采集表'!$F:$F,'附表4-项目间分摊信息采集表'!$B:$B,S130:AB130)),20),IF(L130="可售建筑面积法",ROUND(SUM('附表4-项目间分摊信息采集表'!$G$5)/SUMPRODUCT(SUMIFS('附表4-项目间分摊信息采集表'!$G:$G,'附表4-项目间分摊信息采集表'!$B:$B,S130:AB130)),20),IF(L130="其他分摊方法",ROUND(SUM('附表4-项目间分摊信息采集表'!$H$5)/SUMPRODUCT(SUMIFS('附表4-项目间分摊信息采集表'!$H:$H,'附表4-项目间分摊信息采集表'!$B:$B,S130:AB130)),20),IF(L130="手工填写分摊比例","请填写分摊比例",100%))))),IF(COUNTA(S130:AB130)&gt;=1,0%,100%)),100%)</f>
        <v>1</v>
      </c>
      <c r="N130" s="97">
        <f>SUMIFS('附表7-扣除项目明细采集底稿'!$R:$R,'附表7-扣除项目明细采集底稿'!$G:$G,B130)</f>
        <v>213817.24</v>
      </c>
      <c r="O130" s="90" t="s">
        <v>4651</v>
      </c>
      <c r="P130" s="113">
        <f>SUMIFS('附表7-扣除项目明细采集底稿'!$T:$T,'附表7-扣除项目明细采集底稿'!$G:$G,$B130)</f>
        <v>213817.24</v>
      </c>
      <c r="Q130" s="117">
        <f t="shared" si="6"/>
        <v>0</v>
      </c>
      <c r="R130" s="118"/>
      <c r="S130" s="90"/>
      <c r="T130" s="90"/>
      <c r="U130" s="90"/>
      <c r="V130" s="90"/>
      <c r="W130" s="90"/>
      <c r="X130" s="90"/>
      <c r="Y130" s="90"/>
      <c r="Z130" s="90"/>
      <c r="AA130" s="90"/>
      <c r="AB130" s="90"/>
    </row>
    <row r="131" s="80" customFormat="1" ht="15.05" spans="1:28">
      <c r="A131" s="90">
        <v>59</v>
      </c>
      <c r="B131" s="91" t="s">
        <v>3896</v>
      </c>
      <c r="C131" s="100" t="s">
        <v>4821</v>
      </c>
      <c r="D131" s="93" t="s">
        <v>4655</v>
      </c>
      <c r="E131" s="99" t="s">
        <v>3512</v>
      </c>
      <c r="F131" s="95">
        <v>43952</v>
      </c>
      <c r="G131" s="96">
        <v>715161.32</v>
      </c>
      <c r="H131" s="97">
        <v>656111.3</v>
      </c>
      <c r="I131" s="96" t="s">
        <v>4650</v>
      </c>
      <c r="J131" s="90" t="s">
        <v>4650</v>
      </c>
      <c r="K131" s="90" t="s">
        <v>4650</v>
      </c>
      <c r="L131" s="90"/>
      <c r="M131" s="112">
        <f>IFERROR(IF(COUNTIFS(S131:AB131,清算项目基本情况表!$D$6)&gt;=1,IF(L131="占地面积法",ROUND(SUM('附表4-项目间分摊信息采集表'!$E$5)/SUMPRODUCT(SUMIFS('附表4-项目间分摊信息采集表'!$E:$E,'附表4-项目间分摊信息采集表'!$B:$B,S131:AB131)),20),IF(L131="测绘总建筑面积法",ROUND(SUM('附表4-项目间分摊信息采集表'!$F$5)/SUMPRODUCT(SUMIFS('附表4-项目间分摊信息采集表'!$F:$F,'附表4-项目间分摊信息采集表'!$B:$B,S131:AB131)),20),IF(L131="可售建筑面积法",ROUND(SUM('附表4-项目间分摊信息采集表'!$G$5)/SUMPRODUCT(SUMIFS('附表4-项目间分摊信息采集表'!$G:$G,'附表4-项目间分摊信息采集表'!$B:$B,S131:AB131)),20),IF(L131="其他分摊方法",ROUND(SUM('附表4-项目间分摊信息采集表'!$H$5)/SUMPRODUCT(SUMIFS('附表4-项目间分摊信息采集表'!$H:$H,'附表4-项目间分摊信息采集表'!$B:$B,S131:AB131)),20),IF(L131="手工填写分摊比例","请填写分摊比例",100%))))),IF(COUNTA(S131:AB131)&gt;=1,0%,100%)),100%)</f>
        <v>1</v>
      </c>
      <c r="N131" s="97">
        <f>SUMIFS('附表7-扣除项目明细采集底稿'!$R:$R,'附表7-扣除项目明细采集底稿'!$G:$G,B131)</f>
        <v>656111.3</v>
      </c>
      <c r="O131" s="90" t="s">
        <v>4651</v>
      </c>
      <c r="P131" s="113">
        <f>SUMIFS('附表7-扣除项目明细采集底稿'!$T:$T,'附表7-扣除项目明细采集底稿'!$G:$G,$B131)</f>
        <v>656111.3</v>
      </c>
      <c r="Q131" s="117">
        <f t="shared" si="6"/>
        <v>0</v>
      </c>
      <c r="R131" s="118"/>
      <c r="S131" s="90"/>
      <c r="T131" s="90"/>
      <c r="U131" s="90"/>
      <c r="V131" s="90"/>
      <c r="W131" s="90"/>
      <c r="X131" s="90"/>
      <c r="Y131" s="90"/>
      <c r="Z131" s="90"/>
      <c r="AA131" s="90"/>
      <c r="AB131" s="90"/>
    </row>
    <row r="132" s="80" customFormat="1" ht="15.05" spans="1:28">
      <c r="A132" s="90">
        <v>14</v>
      </c>
      <c r="B132" s="91" t="s">
        <v>4540</v>
      </c>
      <c r="C132" s="99" t="s">
        <v>4822</v>
      </c>
      <c r="D132" s="93" t="s">
        <v>4655</v>
      </c>
      <c r="E132" s="99" t="s">
        <v>4823</v>
      </c>
      <c r="F132" s="95">
        <v>44156</v>
      </c>
      <c r="G132" s="96">
        <v>260000</v>
      </c>
      <c r="H132" s="97">
        <v>238532.11</v>
      </c>
      <c r="I132" s="96" t="s">
        <v>4650</v>
      </c>
      <c r="J132" s="90" t="s">
        <v>4650</v>
      </c>
      <c r="K132" s="90" t="s">
        <v>4650</v>
      </c>
      <c r="L132" s="90"/>
      <c r="M132" s="112">
        <f>IFERROR(IF(COUNTIFS(S132:AB132,清算项目基本情况表!$D$6)&gt;=1,IF(L132="占地面积法",ROUND(SUM('附表4-项目间分摊信息采集表'!$E$5)/SUMPRODUCT(SUMIFS('附表4-项目间分摊信息采集表'!$E:$E,'附表4-项目间分摊信息采集表'!$B:$B,S132:AB132)),20),IF(L132="测绘总建筑面积法",ROUND(SUM('附表4-项目间分摊信息采集表'!$F$5)/SUMPRODUCT(SUMIFS('附表4-项目间分摊信息采集表'!$F:$F,'附表4-项目间分摊信息采集表'!$B:$B,S132:AB132)),20),IF(L132="可售建筑面积法",ROUND(SUM('附表4-项目间分摊信息采集表'!$G$5)/SUMPRODUCT(SUMIFS('附表4-项目间分摊信息采集表'!$G:$G,'附表4-项目间分摊信息采集表'!$B:$B,S132:AB132)),20),IF(L132="其他分摊方法",ROUND(SUM('附表4-项目间分摊信息采集表'!$H$5)/SUMPRODUCT(SUMIFS('附表4-项目间分摊信息采集表'!$H:$H,'附表4-项目间分摊信息采集表'!$B:$B,S132:AB132)),20),IF(L132="手工填写分摊比例","请填写分摊比例",100%))))),IF(COUNTA(S132:AB132)&gt;=1,0%,100%)),100%)</f>
        <v>1</v>
      </c>
      <c r="N132" s="97">
        <f>SUMIFS('附表7-扣除项目明细采集底稿'!$R:$R,'附表7-扣除项目明细采集底稿'!$G:$G,B132)</f>
        <v>238532.11</v>
      </c>
      <c r="O132" s="90" t="s">
        <v>4651</v>
      </c>
      <c r="P132" s="113">
        <f>SUMIFS('附表7-扣除项目明细采集底稿'!$T:$T,'附表7-扣除项目明细采集底稿'!$G:$G,$B132)</f>
        <v>238532.11</v>
      </c>
      <c r="Q132" s="117">
        <f t="shared" si="6"/>
        <v>0</v>
      </c>
      <c r="R132" s="118"/>
      <c r="S132" s="90"/>
      <c r="T132" s="90"/>
      <c r="U132" s="90"/>
      <c r="V132" s="90"/>
      <c r="W132" s="90"/>
      <c r="X132" s="90"/>
      <c r="Y132" s="90"/>
      <c r="Z132" s="90"/>
      <c r="AA132" s="90"/>
      <c r="AB132" s="90"/>
    </row>
    <row r="133" s="80" customFormat="1" ht="15.05" spans="1:28">
      <c r="A133" s="90">
        <v>52</v>
      </c>
      <c r="B133" s="91" t="s">
        <v>3664</v>
      </c>
      <c r="C133" s="100" t="s">
        <v>4824</v>
      </c>
      <c r="D133" s="93" t="s">
        <v>4655</v>
      </c>
      <c r="E133" s="99" t="s">
        <v>4825</v>
      </c>
      <c r="F133" s="95">
        <v>44210</v>
      </c>
      <c r="G133" s="96">
        <v>510000</v>
      </c>
      <c r="H133" s="97">
        <v>407064.22</v>
      </c>
      <c r="I133" s="96" t="s">
        <v>4650</v>
      </c>
      <c r="J133" s="90" t="s">
        <v>4650</v>
      </c>
      <c r="K133" s="90" t="s">
        <v>4650</v>
      </c>
      <c r="L133" s="90"/>
      <c r="M133" s="112">
        <f>IFERROR(IF(COUNTIFS(S133:AB133,清算项目基本情况表!$D$6)&gt;=1,IF(L133="占地面积法",ROUND(SUM('附表4-项目间分摊信息采集表'!$E$5)/SUMPRODUCT(SUMIFS('附表4-项目间分摊信息采集表'!$E:$E,'附表4-项目间分摊信息采集表'!$B:$B,S133:AB133)),20),IF(L133="测绘总建筑面积法",ROUND(SUM('附表4-项目间分摊信息采集表'!$F$5)/SUMPRODUCT(SUMIFS('附表4-项目间分摊信息采集表'!$F:$F,'附表4-项目间分摊信息采集表'!$B:$B,S133:AB133)),20),IF(L133="可售建筑面积法",ROUND(SUM('附表4-项目间分摊信息采集表'!$G$5)/SUMPRODUCT(SUMIFS('附表4-项目间分摊信息采集表'!$G:$G,'附表4-项目间分摊信息采集表'!$B:$B,S133:AB133)),20),IF(L133="其他分摊方法",ROUND(SUM('附表4-项目间分摊信息采集表'!$H$5)/SUMPRODUCT(SUMIFS('附表4-项目间分摊信息采集表'!$H:$H,'附表4-项目间分摊信息采集表'!$B:$B,S133:AB133)),20),IF(L133="手工填写分摊比例","请填写分摊比例",100%))))),IF(COUNTA(S133:AB133)&gt;=1,0%,100%)),100%)</f>
        <v>1</v>
      </c>
      <c r="N133" s="97">
        <f>SUMIFS('附表7-扣除项目明细采集底稿'!$R:$R,'附表7-扣除项目明细采集底稿'!$G:$G,B133)</f>
        <v>407064.22</v>
      </c>
      <c r="O133" s="90" t="s">
        <v>4651</v>
      </c>
      <c r="P133" s="113">
        <f>SUMIFS('附表7-扣除项目明细采集底稿'!$T:$T,'附表7-扣除项目明细采集底稿'!$G:$G,$B133)</f>
        <v>407064.22</v>
      </c>
      <c r="Q133" s="117">
        <f t="shared" si="6"/>
        <v>0</v>
      </c>
      <c r="R133" s="118"/>
      <c r="S133" s="90"/>
      <c r="T133" s="90"/>
      <c r="U133" s="90"/>
      <c r="V133" s="90"/>
      <c r="W133" s="90"/>
      <c r="X133" s="90"/>
      <c r="Y133" s="90"/>
      <c r="Z133" s="90"/>
      <c r="AA133" s="90"/>
      <c r="AB133" s="90"/>
    </row>
    <row r="134" s="80" customFormat="1" ht="15.05" spans="1:28">
      <c r="A134" s="90">
        <v>213</v>
      </c>
      <c r="B134" s="91" t="s">
        <v>3671</v>
      </c>
      <c r="C134" s="100" t="s">
        <v>4826</v>
      </c>
      <c r="D134" s="93" t="s">
        <v>4655</v>
      </c>
      <c r="E134" s="99" t="s">
        <v>4742</v>
      </c>
      <c r="F134" s="95">
        <v>44214</v>
      </c>
      <c r="G134" s="96">
        <v>46000</v>
      </c>
      <c r="H134" s="97">
        <v>0</v>
      </c>
      <c r="I134" s="96" t="s">
        <v>4650</v>
      </c>
      <c r="J134" s="90" t="s">
        <v>4650</v>
      </c>
      <c r="K134" s="90" t="s">
        <v>4650</v>
      </c>
      <c r="L134" s="90"/>
      <c r="M134" s="112">
        <f>IFERROR(IF(COUNTIFS(S134:AB134,清算项目基本情况表!$D$6)&gt;=1,IF(L134="占地面积法",ROUND(SUM('附表4-项目间分摊信息采集表'!$E$5)/SUMPRODUCT(SUMIFS('附表4-项目间分摊信息采集表'!$E:$E,'附表4-项目间分摊信息采集表'!$B:$B,S134:AB134)),20),IF(L134="测绘总建筑面积法",ROUND(SUM('附表4-项目间分摊信息采集表'!$F$5)/SUMPRODUCT(SUMIFS('附表4-项目间分摊信息采集表'!$F:$F,'附表4-项目间分摊信息采集表'!$B:$B,S134:AB134)),20),IF(L134="可售建筑面积法",ROUND(SUM('附表4-项目间分摊信息采集表'!$G$5)/SUMPRODUCT(SUMIFS('附表4-项目间分摊信息采集表'!$G:$G,'附表4-项目间分摊信息采集表'!$B:$B,S134:AB134)),20),IF(L134="其他分摊方法",ROUND(SUM('附表4-项目间分摊信息采集表'!$H$5)/SUMPRODUCT(SUMIFS('附表4-项目间分摊信息采集表'!$H:$H,'附表4-项目间分摊信息采集表'!$B:$B,S134:AB134)),20),IF(L134="手工填写分摊比例","请填写分摊比例",100%))))),IF(COUNTA(S134:AB134)&gt;=1,0%,100%)),100%)</f>
        <v>1</v>
      </c>
      <c r="N134" s="97">
        <f>SUMIFS('附表7-扣除项目明细采集底稿'!$R:$R,'附表7-扣除项目明细采集底稿'!$G:$G,B134)</f>
        <v>45544.55</v>
      </c>
      <c r="O134" s="90" t="s">
        <v>4651</v>
      </c>
      <c r="P134" s="113">
        <f>SUMIFS('附表7-扣除项目明细采集底稿'!$T:$T,'附表7-扣除项目明细采集底稿'!$G:$G,$B134)</f>
        <v>45544.55</v>
      </c>
      <c r="Q134" s="117">
        <f t="shared" si="6"/>
        <v>0</v>
      </c>
      <c r="R134" s="118"/>
      <c r="S134" s="90"/>
      <c r="T134" s="90"/>
      <c r="U134" s="90"/>
      <c r="V134" s="90"/>
      <c r="W134" s="90"/>
      <c r="X134" s="90"/>
      <c r="Y134" s="90"/>
      <c r="Z134" s="90"/>
      <c r="AA134" s="90"/>
      <c r="AB134" s="90"/>
    </row>
    <row r="135" s="80" customFormat="1" ht="15.05" spans="1:28">
      <c r="A135" s="90">
        <v>178</v>
      </c>
      <c r="B135" s="91" t="s">
        <v>3633</v>
      </c>
      <c r="C135" s="100" t="s">
        <v>4827</v>
      </c>
      <c r="D135" s="93" t="s">
        <v>4659</v>
      </c>
      <c r="E135" s="99" t="s">
        <v>4763</v>
      </c>
      <c r="F135" s="95">
        <v>44210</v>
      </c>
      <c r="G135" s="96">
        <v>193000</v>
      </c>
      <c r="H135" s="97">
        <v>0</v>
      </c>
      <c r="I135" s="96" t="s">
        <v>4650</v>
      </c>
      <c r="J135" s="90" t="s">
        <v>4650</v>
      </c>
      <c r="K135" s="90" t="s">
        <v>4650</v>
      </c>
      <c r="L135" s="90"/>
      <c r="M135" s="112">
        <f>IFERROR(IF(COUNTIFS(S135:AB135,清算项目基本情况表!$D$6)&gt;=1,IF(L135="占地面积法",ROUND(SUM('附表4-项目间分摊信息采集表'!$E$5)/SUMPRODUCT(SUMIFS('附表4-项目间分摊信息采集表'!$E:$E,'附表4-项目间分摊信息采集表'!$B:$B,S135:AB135)),20),IF(L135="测绘总建筑面积法",ROUND(SUM('附表4-项目间分摊信息采集表'!$F$5)/SUMPRODUCT(SUMIFS('附表4-项目间分摊信息采集表'!$F:$F,'附表4-项目间分摊信息采集表'!$B:$B,S135:AB135)),20),IF(L135="可售建筑面积法",ROUND(SUM('附表4-项目间分摊信息采集表'!$G$5)/SUMPRODUCT(SUMIFS('附表4-项目间分摊信息采集表'!$G:$G,'附表4-项目间分摊信息采集表'!$B:$B,S135:AB135)),20),IF(L135="其他分摊方法",ROUND(SUM('附表4-项目间分摊信息采集表'!$H$5)/SUMPRODUCT(SUMIFS('附表4-项目间分摊信息采集表'!$H:$H,'附表4-项目间分摊信息采集表'!$B:$B,S135:AB135)),20),IF(L135="手工填写分摊比例","请填写分摊比例",100%))))),IF(COUNTA(S135:AB135)&gt;=1,0%,100%)),100%)</f>
        <v>1</v>
      </c>
      <c r="N135" s="97">
        <f>SUMIFS('附表7-扣除项目明细采集底稿'!$R:$R,'附表7-扣除项目明细采集底稿'!$G:$G,B135)</f>
        <v>191089.1</v>
      </c>
      <c r="O135" s="90" t="s">
        <v>4651</v>
      </c>
      <c r="P135" s="113">
        <f>SUMIFS('附表7-扣除项目明细采集底稿'!$T:$T,'附表7-扣除项目明细采集底稿'!$G:$G,$B135)</f>
        <v>191089.1</v>
      </c>
      <c r="Q135" s="117">
        <f t="shared" si="6"/>
        <v>0</v>
      </c>
      <c r="R135" s="118"/>
      <c r="S135" s="90"/>
      <c r="T135" s="90"/>
      <c r="U135" s="90"/>
      <c r="V135" s="90"/>
      <c r="W135" s="90"/>
      <c r="X135" s="90"/>
      <c r="Y135" s="90"/>
      <c r="Z135" s="90"/>
      <c r="AA135" s="90"/>
      <c r="AB135" s="90"/>
    </row>
    <row r="136" s="80" customFormat="1" ht="15.05" spans="1:28">
      <c r="A136" s="90">
        <v>87</v>
      </c>
      <c r="B136" s="91" t="s">
        <v>3246</v>
      </c>
      <c r="C136" s="99" t="s">
        <v>4828</v>
      </c>
      <c r="D136" s="93" t="s">
        <v>4655</v>
      </c>
      <c r="E136" s="99" t="s">
        <v>4734</v>
      </c>
      <c r="F136" s="95">
        <v>44099</v>
      </c>
      <c r="G136" s="96">
        <v>10100000</v>
      </c>
      <c r="H136" s="97">
        <v>9266055.05</v>
      </c>
      <c r="I136" s="96" t="s">
        <v>4650</v>
      </c>
      <c r="J136" s="90" t="s">
        <v>4650</v>
      </c>
      <c r="K136" s="90" t="s">
        <v>4650</v>
      </c>
      <c r="L136" s="90"/>
      <c r="M136" s="112">
        <f>IFERROR(IF(COUNTIFS(S136:AB136,清算项目基本情况表!$D$6)&gt;=1,IF(L136="占地面积法",ROUND(SUM('附表4-项目间分摊信息采集表'!$E$5)/SUMPRODUCT(SUMIFS('附表4-项目间分摊信息采集表'!$E:$E,'附表4-项目间分摊信息采集表'!$B:$B,S136:AB136)),20),IF(L136="测绘总建筑面积法",ROUND(SUM('附表4-项目间分摊信息采集表'!$F$5)/SUMPRODUCT(SUMIFS('附表4-项目间分摊信息采集表'!$F:$F,'附表4-项目间分摊信息采集表'!$B:$B,S136:AB136)),20),IF(L136="可售建筑面积法",ROUND(SUM('附表4-项目间分摊信息采集表'!$G$5)/SUMPRODUCT(SUMIFS('附表4-项目间分摊信息采集表'!$G:$G,'附表4-项目间分摊信息采集表'!$B:$B,S136:AB136)),20),IF(L136="其他分摊方法",ROUND(SUM('附表4-项目间分摊信息采集表'!$H$5)/SUMPRODUCT(SUMIFS('附表4-项目间分摊信息采集表'!$H:$H,'附表4-项目间分摊信息采集表'!$B:$B,S136:AB136)),20),IF(L136="手工填写分摊比例","请填写分摊比例",100%))))),IF(COUNTA(S136:AB136)&gt;=1,0%,100%)),100%)</f>
        <v>1</v>
      </c>
      <c r="N136" s="97">
        <f>SUMIFS('附表7-扣除项目明细采集底稿'!$R:$R,'附表7-扣除项目明细采集底稿'!$G:$G,B136)</f>
        <v>8257007.49</v>
      </c>
      <c r="O136" s="90" t="s">
        <v>4651</v>
      </c>
      <c r="P136" s="113">
        <f>SUMIFS('附表7-扣除项目明细采集底稿'!$T:$T,'附表7-扣除项目明细采集底稿'!$G:$G,$B136)</f>
        <v>8257007.49</v>
      </c>
      <c r="Q136" s="117">
        <f t="shared" si="6"/>
        <v>0</v>
      </c>
      <c r="R136" s="118"/>
      <c r="S136" s="90"/>
      <c r="T136" s="90"/>
      <c r="U136" s="90"/>
      <c r="V136" s="90"/>
      <c r="W136" s="90"/>
      <c r="X136" s="90"/>
      <c r="Y136" s="90"/>
      <c r="Z136" s="90"/>
      <c r="AA136" s="90"/>
      <c r="AB136" s="90"/>
    </row>
    <row r="137" s="80" customFormat="1" ht="15.05" spans="1:28">
      <c r="A137" s="90">
        <v>108</v>
      </c>
      <c r="B137" s="91" t="s">
        <v>3795</v>
      </c>
      <c r="C137" s="100" t="s">
        <v>4829</v>
      </c>
      <c r="D137" s="93" t="s">
        <v>4659</v>
      </c>
      <c r="E137" s="99" t="s">
        <v>4663</v>
      </c>
      <c r="F137" s="95">
        <v>44328</v>
      </c>
      <c r="G137" s="96">
        <v>128800</v>
      </c>
      <c r="H137" s="97">
        <v>0</v>
      </c>
      <c r="I137" s="96" t="s">
        <v>4650</v>
      </c>
      <c r="J137" s="90" t="s">
        <v>4650</v>
      </c>
      <c r="K137" s="90" t="s">
        <v>4650</v>
      </c>
      <c r="L137" s="90"/>
      <c r="M137" s="112">
        <f>IFERROR(IF(COUNTIFS(S137:AB137,清算项目基本情况表!$D$6)&gt;=1,IF(L137="占地面积法",ROUND(SUM('附表4-项目间分摊信息采集表'!$E$5)/SUMPRODUCT(SUMIFS('附表4-项目间分摊信息采集表'!$E:$E,'附表4-项目间分摊信息采集表'!$B:$B,S137:AB137)),20),IF(L137="测绘总建筑面积法",ROUND(SUM('附表4-项目间分摊信息采集表'!$F$5)/SUMPRODUCT(SUMIFS('附表4-项目间分摊信息采集表'!$F:$F,'附表4-项目间分摊信息采集表'!$B:$B,S137:AB137)),20),IF(L137="可售建筑面积法",ROUND(SUM('附表4-项目间分摊信息采集表'!$G$5)/SUMPRODUCT(SUMIFS('附表4-项目间分摊信息采集表'!$G:$G,'附表4-项目间分摊信息采集表'!$B:$B,S137:AB137)),20),IF(L137="其他分摊方法",ROUND(SUM('附表4-项目间分摊信息采集表'!$H$5)/SUMPRODUCT(SUMIFS('附表4-项目间分摊信息采集表'!$H:$H,'附表4-项目间分摊信息采集表'!$B:$B,S137:AB137)),20),IF(L137="手工填写分摊比例","请填写分摊比例",100%))))),IF(COUNTA(S137:AB137)&gt;=1,0%,100%)),100%)</f>
        <v>1</v>
      </c>
      <c r="N137" s="97">
        <f>SUMIFS('附表7-扣除项目明细采集底稿'!$R:$R,'附表7-扣除项目明细采集底稿'!$G:$G,B137)</f>
        <v>113982.3</v>
      </c>
      <c r="O137" s="90" t="s">
        <v>4651</v>
      </c>
      <c r="P137" s="113">
        <f>SUMIFS('附表7-扣除项目明细采集底稿'!$T:$T,'附表7-扣除项目明细采集底稿'!$G:$G,$B137)</f>
        <v>113982.3</v>
      </c>
      <c r="Q137" s="117">
        <f t="shared" si="6"/>
        <v>0</v>
      </c>
      <c r="R137" s="118"/>
      <c r="S137" s="90"/>
      <c r="T137" s="90"/>
      <c r="U137" s="90"/>
      <c r="V137" s="90"/>
      <c r="W137" s="90"/>
      <c r="X137" s="90"/>
      <c r="Y137" s="90"/>
      <c r="Z137" s="90"/>
      <c r="AA137" s="90"/>
      <c r="AB137" s="90"/>
    </row>
    <row r="138" s="80" customFormat="1" ht="15.05" spans="1:28">
      <c r="A138" s="90">
        <v>203</v>
      </c>
      <c r="B138" s="91" t="s">
        <v>4077</v>
      </c>
      <c r="C138" s="98" t="s">
        <v>4830</v>
      </c>
      <c r="D138" s="93" t="s">
        <v>4655</v>
      </c>
      <c r="E138" s="94" t="s">
        <v>3529</v>
      </c>
      <c r="F138" s="95">
        <v>44418</v>
      </c>
      <c r="G138" s="96">
        <v>89250</v>
      </c>
      <c r="H138" s="97">
        <v>78982.3</v>
      </c>
      <c r="I138" s="96" t="s">
        <v>4650</v>
      </c>
      <c r="J138" s="90" t="s">
        <v>4650</v>
      </c>
      <c r="K138" s="90" t="s">
        <v>4650</v>
      </c>
      <c r="L138" s="90"/>
      <c r="M138" s="112">
        <f>IFERROR(IF(COUNTIFS(S138:AB138,清算项目基本情况表!$D$6)&gt;=1,IF(L138="占地面积法",ROUND(SUM('附表4-项目间分摊信息采集表'!$E$5)/SUMPRODUCT(SUMIFS('附表4-项目间分摊信息采集表'!$E:$E,'附表4-项目间分摊信息采集表'!$B:$B,S138:AB138)),20),IF(L138="测绘总建筑面积法",ROUND(SUM('附表4-项目间分摊信息采集表'!$F$5)/SUMPRODUCT(SUMIFS('附表4-项目间分摊信息采集表'!$F:$F,'附表4-项目间分摊信息采集表'!$B:$B,S138:AB138)),20),IF(L138="可售建筑面积法",ROUND(SUM('附表4-项目间分摊信息采集表'!$G$5)/SUMPRODUCT(SUMIFS('附表4-项目间分摊信息采集表'!$G:$G,'附表4-项目间分摊信息采集表'!$B:$B,S138:AB138)),20),IF(L138="其他分摊方法",ROUND(SUM('附表4-项目间分摊信息采集表'!$H$5)/SUMPRODUCT(SUMIFS('附表4-项目间分摊信息采集表'!$H:$H,'附表4-项目间分摊信息采集表'!$B:$B,S138:AB138)),20),IF(L138="手工填写分摊比例","请填写分摊比例",100%))))),IF(COUNTA(S138:AB138)&gt;=1,0%,100%)),100%)</f>
        <v>1</v>
      </c>
      <c r="N138" s="97">
        <f>SUMIFS('附表7-扣除项目明细采集底稿'!$R:$R,'附表7-扣除项目明细采集底稿'!$G:$G,B138)</f>
        <v>78982.3</v>
      </c>
      <c r="O138" s="90" t="s">
        <v>4651</v>
      </c>
      <c r="P138" s="113">
        <f>SUMIFS('附表7-扣除项目明细采集底稿'!$T:$T,'附表7-扣除项目明细采集底稿'!$G:$G,$B138)</f>
        <v>78982.3</v>
      </c>
      <c r="Q138" s="117">
        <f t="shared" si="6"/>
        <v>0</v>
      </c>
      <c r="R138" s="118"/>
      <c r="S138" s="90"/>
      <c r="T138" s="90"/>
      <c r="U138" s="90"/>
      <c r="V138" s="90"/>
      <c r="W138" s="90"/>
      <c r="X138" s="90"/>
      <c r="Y138" s="90"/>
      <c r="Z138" s="90"/>
      <c r="AA138" s="90"/>
      <c r="AB138" s="90"/>
    </row>
    <row r="139" s="80" customFormat="1" ht="15.05" spans="1:28">
      <c r="A139" s="90">
        <v>115</v>
      </c>
      <c r="B139" s="91" t="s">
        <v>4831</v>
      </c>
      <c r="C139" s="100" t="s">
        <v>4832</v>
      </c>
      <c r="D139" s="93" t="s">
        <v>4675</v>
      </c>
      <c r="E139" s="94" t="s">
        <v>2624</v>
      </c>
      <c r="F139" s="95">
        <v>44425</v>
      </c>
      <c r="G139" s="96">
        <v>3513</v>
      </c>
      <c r="H139" s="97">
        <v>0</v>
      </c>
      <c r="I139" s="96" t="s">
        <v>4650</v>
      </c>
      <c r="J139" s="90" t="s">
        <v>4650</v>
      </c>
      <c r="K139" s="90" t="s">
        <v>4650</v>
      </c>
      <c r="L139" s="90"/>
      <c r="M139" s="112">
        <f>IFERROR(IF(COUNTIFS(S139:AB139,清算项目基本情况表!$D$6)&gt;=1,IF(L139="占地面积法",ROUND(SUM('附表4-项目间分摊信息采集表'!$E$5)/SUMPRODUCT(SUMIFS('附表4-项目间分摊信息采集表'!$E:$E,'附表4-项目间分摊信息采集表'!$B:$B,S139:AB139)),20),IF(L139="测绘总建筑面积法",ROUND(SUM('附表4-项目间分摊信息采集表'!$F$5)/SUMPRODUCT(SUMIFS('附表4-项目间分摊信息采集表'!$F:$F,'附表4-项目间分摊信息采集表'!$B:$B,S139:AB139)),20),IF(L139="可售建筑面积法",ROUND(SUM('附表4-项目间分摊信息采集表'!$G$5)/SUMPRODUCT(SUMIFS('附表4-项目间分摊信息采集表'!$G:$G,'附表4-项目间分摊信息采集表'!$B:$B,S139:AB139)),20),IF(L139="其他分摊方法",ROUND(SUM('附表4-项目间分摊信息采集表'!$H$5)/SUMPRODUCT(SUMIFS('附表4-项目间分摊信息采集表'!$H:$H,'附表4-项目间分摊信息采集表'!$B:$B,S139:AB139)),20),IF(L139="手工填写分摊比例","请填写分摊比例",100%))))),IF(COUNTA(S139:AB139)&gt;=1,0%,100%)),100%)</f>
        <v>1</v>
      </c>
      <c r="N139" s="97">
        <f>SUMIFS('附表7-扣除项目明细采集底稿'!$R:$R,'附表7-扣除项目明细采集底稿'!$G:$G,B139)</f>
        <v>0</v>
      </c>
      <c r="O139" s="90" t="s">
        <v>4651</v>
      </c>
      <c r="P139" s="113">
        <f>SUMIFS('附表7-扣除项目明细采集底稿'!$T:$T,'附表7-扣除项目明细采集底稿'!$G:$G,$B139)</f>
        <v>0</v>
      </c>
      <c r="Q139" s="117">
        <f t="shared" si="6"/>
        <v>0</v>
      </c>
      <c r="R139" s="118"/>
      <c r="S139" s="90"/>
      <c r="T139" s="90"/>
      <c r="U139" s="90"/>
      <c r="V139" s="90"/>
      <c r="W139" s="90"/>
      <c r="X139" s="90"/>
      <c r="Y139" s="90"/>
      <c r="Z139" s="90"/>
      <c r="AA139" s="90"/>
      <c r="AB139" s="90"/>
    </row>
    <row r="140" s="80" customFormat="1" ht="30.05" spans="1:28">
      <c r="A140" s="90">
        <v>1</v>
      </c>
      <c r="B140" s="91" t="s">
        <v>2752</v>
      </c>
      <c r="C140" s="100" t="s">
        <v>4833</v>
      </c>
      <c r="D140" s="93" t="s">
        <v>4648</v>
      </c>
      <c r="E140" s="99" t="s">
        <v>2753</v>
      </c>
      <c r="F140" s="95">
        <v>44148</v>
      </c>
      <c r="G140" s="96">
        <v>38500</v>
      </c>
      <c r="H140" s="97">
        <v>38500</v>
      </c>
      <c r="I140" s="96" t="s">
        <v>4650</v>
      </c>
      <c r="J140" s="90" t="s">
        <v>4650</v>
      </c>
      <c r="K140" s="90" t="s">
        <v>4650</v>
      </c>
      <c r="L140" s="90"/>
      <c r="M140" s="112">
        <f>IFERROR(IF(COUNTIFS(S140:AB140,清算项目基本情况表!$D$6)&gt;=1,IF(L140="占地面积法",ROUND(SUM('附表4-项目间分摊信息采集表'!$E$5)/SUMPRODUCT(SUMIFS('附表4-项目间分摊信息采集表'!$E:$E,'附表4-项目间分摊信息采集表'!$B:$B,S140:AB140)),20),IF(L140="测绘总建筑面积法",ROUND(SUM('附表4-项目间分摊信息采集表'!$F$5)/SUMPRODUCT(SUMIFS('附表4-项目间分摊信息采集表'!$F:$F,'附表4-项目间分摊信息采集表'!$B:$B,S140:AB140)),20),IF(L140="可售建筑面积法",ROUND(SUM('附表4-项目间分摊信息采集表'!$G$5)/SUMPRODUCT(SUMIFS('附表4-项目间分摊信息采集表'!$G:$G,'附表4-项目间分摊信息采集表'!$B:$B,S140:AB140)),20),IF(L140="其他分摊方法",ROUND(SUM('附表4-项目间分摊信息采集表'!$H$5)/SUMPRODUCT(SUMIFS('附表4-项目间分摊信息采集表'!$H:$H,'附表4-项目间分摊信息采集表'!$B:$B,S140:AB140)),20),IF(L140="手工填写分摊比例","请填写分摊比例",100%))))),IF(COUNTA(S140:AB140)&gt;=1,0%,100%)),100%)</f>
        <v>1</v>
      </c>
      <c r="N140" s="97">
        <f>SUMIFS('附表7-扣除项目明细采集底稿'!$R:$R,'附表7-扣除项目明细采集底稿'!$G:$G,B140)</f>
        <v>0</v>
      </c>
      <c r="O140" s="90" t="s">
        <v>4651</v>
      </c>
      <c r="P140" s="113">
        <f>SUMIFS('附表7-扣除项目明细采集底稿'!$T:$T,'附表7-扣除项目明细采集底稿'!$G:$G,$B140)</f>
        <v>0</v>
      </c>
      <c r="Q140" s="117">
        <f t="shared" si="6"/>
        <v>0</v>
      </c>
      <c r="R140" s="118"/>
      <c r="S140" s="90"/>
      <c r="T140" s="90"/>
      <c r="U140" s="90"/>
      <c r="V140" s="90"/>
      <c r="W140" s="90"/>
      <c r="X140" s="90"/>
      <c r="Y140" s="90"/>
      <c r="Z140" s="90"/>
      <c r="AA140" s="90"/>
      <c r="AB140" s="90"/>
    </row>
    <row r="141" s="80" customFormat="1" ht="30.05" spans="1:28">
      <c r="A141" s="90">
        <v>6</v>
      </c>
      <c r="B141" s="91" t="s">
        <v>2486</v>
      </c>
      <c r="C141" s="100" t="s">
        <v>4834</v>
      </c>
      <c r="D141" s="93" t="s">
        <v>4648</v>
      </c>
      <c r="E141" s="94" t="s">
        <v>4835</v>
      </c>
      <c r="F141" s="95">
        <v>44148</v>
      </c>
      <c r="G141" s="96">
        <v>900000</v>
      </c>
      <c r="H141" s="97">
        <v>0</v>
      </c>
      <c r="I141" s="96" t="s">
        <v>4650</v>
      </c>
      <c r="J141" s="90" t="s">
        <v>4650</v>
      </c>
      <c r="K141" s="90" t="s">
        <v>4650</v>
      </c>
      <c r="L141" s="90"/>
      <c r="M141" s="112">
        <f>IFERROR(IF(COUNTIFS(S141:AB141,清算项目基本情况表!$D$6)&gt;=1,IF(L141="占地面积法",ROUND(SUM('附表4-项目间分摊信息采集表'!$E$5)/SUMPRODUCT(SUMIFS('附表4-项目间分摊信息采集表'!$E:$E,'附表4-项目间分摊信息采集表'!$B:$B,S141:AB141)),20),IF(L141="测绘总建筑面积法",ROUND(SUM('附表4-项目间分摊信息采集表'!$F$5)/SUMPRODUCT(SUMIFS('附表4-项目间分摊信息采集表'!$F:$F,'附表4-项目间分摊信息采集表'!$B:$B,S141:AB141)),20),IF(L141="可售建筑面积法",ROUND(SUM('附表4-项目间分摊信息采集表'!$G$5)/SUMPRODUCT(SUMIFS('附表4-项目间分摊信息采集表'!$G:$G,'附表4-项目间分摊信息采集表'!$B:$B,S141:AB141)),20),IF(L141="其他分摊方法",ROUND(SUM('附表4-项目间分摊信息采集表'!$H$5)/SUMPRODUCT(SUMIFS('附表4-项目间分摊信息采集表'!$H:$H,'附表4-项目间分摊信息采集表'!$B:$B,S141:AB141)),20),IF(L141="手工填写分摊比例","请填写分摊比例",100%))))),IF(COUNTA(S141:AB141)&gt;=1,0%,100%)),100%)</f>
        <v>1</v>
      </c>
      <c r="N141" s="97">
        <f>SUMIFS('附表7-扣除项目明细采集底稿'!$R:$R,'附表7-扣除项目明细采集底稿'!$G:$G,B141)</f>
        <v>0</v>
      </c>
      <c r="O141" s="90" t="s">
        <v>4651</v>
      </c>
      <c r="P141" s="113">
        <f>SUMIFS('附表7-扣除项目明细采集底稿'!$T:$T,'附表7-扣除项目明细采集底稿'!$G:$G,$B141)</f>
        <v>0</v>
      </c>
      <c r="Q141" s="117">
        <f t="shared" si="6"/>
        <v>0</v>
      </c>
      <c r="R141" s="118"/>
      <c r="S141" s="90"/>
      <c r="T141" s="90"/>
      <c r="U141" s="90"/>
      <c r="V141" s="90"/>
      <c r="W141" s="90"/>
      <c r="X141" s="90"/>
      <c r="Y141" s="90"/>
      <c r="Z141" s="90"/>
      <c r="AA141" s="90"/>
      <c r="AB141" s="90"/>
    </row>
    <row r="142" s="80" customFormat="1" ht="15.05" spans="1:28">
      <c r="A142" s="90">
        <v>7</v>
      </c>
      <c r="B142" s="91" t="s">
        <v>2566</v>
      </c>
      <c r="C142" s="100" t="s">
        <v>4836</v>
      </c>
      <c r="D142" s="93" t="s">
        <v>4837</v>
      </c>
      <c r="E142" s="94" t="s">
        <v>2567</v>
      </c>
      <c r="F142" s="95">
        <v>44148</v>
      </c>
      <c r="G142" s="96">
        <v>15688.56</v>
      </c>
      <c r="H142" s="97">
        <v>0</v>
      </c>
      <c r="I142" s="96" t="s">
        <v>4650</v>
      </c>
      <c r="J142" s="90" t="s">
        <v>4650</v>
      </c>
      <c r="K142" s="90" t="s">
        <v>4650</v>
      </c>
      <c r="L142" s="90"/>
      <c r="M142" s="112">
        <f>IFERROR(IF(COUNTIFS(S142:AB142,清算项目基本情况表!$D$6)&gt;=1,IF(L142="占地面积法",ROUND(SUM('附表4-项目间分摊信息采集表'!$E$5)/SUMPRODUCT(SUMIFS('附表4-项目间分摊信息采集表'!$E:$E,'附表4-项目间分摊信息采集表'!$B:$B,S142:AB142)),20),IF(L142="测绘总建筑面积法",ROUND(SUM('附表4-项目间分摊信息采集表'!$F$5)/SUMPRODUCT(SUMIFS('附表4-项目间分摊信息采集表'!$F:$F,'附表4-项目间分摊信息采集表'!$B:$B,S142:AB142)),20),IF(L142="可售建筑面积法",ROUND(SUM('附表4-项目间分摊信息采集表'!$G$5)/SUMPRODUCT(SUMIFS('附表4-项目间分摊信息采集表'!$G:$G,'附表4-项目间分摊信息采集表'!$B:$B,S142:AB142)),20),IF(L142="其他分摊方法",ROUND(SUM('附表4-项目间分摊信息采集表'!$H$5)/SUMPRODUCT(SUMIFS('附表4-项目间分摊信息采集表'!$H:$H,'附表4-项目间分摊信息采集表'!$B:$B,S142:AB142)),20),IF(L142="手工填写分摊比例","请填写分摊比例",100%))))),IF(COUNTA(S142:AB142)&gt;=1,0%,100%)),100%)</f>
        <v>1</v>
      </c>
      <c r="N142" s="97">
        <f>SUMIFS('附表7-扣除项目明细采集底稿'!$R:$R,'附表7-扣除项目明细采集底稿'!$G:$G,B142)</f>
        <v>0</v>
      </c>
      <c r="O142" s="90" t="s">
        <v>4651</v>
      </c>
      <c r="P142" s="113">
        <f>SUMIFS('附表7-扣除项目明细采集底稿'!$T:$T,'附表7-扣除项目明细采集底稿'!$G:$G,$B142)</f>
        <v>0</v>
      </c>
      <c r="Q142" s="117">
        <f t="shared" si="6"/>
        <v>0</v>
      </c>
      <c r="R142" s="118"/>
      <c r="S142" s="90"/>
      <c r="T142" s="90"/>
      <c r="U142" s="90"/>
      <c r="V142" s="90"/>
      <c r="W142" s="90"/>
      <c r="X142" s="90"/>
      <c r="Y142" s="90"/>
      <c r="Z142" s="90"/>
      <c r="AA142" s="90"/>
      <c r="AB142" s="90"/>
    </row>
    <row r="143" s="80" customFormat="1" ht="15.05" spans="1:28">
      <c r="A143" s="90">
        <v>12</v>
      </c>
      <c r="B143" s="91" t="s">
        <v>4538</v>
      </c>
      <c r="C143" s="99" t="s">
        <v>4838</v>
      </c>
      <c r="D143" s="93" t="s">
        <v>4655</v>
      </c>
      <c r="E143" s="99" t="s">
        <v>4823</v>
      </c>
      <c r="F143" s="95">
        <v>43804</v>
      </c>
      <c r="G143" s="96">
        <v>440690</v>
      </c>
      <c r="H143" s="97">
        <v>404302.75</v>
      </c>
      <c r="I143" s="96" t="s">
        <v>4650</v>
      </c>
      <c r="J143" s="90" t="s">
        <v>4650</v>
      </c>
      <c r="K143" s="90" t="s">
        <v>4650</v>
      </c>
      <c r="L143" s="90"/>
      <c r="M143" s="112">
        <f>IFERROR(IF(COUNTIFS(S143:AB143,清算项目基本情况表!$D$6)&gt;=1,IF(L143="占地面积法",ROUND(SUM('附表4-项目间分摊信息采集表'!$E$5)/SUMPRODUCT(SUMIFS('附表4-项目间分摊信息采集表'!$E:$E,'附表4-项目间分摊信息采集表'!$B:$B,S143:AB143)),20),IF(L143="测绘总建筑面积法",ROUND(SUM('附表4-项目间分摊信息采集表'!$F$5)/SUMPRODUCT(SUMIFS('附表4-项目间分摊信息采集表'!$F:$F,'附表4-项目间分摊信息采集表'!$B:$B,S143:AB143)),20),IF(L143="可售建筑面积法",ROUND(SUM('附表4-项目间分摊信息采集表'!$G$5)/SUMPRODUCT(SUMIFS('附表4-项目间分摊信息采集表'!$G:$G,'附表4-项目间分摊信息采集表'!$B:$B,S143:AB143)),20),IF(L143="其他分摊方法",ROUND(SUM('附表4-项目间分摊信息采集表'!$H$5)/SUMPRODUCT(SUMIFS('附表4-项目间分摊信息采集表'!$H:$H,'附表4-项目间分摊信息采集表'!$B:$B,S143:AB143)),20),IF(L143="手工填写分摊比例","请填写分摊比例",100%))))),IF(COUNTA(S143:AB143)&gt;=1,0%,100%)),100%)</f>
        <v>1</v>
      </c>
      <c r="N143" s="97">
        <f>SUMIFS('附表7-扣除项目明细采集底稿'!$R:$R,'附表7-扣除项目明细采集底稿'!$G:$G,B143)</f>
        <v>404302.75</v>
      </c>
      <c r="O143" s="90" t="s">
        <v>4651</v>
      </c>
      <c r="P143" s="113">
        <f>SUMIFS('附表7-扣除项目明细采集底稿'!$T:$T,'附表7-扣除项目明细采集底稿'!$G:$G,$B143)</f>
        <v>404302.75</v>
      </c>
      <c r="Q143" s="117">
        <f t="shared" si="6"/>
        <v>0</v>
      </c>
      <c r="R143" s="118"/>
      <c r="S143" s="90"/>
      <c r="T143" s="90"/>
      <c r="U143" s="90"/>
      <c r="V143" s="90"/>
      <c r="W143" s="90"/>
      <c r="X143" s="90"/>
      <c r="Y143" s="90"/>
      <c r="Z143" s="90"/>
      <c r="AA143" s="90"/>
      <c r="AB143" s="90"/>
    </row>
    <row r="144" s="80" customFormat="1" ht="15.05" spans="1:28">
      <c r="A144" s="90">
        <v>13</v>
      </c>
      <c r="B144" s="91" t="s">
        <v>2919</v>
      </c>
      <c r="C144" s="99" t="s">
        <v>4839</v>
      </c>
      <c r="D144" s="93" t="s">
        <v>4655</v>
      </c>
      <c r="E144" s="99" t="s">
        <v>4823</v>
      </c>
      <c r="F144" s="95">
        <v>43804</v>
      </c>
      <c r="G144" s="96">
        <v>3809310</v>
      </c>
      <c r="H144" s="97">
        <v>3494779.82</v>
      </c>
      <c r="I144" s="96" t="s">
        <v>4650</v>
      </c>
      <c r="J144" s="90" t="s">
        <v>4650</v>
      </c>
      <c r="K144" s="90" t="s">
        <v>4650</v>
      </c>
      <c r="L144" s="90"/>
      <c r="M144" s="112">
        <f>IFERROR(IF(COUNTIFS(S144:AB144,清算项目基本情况表!$D$6)&gt;=1,IF(L144="占地面积法",ROUND(SUM('附表4-项目间分摊信息采集表'!$E$5)/SUMPRODUCT(SUMIFS('附表4-项目间分摊信息采集表'!$E:$E,'附表4-项目间分摊信息采集表'!$B:$B,S144:AB144)),20),IF(L144="测绘总建筑面积法",ROUND(SUM('附表4-项目间分摊信息采集表'!$F$5)/SUMPRODUCT(SUMIFS('附表4-项目间分摊信息采集表'!$F:$F,'附表4-项目间分摊信息采集表'!$B:$B,S144:AB144)),20),IF(L144="可售建筑面积法",ROUND(SUM('附表4-项目间分摊信息采集表'!$G$5)/SUMPRODUCT(SUMIFS('附表4-项目间分摊信息采集表'!$G:$G,'附表4-项目间分摊信息采集表'!$B:$B,S144:AB144)),20),IF(L144="其他分摊方法",ROUND(SUM('附表4-项目间分摊信息采集表'!$H$5)/SUMPRODUCT(SUMIFS('附表4-项目间分摊信息采集表'!$H:$H,'附表4-项目间分摊信息采集表'!$B:$B,S144:AB144)),20),IF(L144="手工填写分摊比例","请填写分摊比例",100%))))),IF(COUNTA(S144:AB144)&gt;=1,0%,100%)),100%)</f>
        <v>1</v>
      </c>
      <c r="N144" s="97">
        <f>SUMIFS('附表7-扣除项目明细采集底稿'!$R:$R,'附表7-扣除项目明细采集底稿'!$G:$G,B144)</f>
        <v>3494779.83</v>
      </c>
      <c r="O144" s="90" t="s">
        <v>4651</v>
      </c>
      <c r="P144" s="113">
        <f>SUMIFS('附表7-扣除项目明细采集底稿'!$T:$T,'附表7-扣除项目明细采集底稿'!$G:$G,$B144)</f>
        <v>3494779.83</v>
      </c>
      <c r="Q144" s="117">
        <f t="shared" si="6"/>
        <v>0</v>
      </c>
      <c r="R144" s="118"/>
      <c r="S144" s="90"/>
      <c r="T144" s="90"/>
      <c r="U144" s="90"/>
      <c r="V144" s="90"/>
      <c r="W144" s="90"/>
      <c r="X144" s="90"/>
      <c r="Y144" s="90"/>
      <c r="Z144" s="90"/>
      <c r="AA144" s="90"/>
      <c r="AB144" s="90"/>
    </row>
    <row r="145" s="80" customFormat="1" ht="15.05" spans="1:28">
      <c r="A145" s="90">
        <v>21</v>
      </c>
      <c r="B145" s="91" t="s">
        <v>4451</v>
      </c>
      <c r="C145" s="99" t="s">
        <v>4840</v>
      </c>
      <c r="D145" s="93" t="s">
        <v>4675</v>
      </c>
      <c r="E145" s="94" t="s">
        <v>4681</v>
      </c>
      <c r="F145" s="95">
        <v>43983</v>
      </c>
      <c r="G145" s="96">
        <v>16314.8</v>
      </c>
      <c r="H145" s="97">
        <v>15391.32</v>
      </c>
      <c r="I145" s="96" t="s">
        <v>4650</v>
      </c>
      <c r="J145" s="90" t="s">
        <v>4650</v>
      </c>
      <c r="K145" s="90" t="s">
        <v>15</v>
      </c>
      <c r="L145" s="90" t="s">
        <v>351</v>
      </c>
      <c r="M145" s="112">
        <f>IFERROR(IF(COUNTIFS(S145:AB145,清算项目基本情况表!$D$6)&gt;=1,IF(L145="占地面积法",ROUND(SUM('附表4-项目间分摊信息采集表'!$E$5)/SUMPRODUCT(SUMIFS('附表4-项目间分摊信息采集表'!$E:$E,'附表4-项目间分摊信息采集表'!$B:$B,S145:AB145)),20),IF(L145="测绘总建筑面积法",ROUND(SUM('附表4-项目间分摊信息采集表'!$F$5)/SUMPRODUCT(SUMIFS('附表4-项目间分摊信息采集表'!$F:$F,'附表4-项目间分摊信息采集表'!$B:$B,S145:AB145)),20),IF(L145="可售建筑面积法",ROUND(SUM('附表4-项目间分摊信息采集表'!$G$5)/SUMPRODUCT(SUMIFS('附表4-项目间分摊信息采集表'!$G:$G,'附表4-项目间分摊信息采集表'!$B:$B,S145:AB145)),20),IF(L145="其他分摊方法",ROUND(SUM('附表4-项目间分摊信息采集表'!$H$5)/SUMPRODUCT(SUMIFS('附表4-项目间分摊信息采集表'!$H:$H,'附表4-项目间分摊信息采集表'!$B:$B,S145:AB145)),20),IF(L145="手工填写分摊比例","请填写分摊比例",100%))))),IF(COUNTA(S145:AB145)&gt;=1,0%,100%)),100%)</f>
        <v>0.338555832480367</v>
      </c>
      <c r="N145" s="97">
        <f>SUMIFS('附表7-扣除项目明细采集底稿'!$R:$R,'附表7-扣除项目明细采集底稿'!$G:$G,B145)</f>
        <v>15391.32</v>
      </c>
      <c r="O145" s="90" t="s">
        <v>4651</v>
      </c>
      <c r="P145" s="113">
        <f>SUMIFS('附表7-扣除项目明细采集底稿'!$T:$T,'附表7-扣除项目明细采集底稿'!$G:$G,$B145)</f>
        <v>5210.82</v>
      </c>
      <c r="Q145" s="117">
        <f t="shared" si="6"/>
        <v>10180.5</v>
      </c>
      <c r="R145" s="118"/>
      <c r="S145" s="90" t="s">
        <v>11</v>
      </c>
      <c r="T145" s="90" t="s">
        <v>46</v>
      </c>
      <c r="U145" s="90" t="s">
        <v>371</v>
      </c>
      <c r="V145" s="90"/>
      <c r="W145" s="90"/>
      <c r="X145" s="90"/>
      <c r="Y145" s="90"/>
      <c r="Z145" s="90"/>
      <c r="AA145" s="90"/>
      <c r="AB145" s="90"/>
    </row>
    <row r="146" s="80" customFormat="1" ht="15.05" spans="1:28">
      <c r="A146" s="90">
        <v>32</v>
      </c>
      <c r="B146" s="91" t="s">
        <v>3310</v>
      </c>
      <c r="C146" s="100" t="s">
        <v>4841</v>
      </c>
      <c r="D146" s="93" t="s">
        <v>4655</v>
      </c>
      <c r="E146" s="94" t="s">
        <v>4842</v>
      </c>
      <c r="F146" s="95">
        <v>44148</v>
      </c>
      <c r="G146" s="96">
        <v>13624</v>
      </c>
      <c r="H146" s="97">
        <v>12852.83</v>
      </c>
      <c r="I146" s="96" t="s">
        <v>4650</v>
      </c>
      <c r="J146" s="90" t="s">
        <v>4650</v>
      </c>
      <c r="K146" s="90" t="s">
        <v>15</v>
      </c>
      <c r="L146" s="90" t="s">
        <v>4719</v>
      </c>
      <c r="M146" s="112">
        <f>IFERROR(IF(COUNTIFS(S146:AB146,清算项目基本情况表!$D$6)&gt;=1,IF(L146="占地面积法",ROUND(SUM('附表4-项目间分摊信息采集表'!$E$5)/SUMPRODUCT(SUMIFS('附表4-项目间分摊信息采集表'!$E:$E,'附表4-项目间分摊信息采集表'!$B:$B,S146:AB146)),20),IF(L146="测绘总建筑面积法",ROUND(SUM('附表4-项目间分摊信息采集表'!$F$5)/SUMPRODUCT(SUMIFS('附表4-项目间分摊信息采集表'!$F:$F,'附表4-项目间分摊信息采集表'!$B:$B,S146:AB146)),20),IF(L146="可售建筑面积法",ROUND(SUM('附表4-项目间分摊信息采集表'!$G$5)/SUMPRODUCT(SUMIFS('附表4-项目间分摊信息采集表'!$G:$G,'附表4-项目间分摊信息采集表'!$B:$B,S146:AB146)),20),IF(L146="其他分摊方法",ROUND(SUM('附表4-项目间分摊信息采集表'!$H$5)/SUMPRODUCT(SUMIFS('附表4-项目间分摊信息采集表'!$H:$H,'附表4-项目间分摊信息采集表'!$B:$B,S146:AB146)),20),IF(L146="手工填写分摊比例","请填写分摊比例",100%))))),IF(COUNTA(S146:AB146)&gt;=1,0%,100%)),100%)</f>
        <v>0.109829243890136</v>
      </c>
      <c r="N146" s="97">
        <f>SUMIFS('附表7-扣除项目明细采集底稿'!$R:$R,'附表7-扣除项目明细采集底稿'!$G:$G,B146)</f>
        <v>12852.83</v>
      </c>
      <c r="O146" s="90" t="s">
        <v>4651</v>
      </c>
      <c r="P146" s="113">
        <f>SUMIFS('附表7-扣除项目明细采集底稿'!$T:$T,'附表7-扣除项目明细采集底稿'!$G:$G,$B146)</f>
        <v>1411.62</v>
      </c>
      <c r="Q146" s="117">
        <f t="shared" si="6"/>
        <v>11441.21</v>
      </c>
      <c r="R146" s="118"/>
      <c r="S146" s="90" t="s">
        <v>11</v>
      </c>
      <c r="T146" s="90" t="s">
        <v>46</v>
      </c>
      <c r="U146" s="90" t="s">
        <v>371</v>
      </c>
      <c r="V146" s="90"/>
      <c r="W146" s="90"/>
      <c r="X146" s="90"/>
      <c r="Y146" s="90"/>
      <c r="Z146" s="90"/>
      <c r="AA146" s="90"/>
      <c r="AB146" s="90"/>
    </row>
    <row r="147" s="80" customFormat="1" ht="15.05" spans="1:28">
      <c r="A147" s="90">
        <v>33</v>
      </c>
      <c r="B147" s="91" t="s">
        <v>4053</v>
      </c>
      <c r="C147" s="99" t="s">
        <v>4843</v>
      </c>
      <c r="D147" s="93" t="s">
        <v>4655</v>
      </c>
      <c r="E147" s="99" t="s">
        <v>4844</v>
      </c>
      <c r="F147" s="95">
        <v>44148</v>
      </c>
      <c r="G147" s="96">
        <v>100000</v>
      </c>
      <c r="H147" s="97">
        <v>91743.12</v>
      </c>
      <c r="I147" s="96" t="s">
        <v>4650</v>
      </c>
      <c r="J147" s="90" t="s">
        <v>4650</v>
      </c>
      <c r="K147" s="90" t="s">
        <v>15</v>
      </c>
      <c r="L147" s="90" t="s">
        <v>351</v>
      </c>
      <c r="M147" s="112">
        <f>IFERROR(IF(COUNTIFS(S147:AB147,清算项目基本情况表!$D$6)&gt;=1,IF(L147="占地面积法",ROUND(SUM('附表4-项目间分摊信息采集表'!$E$5)/SUMPRODUCT(SUMIFS('附表4-项目间分摊信息采集表'!$E:$E,'附表4-项目间分摊信息采集表'!$B:$B,S147:AB147)),20),IF(L147="测绘总建筑面积法",ROUND(SUM('附表4-项目间分摊信息采集表'!$F$5)/SUMPRODUCT(SUMIFS('附表4-项目间分摊信息采集表'!$F:$F,'附表4-项目间分摊信息采集表'!$B:$B,S147:AB147)),20),IF(L147="可售建筑面积法",ROUND(SUM('附表4-项目间分摊信息采集表'!$G$5)/SUMPRODUCT(SUMIFS('附表4-项目间分摊信息采集表'!$G:$G,'附表4-项目间分摊信息采集表'!$B:$B,S147:AB147)),20),IF(L147="其他分摊方法",ROUND(SUM('附表4-项目间分摊信息采集表'!$H$5)/SUMPRODUCT(SUMIFS('附表4-项目间分摊信息采集表'!$H:$H,'附表4-项目间分摊信息采集表'!$B:$B,S147:AB147)),20),IF(L147="手工填写分摊比例","请填写分摊比例",100%))))),IF(COUNTA(S147:AB147)&gt;=1,0%,100%)),100%)</f>
        <v>0.338555832480367</v>
      </c>
      <c r="N147" s="97">
        <f>SUMIFS('附表7-扣除项目明细采集底稿'!$R:$R,'附表7-扣除项目明细采集底稿'!$G:$G,B147)</f>
        <v>91743.12</v>
      </c>
      <c r="O147" s="90" t="s">
        <v>4651</v>
      </c>
      <c r="P147" s="113">
        <f>SUMIFS('附表7-扣除项目明细采集底稿'!$T:$T,'附表7-扣除项目明细采集底稿'!$G:$G,$B147)</f>
        <v>31060.17</v>
      </c>
      <c r="Q147" s="117">
        <f t="shared" si="6"/>
        <v>60682.95</v>
      </c>
      <c r="R147" s="118"/>
      <c r="S147" s="90" t="s">
        <v>11</v>
      </c>
      <c r="T147" s="90" t="s">
        <v>46</v>
      </c>
      <c r="U147" s="90" t="s">
        <v>371</v>
      </c>
      <c r="V147" s="90"/>
      <c r="W147" s="90"/>
      <c r="X147" s="90"/>
      <c r="Y147" s="90"/>
      <c r="Z147" s="90"/>
      <c r="AA147" s="90"/>
      <c r="AB147" s="90"/>
    </row>
    <row r="148" s="80" customFormat="1" ht="30.05" spans="1:28">
      <c r="A148" s="90">
        <v>36</v>
      </c>
      <c r="B148" s="91" t="s">
        <v>4333</v>
      </c>
      <c r="C148" s="92" t="s">
        <v>4845</v>
      </c>
      <c r="D148" s="93" t="s">
        <v>4648</v>
      </c>
      <c r="E148" s="94" t="s">
        <v>4649</v>
      </c>
      <c r="F148" s="95">
        <v>44148</v>
      </c>
      <c r="G148" s="96">
        <v>355911.42</v>
      </c>
      <c r="H148" s="97">
        <v>326524.24</v>
      </c>
      <c r="I148" s="96" t="s">
        <v>4650</v>
      </c>
      <c r="J148" s="90" t="s">
        <v>4650</v>
      </c>
      <c r="K148" s="90" t="s">
        <v>15</v>
      </c>
      <c r="L148" s="90" t="s">
        <v>351</v>
      </c>
      <c r="M148" s="112">
        <f>IFERROR(IF(COUNTIFS(S148:AB148,清算项目基本情况表!$D$6)&gt;=1,IF(L148="占地面积法",ROUND(SUM('附表4-项目间分摊信息采集表'!$E$5)/SUMPRODUCT(SUMIFS('附表4-项目间分摊信息采集表'!$E:$E,'附表4-项目间分摊信息采集表'!$B:$B,S148:AB148)),20),IF(L148="测绘总建筑面积法",ROUND(SUM('附表4-项目间分摊信息采集表'!$F$5)/SUMPRODUCT(SUMIFS('附表4-项目间分摊信息采集表'!$F:$F,'附表4-项目间分摊信息采集表'!$B:$B,S148:AB148)),20),IF(L148="可售建筑面积法",ROUND(SUM('附表4-项目间分摊信息采集表'!$G$5)/SUMPRODUCT(SUMIFS('附表4-项目间分摊信息采集表'!$G:$G,'附表4-项目间分摊信息采集表'!$B:$B,S148:AB148)),20),IF(L148="其他分摊方法",ROUND(SUM('附表4-项目间分摊信息采集表'!$H$5)/SUMPRODUCT(SUMIFS('附表4-项目间分摊信息采集表'!$H:$H,'附表4-项目间分摊信息采集表'!$B:$B,S148:AB148)),20),IF(L148="手工填写分摊比例","请填写分摊比例",100%))))),IF(COUNTA(S148:AB148)&gt;=1,0%,100%)),100%)</f>
        <v>0.338555832480367</v>
      </c>
      <c r="N148" s="97">
        <f>SUMIFS('附表7-扣除项目明细采集底稿'!$R:$R,'附表7-扣除项目明细采集底稿'!$G:$G,B148)</f>
        <v>326524.24</v>
      </c>
      <c r="O148" s="90" t="s">
        <v>4651</v>
      </c>
      <c r="P148" s="113">
        <f>SUMIFS('附表7-扣除项目明细采集底稿'!$T:$T,'附表7-扣除项目明细采集底稿'!$G:$G,$B148)</f>
        <v>110546.69</v>
      </c>
      <c r="Q148" s="117">
        <f t="shared" si="6"/>
        <v>215977.55</v>
      </c>
      <c r="R148" s="118"/>
      <c r="S148" s="90" t="s">
        <v>11</v>
      </c>
      <c r="T148" s="90" t="s">
        <v>46</v>
      </c>
      <c r="U148" s="90" t="s">
        <v>371</v>
      </c>
      <c r="V148" s="90"/>
      <c r="W148" s="90"/>
      <c r="X148" s="90"/>
      <c r="Y148" s="90"/>
      <c r="Z148" s="90"/>
      <c r="AA148" s="90"/>
      <c r="AB148" s="90"/>
    </row>
    <row r="149" s="80" customFormat="1" ht="30.05" spans="1:28">
      <c r="A149" s="90">
        <v>37</v>
      </c>
      <c r="B149" s="91" t="s">
        <v>2886</v>
      </c>
      <c r="C149" s="92" t="s">
        <v>4846</v>
      </c>
      <c r="D149" s="93" t="s">
        <v>4648</v>
      </c>
      <c r="E149" s="94" t="s">
        <v>4847</v>
      </c>
      <c r="F149" s="95">
        <v>44148</v>
      </c>
      <c r="G149" s="96">
        <v>4414863.18</v>
      </c>
      <c r="H149" s="97">
        <v>4050333.19</v>
      </c>
      <c r="I149" s="96" t="s">
        <v>4650</v>
      </c>
      <c r="J149" s="90" t="s">
        <v>4650</v>
      </c>
      <c r="K149" s="90" t="s">
        <v>4650</v>
      </c>
      <c r="L149" s="90"/>
      <c r="M149" s="112">
        <f>IFERROR(IF(COUNTIFS(S149:AB149,清算项目基本情况表!$D$6)&gt;=1,IF(L149="占地面积法",ROUND(SUM('附表4-项目间分摊信息采集表'!$E$5)/SUMPRODUCT(SUMIFS('附表4-项目间分摊信息采集表'!$E:$E,'附表4-项目间分摊信息采集表'!$B:$B,S149:AB149)),20),IF(L149="测绘总建筑面积法",ROUND(SUM('附表4-项目间分摊信息采集表'!$F$5)/SUMPRODUCT(SUMIFS('附表4-项目间分摊信息采集表'!$F:$F,'附表4-项目间分摊信息采集表'!$B:$B,S149:AB149)),20),IF(L149="可售建筑面积法",ROUND(SUM('附表4-项目间分摊信息采集表'!$G$5)/SUMPRODUCT(SUMIFS('附表4-项目间分摊信息采集表'!$G:$G,'附表4-项目间分摊信息采集表'!$B:$B,S149:AB149)),20),IF(L149="其他分摊方法",ROUND(SUM('附表4-项目间分摊信息采集表'!$H$5)/SUMPRODUCT(SUMIFS('附表4-项目间分摊信息采集表'!$H:$H,'附表4-项目间分摊信息采集表'!$B:$B,S149:AB149)),20),IF(L149="手工填写分摊比例","请填写分摊比例",100%))))),IF(COUNTA(S149:AB149)&gt;=1,0%,100%)),100%)</f>
        <v>1</v>
      </c>
      <c r="N149" s="97">
        <f>SUMIFS('附表7-扣除项目明细采集底稿'!$R:$R,'附表7-扣除项目明细采集底稿'!$G:$G,B149)</f>
        <v>4050333.1912844</v>
      </c>
      <c r="O149" s="90" t="s">
        <v>4651</v>
      </c>
      <c r="P149" s="113">
        <f>SUMIFS('附表7-扣除项目明细采集底稿'!$T:$T,'附表7-扣除项目明细采集底稿'!$G:$G,$B149)</f>
        <v>4050333.19</v>
      </c>
      <c r="Q149" s="117">
        <f t="shared" si="6"/>
        <v>0</v>
      </c>
      <c r="R149" s="118"/>
      <c r="S149" s="90"/>
      <c r="T149" s="90"/>
      <c r="U149" s="90"/>
      <c r="V149" s="90"/>
      <c r="W149" s="90"/>
      <c r="X149" s="90"/>
      <c r="Y149" s="90"/>
      <c r="Z149" s="90"/>
      <c r="AA149" s="90"/>
      <c r="AB149" s="90"/>
    </row>
    <row r="150" s="80" customFormat="1" ht="30.05" spans="1:28">
      <c r="A150" s="90">
        <v>40</v>
      </c>
      <c r="B150" s="91" t="s">
        <v>4313</v>
      </c>
      <c r="C150" s="99" t="s">
        <v>4848</v>
      </c>
      <c r="D150" s="93" t="s">
        <v>4648</v>
      </c>
      <c r="E150" s="94" t="s">
        <v>4849</v>
      </c>
      <c r="F150" s="95">
        <v>44597</v>
      </c>
      <c r="G150" s="96">
        <v>3069771.85</v>
      </c>
      <c r="H150" s="97">
        <v>2816304.45</v>
      </c>
      <c r="I150" s="96" t="s">
        <v>4650</v>
      </c>
      <c r="J150" s="90" t="s">
        <v>4650</v>
      </c>
      <c r="K150" s="90" t="s">
        <v>15</v>
      </c>
      <c r="L150" s="90" t="s">
        <v>351</v>
      </c>
      <c r="M150" s="112">
        <f>IFERROR(IF(COUNTIFS(S150:AB150,清算项目基本情况表!$D$6)&gt;=1,IF(L150="占地面积法",ROUND(SUM('附表4-项目间分摊信息采集表'!$E$5)/SUMPRODUCT(SUMIFS('附表4-项目间分摊信息采集表'!$E:$E,'附表4-项目间分摊信息采集表'!$B:$B,S150:AB150)),20),IF(L150="测绘总建筑面积法",ROUND(SUM('附表4-项目间分摊信息采集表'!$F$5)/SUMPRODUCT(SUMIFS('附表4-项目间分摊信息采集表'!$F:$F,'附表4-项目间分摊信息采集表'!$B:$B,S150:AB150)),20),IF(L150="可售建筑面积法",ROUND(SUM('附表4-项目间分摊信息采集表'!$G$5)/SUMPRODUCT(SUMIFS('附表4-项目间分摊信息采集表'!$G:$G,'附表4-项目间分摊信息采集表'!$B:$B,S150:AB150)),20),IF(L150="其他分摊方法",ROUND(SUM('附表4-项目间分摊信息采集表'!$H$5)/SUMPRODUCT(SUMIFS('附表4-项目间分摊信息采集表'!$H:$H,'附表4-项目间分摊信息采集表'!$B:$B,S150:AB150)),20),IF(L150="手工填写分摊比例","请填写分摊比例",100%))))),IF(COUNTA(S150:AB150)&gt;=1,0%,100%)),100%)</f>
        <v>0.338555832480367</v>
      </c>
      <c r="N150" s="97">
        <f>SUMIFS('附表7-扣除项目明细采集底稿'!$R:$R,'附表7-扣除项目明细采集底稿'!$G:$G,B150)</f>
        <v>2816304.44073394</v>
      </c>
      <c r="O150" s="90" t="s">
        <v>4651</v>
      </c>
      <c r="P150" s="113">
        <f>SUMIFS('附表7-扣除项目明细采集底稿'!$T:$T,'附表7-扣除项目明细采集底稿'!$G:$G,$B150)</f>
        <v>953476.29</v>
      </c>
      <c r="Q150" s="117">
        <f t="shared" si="6"/>
        <v>1862828.15</v>
      </c>
      <c r="R150" s="118"/>
      <c r="S150" s="90" t="s">
        <v>11</v>
      </c>
      <c r="T150" s="90" t="s">
        <v>46</v>
      </c>
      <c r="U150" s="90" t="s">
        <v>371</v>
      </c>
      <c r="V150" s="90"/>
      <c r="W150" s="90"/>
      <c r="X150" s="90"/>
      <c r="Y150" s="90"/>
      <c r="Z150" s="90"/>
      <c r="AA150" s="90"/>
      <c r="AB150" s="90"/>
    </row>
    <row r="151" s="80" customFormat="1" ht="30.05" spans="1:28">
      <c r="A151" s="90">
        <v>41</v>
      </c>
      <c r="B151" s="91" t="s">
        <v>4162</v>
      </c>
      <c r="C151" s="99" t="s">
        <v>4850</v>
      </c>
      <c r="D151" s="93" t="s">
        <v>4648</v>
      </c>
      <c r="E151" s="94" t="s">
        <v>4849</v>
      </c>
      <c r="F151" s="95">
        <v>44597</v>
      </c>
      <c r="G151" s="96">
        <v>26703208</v>
      </c>
      <c r="H151" s="97">
        <v>24498355.96</v>
      </c>
      <c r="I151" s="96" t="s">
        <v>4650</v>
      </c>
      <c r="J151" s="90" t="s">
        <v>4650</v>
      </c>
      <c r="K151" s="90" t="s">
        <v>15</v>
      </c>
      <c r="L151" s="90" t="s">
        <v>4719</v>
      </c>
      <c r="M151" s="112">
        <f>IFERROR(IF(COUNTIFS(S151:AB151,清算项目基本情况表!$D$6)&gt;=1,IF(L151="占地面积法",ROUND(SUM('附表4-项目间分摊信息采集表'!$E$5)/SUMPRODUCT(SUMIFS('附表4-项目间分摊信息采集表'!$E:$E,'附表4-项目间分摊信息采集表'!$B:$B,S151:AB151)),20),IF(L151="测绘总建筑面积法",ROUND(SUM('附表4-项目间分摊信息采集表'!$F$5)/SUMPRODUCT(SUMIFS('附表4-项目间分摊信息采集表'!$F:$F,'附表4-项目间分摊信息采集表'!$B:$B,S151:AB151)),20),IF(L151="可售建筑面积法",ROUND(SUM('附表4-项目间分摊信息采集表'!$G$5)/SUMPRODUCT(SUMIFS('附表4-项目间分摊信息采集表'!$G:$G,'附表4-项目间分摊信息采集表'!$B:$B,S151:AB151)),20),IF(L151="其他分摊方法",ROUND(SUM('附表4-项目间分摊信息采集表'!$H$5)/SUMPRODUCT(SUMIFS('附表4-项目间分摊信息采集表'!$H:$H,'附表4-项目间分摊信息采集表'!$B:$B,S151:AB151)),20),IF(L151="手工填写分摊比例","请填写分摊比例",100%))))),IF(COUNTA(S151:AB151)&gt;=1,0%,100%)),100%)</f>
        <v>0.109829243890136</v>
      </c>
      <c r="N151" s="97">
        <f>SUMIFS('附表7-扣除项目明细采集底稿'!$R:$R,'附表7-扣除项目明细采集底稿'!$G:$G,B151)</f>
        <v>24498355.9633028</v>
      </c>
      <c r="O151" s="90" t="s">
        <v>4651</v>
      </c>
      <c r="P151" s="113">
        <f>SUMIFS('附表7-扣除项目明细采集底稿'!$T:$T,'附表7-扣除项目明细采集底稿'!$G:$G,$B151)</f>
        <v>2690635.92</v>
      </c>
      <c r="Q151" s="117">
        <f t="shared" si="6"/>
        <v>21807720.04</v>
      </c>
      <c r="R151" s="118"/>
      <c r="S151" s="90" t="s">
        <v>11</v>
      </c>
      <c r="T151" s="90" t="s">
        <v>46</v>
      </c>
      <c r="U151" s="90" t="s">
        <v>371</v>
      </c>
      <c r="V151" s="90"/>
      <c r="W151" s="90"/>
      <c r="X151" s="90"/>
      <c r="Y151" s="90"/>
      <c r="Z151" s="90"/>
      <c r="AA151" s="90"/>
      <c r="AB151" s="90"/>
    </row>
    <row r="152" s="80" customFormat="1" ht="30.05" spans="1:28">
      <c r="A152" s="90">
        <v>42</v>
      </c>
      <c r="B152" s="91" t="s">
        <v>4509</v>
      </c>
      <c r="C152" s="99" t="s">
        <v>4851</v>
      </c>
      <c r="D152" s="93" t="s">
        <v>4648</v>
      </c>
      <c r="E152" s="99" t="s">
        <v>4852</v>
      </c>
      <c r="F152" s="108">
        <v>44478</v>
      </c>
      <c r="G152" s="96">
        <v>396989</v>
      </c>
      <c r="H152" s="97">
        <v>364210.09</v>
      </c>
      <c r="I152" s="96" t="s">
        <v>4650</v>
      </c>
      <c r="J152" s="90" t="s">
        <v>4650</v>
      </c>
      <c r="K152" s="90" t="s">
        <v>15</v>
      </c>
      <c r="L152" s="90" t="s">
        <v>351</v>
      </c>
      <c r="M152" s="112">
        <f>IFERROR(IF(COUNTIFS(S152:AB152,清算项目基本情况表!$D$6)&gt;=1,IF(L152="占地面积法",ROUND(SUM('附表4-项目间分摊信息采集表'!$E$5)/SUMPRODUCT(SUMIFS('附表4-项目间分摊信息采集表'!$E:$E,'附表4-项目间分摊信息采集表'!$B:$B,S152:AB152)),20),IF(L152="测绘总建筑面积法",ROUND(SUM('附表4-项目间分摊信息采集表'!$F$5)/SUMPRODUCT(SUMIFS('附表4-项目间分摊信息采集表'!$F:$F,'附表4-项目间分摊信息采集表'!$B:$B,S152:AB152)),20),IF(L152="可售建筑面积法",ROUND(SUM('附表4-项目间分摊信息采集表'!$G$5)/SUMPRODUCT(SUMIFS('附表4-项目间分摊信息采集表'!$G:$G,'附表4-项目间分摊信息采集表'!$B:$B,S152:AB152)),20),IF(L152="其他分摊方法",ROUND(SUM('附表4-项目间分摊信息采集表'!$H$5)/SUMPRODUCT(SUMIFS('附表4-项目间分摊信息采集表'!$H:$H,'附表4-项目间分摊信息采集表'!$B:$B,S152:AB152)),20),IF(L152="手工填写分摊比例","请填写分摊比例",100%))))),IF(COUNTA(S152:AB152)&gt;=1,0%,100%)),100%)</f>
        <v>0.338555832480367</v>
      </c>
      <c r="N152" s="97">
        <f>SUMIFS('附表7-扣除项目明细采集底稿'!$R:$R,'附表7-扣除项目明细采集底稿'!$G:$G,B152)</f>
        <v>348687.16</v>
      </c>
      <c r="O152" s="90" t="s">
        <v>4651</v>
      </c>
      <c r="P152" s="113">
        <f>SUMIFS('附表7-扣除项目明细采集底稿'!$T:$T,'附表7-扣除项目明细采集底稿'!$G:$G,$B152)</f>
        <v>118050.07</v>
      </c>
      <c r="Q152" s="117">
        <f t="shared" si="6"/>
        <v>230637.09</v>
      </c>
      <c r="R152" s="118"/>
      <c r="S152" s="90" t="s">
        <v>11</v>
      </c>
      <c r="T152" s="90" t="s">
        <v>46</v>
      </c>
      <c r="U152" s="90" t="s">
        <v>371</v>
      </c>
      <c r="V152" s="90"/>
      <c r="W152" s="90"/>
      <c r="X152" s="90"/>
      <c r="Y152" s="90"/>
      <c r="Z152" s="90"/>
      <c r="AA152" s="90"/>
      <c r="AB152" s="90"/>
    </row>
    <row r="153" s="80" customFormat="1" ht="30.05" spans="1:28">
      <c r="A153" s="90">
        <v>43</v>
      </c>
      <c r="B153" s="91" t="s">
        <v>4146</v>
      </c>
      <c r="C153" s="100" t="s">
        <v>4853</v>
      </c>
      <c r="D153" s="93" t="s">
        <v>4648</v>
      </c>
      <c r="E153" s="99" t="s">
        <v>4854</v>
      </c>
      <c r="F153" s="95">
        <v>44357</v>
      </c>
      <c r="G153" s="96">
        <v>1900000</v>
      </c>
      <c r="H153" s="97">
        <v>1743119.27</v>
      </c>
      <c r="I153" s="96" t="s">
        <v>4650</v>
      </c>
      <c r="J153" s="90" t="s">
        <v>4650</v>
      </c>
      <c r="K153" s="90" t="s">
        <v>15</v>
      </c>
      <c r="L153" s="90" t="s">
        <v>351</v>
      </c>
      <c r="M153" s="112">
        <f>IFERROR(IF(COUNTIFS(S153:AB153,清算项目基本情况表!$D$6)&gt;=1,IF(L153="占地面积法",ROUND(SUM('附表4-项目间分摊信息采集表'!$E$5)/SUMPRODUCT(SUMIFS('附表4-项目间分摊信息采集表'!$E:$E,'附表4-项目间分摊信息采集表'!$B:$B,S153:AB153)),20),IF(L153="测绘总建筑面积法",ROUND(SUM('附表4-项目间分摊信息采集表'!$F$5)/SUMPRODUCT(SUMIFS('附表4-项目间分摊信息采集表'!$F:$F,'附表4-项目间分摊信息采集表'!$B:$B,S153:AB153)),20),IF(L153="可售建筑面积法",ROUND(SUM('附表4-项目间分摊信息采集表'!$G$5)/SUMPRODUCT(SUMIFS('附表4-项目间分摊信息采集表'!$G:$G,'附表4-项目间分摊信息采集表'!$B:$B,S153:AB153)),20),IF(L153="其他分摊方法",ROUND(SUM('附表4-项目间分摊信息采集表'!$H$5)/SUMPRODUCT(SUMIFS('附表4-项目间分摊信息采集表'!$H:$H,'附表4-项目间分摊信息采集表'!$B:$B,S153:AB153)),20),IF(L153="手工填写分摊比例","请填写分摊比例",100%))))),IF(COUNTA(S153:AB153)&gt;=1,0%,100%)),100%)</f>
        <v>0.338555832480367</v>
      </c>
      <c r="N153" s="97">
        <f>SUMIFS('附表7-扣除项目明细采集底稿'!$R:$R,'附表7-扣除项目明细采集底稿'!$G:$G,B153)</f>
        <v>1743119.2646789</v>
      </c>
      <c r="O153" s="90" t="s">
        <v>4651</v>
      </c>
      <c r="P153" s="113">
        <f>SUMIFS('附表7-扣除项目明细采集底稿'!$T:$T,'附表7-扣除项目明细采集底稿'!$G:$G,$B153)</f>
        <v>590143.2</v>
      </c>
      <c r="Q153" s="117">
        <f t="shared" si="6"/>
        <v>1152976.06</v>
      </c>
      <c r="R153" s="118"/>
      <c r="S153" s="90" t="s">
        <v>11</v>
      </c>
      <c r="T153" s="90" t="s">
        <v>46</v>
      </c>
      <c r="U153" s="90" t="s">
        <v>371</v>
      </c>
      <c r="V153" s="90"/>
      <c r="W153" s="90"/>
      <c r="X153" s="90"/>
      <c r="Y153" s="90"/>
      <c r="Z153" s="90"/>
      <c r="AA153" s="90"/>
      <c r="AB153" s="90"/>
    </row>
    <row r="154" s="80" customFormat="1" ht="15.05" spans="1:28">
      <c r="A154" s="90">
        <v>44</v>
      </c>
      <c r="B154" s="91" t="s">
        <v>3961</v>
      </c>
      <c r="C154" s="100" t="s">
        <v>4855</v>
      </c>
      <c r="D154" s="93" t="s">
        <v>4675</v>
      </c>
      <c r="E154" s="94" t="s">
        <v>3764</v>
      </c>
      <c r="F154" s="95">
        <v>44148</v>
      </c>
      <c r="G154" s="96">
        <v>6128.72</v>
      </c>
      <c r="H154" s="97">
        <v>5781.81</v>
      </c>
      <c r="I154" s="96" t="s">
        <v>4650</v>
      </c>
      <c r="J154" s="90" t="s">
        <v>4650</v>
      </c>
      <c r="K154" s="90" t="s">
        <v>4650</v>
      </c>
      <c r="L154" s="90"/>
      <c r="M154" s="112">
        <f>IFERROR(IF(COUNTIFS(S154:AB154,清算项目基本情况表!$D$6)&gt;=1,IF(L154="占地面积法",ROUND(SUM('附表4-项目间分摊信息采集表'!$E$5)/SUMPRODUCT(SUMIFS('附表4-项目间分摊信息采集表'!$E:$E,'附表4-项目间分摊信息采集表'!$B:$B,S154:AB154)),20),IF(L154="测绘总建筑面积法",ROUND(SUM('附表4-项目间分摊信息采集表'!$F$5)/SUMPRODUCT(SUMIFS('附表4-项目间分摊信息采集表'!$F:$F,'附表4-项目间分摊信息采集表'!$B:$B,S154:AB154)),20),IF(L154="可售建筑面积法",ROUND(SUM('附表4-项目间分摊信息采集表'!$G$5)/SUMPRODUCT(SUMIFS('附表4-项目间分摊信息采集表'!$G:$G,'附表4-项目间分摊信息采集表'!$B:$B,S154:AB154)),20),IF(L154="其他分摊方法",ROUND(SUM('附表4-项目间分摊信息采集表'!$H$5)/SUMPRODUCT(SUMIFS('附表4-项目间分摊信息采集表'!$H:$H,'附表4-项目间分摊信息采集表'!$B:$B,S154:AB154)),20),IF(L154="手工填写分摊比例","请填写分摊比例",100%))))),IF(COUNTA(S154:AB154)&gt;=1,0%,100%)),100%)</f>
        <v>1</v>
      </c>
      <c r="N154" s="97">
        <f>SUMIFS('附表7-扣除项目明细采集底稿'!$R:$R,'附表7-扣除项目明细采集底稿'!$G:$G,B154)</f>
        <v>5781.8</v>
      </c>
      <c r="O154" s="90" t="s">
        <v>4651</v>
      </c>
      <c r="P154" s="113">
        <f>SUMIFS('附表7-扣除项目明细采集底稿'!$T:$T,'附表7-扣除项目明细采集底稿'!$G:$G,$B154)</f>
        <v>5781.8</v>
      </c>
      <c r="Q154" s="117">
        <f t="shared" si="6"/>
        <v>0</v>
      </c>
      <c r="R154" s="118"/>
      <c r="S154" s="90"/>
      <c r="T154" s="90"/>
      <c r="U154" s="90"/>
      <c r="V154" s="90"/>
      <c r="W154" s="90"/>
      <c r="X154" s="90"/>
      <c r="Y154" s="90"/>
      <c r="Z154" s="90"/>
      <c r="AA154" s="90"/>
      <c r="AB154" s="90"/>
    </row>
    <row r="155" s="80" customFormat="1" ht="15.05" spans="1:28">
      <c r="A155" s="90">
        <v>45</v>
      </c>
      <c r="B155" s="91" t="s">
        <v>3963</v>
      </c>
      <c r="C155" s="100" t="s">
        <v>4856</v>
      </c>
      <c r="D155" s="93" t="s">
        <v>4675</v>
      </c>
      <c r="E155" s="94" t="s">
        <v>3764</v>
      </c>
      <c r="F155" s="95">
        <v>44148</v>
      </c>
      <c r="G155" s="96">
        <v>13407.8</v>
      </c>
      <c r="H155" s="97">
        <v>12648.87</v>
      </c>
      <c r="I155" s="96" t="s">
        <v>4650</v>
      </c>
      <c r="J155" s="90" t="s">
        <v>4650</v>
      </c>
      <c r="K155" s="90" t="s">
        <v>4650</v>
      </c>
      <c r="L155" s="90"/>
      <c r="M155" s="112">
        <f>IFERROR(IF(COUNTIFS(S155:AB155,清算项目基本情况表!$D$6)&gt;=1,IF(L155="占地面积法",ROUND(SUM('附表4-项目间分摊信息采集表'!$E$5)/SUMPRODUCT(SUMIFS('附表4-项目间分摊信息采集表'!$E:$E,'附表4-项目间分摊信息采集表'!$B:$B,S155:AB155)),20),IF(L155="测绘总建筑面积法",ROUND(SUM('附表4-项目间分摊信息采集表'!$F$5)/SUMPRODUCT(SUMIFS('附表4-项目间分摊信息采集表'!$F:$F,'附表4-项目间分摊信息采集表'!$B:$B,S155:AB155)),20),IF(L155="可售建筑面积法",ROUND(SUM('附表4-项目间分摊信息采集表'!$G$5)/SUMPRODUCT(SUMIFS('附表4-项目间分摊信息采集表'!$G:$G,'附表4-项目间分摊信息采集表'!$B:$B,S155:AB155)),20),IF(L155="其他分摊方法",ROUND(SUM('附表4-项目间分摊信息采集表'!$H$5)/SUMPRODUCT(SUMIFS('附表4-项目间分摊信息采集表'!$H:$H,'附表4-项目间分摊信息采集表'!$B:$B,S155:AB155)),20),IF(L155="手工填写分摊比例","请填写分摊比例",100%))))),IF(COUNTA(S155:AB155)&gt;=1,0%,100%)),100%)</f>
        <v>1</v>
      </c>
      <c r="N155" s="97">
        <f>SUMIFS('附表7-扣除项目明细采集底稿'!$R:$R,'附表7-扣除项目明细采集底稿'!$G:$G,B155)</f>
        <v>12648.87</v>
      </c>
      <c r="O155" s="90" t="s">
        <v>4651</v>
      </c>
      <c r="P155" s="113">
        <f>SUMIFS('附表7-扣除项目明细采集底稿'!$T:$T,'附表7-扣除项目明细采集底稿'!$G:$G,$B155)</f>
        <v>12648.87</v>
      </c>
      <c r="Q155" s="117">
        <f t="shared" si="6"/>
        <v>0</v>
      </c>
      <c r="R155" s="118"/>
      <c r="S155" s="90"/>
      <c r="T155" s="90"/>
      <c r="U155" s="90"/>
      <c r="V155" s="90"/>
      <c r="W155" s="90"/>
      <c r="X155" s="90"/>
      <c r="Y155" s="90"/>
      <c r="Z155" s="90"/>
      <c r="AA155" s="90"/>
      <c r="AB155" s="90"/>
    </row>
    <row r="156" s="80" customFormat="1" ht="15.05" spans="1:28">
      <c r="A156" s="90">
        <v>46</v>
      </c>
      <c r="B156" s="91" t="s">
        <v>3964</v>
      </c>
      <c r="C156" s="100" t="s">
        <v>4857</v>
      </c>
      <c r="D156" s="93" t="s">
        <v>4675</v>
      </c>
      <c r="E156" s="94" t="s">
        <v>3764</v>
      </c>
      <c r="F156" s="95">
        <v>44148</v>
      </c>
      <c r="G156" s="96">
        <v>18422.5</v>
      </c>
      <c r="H156" s="97">
        <v>17379.72</v>
      </c>
      <c r="I156" s="96" t="s">
        <v>4650</v>
      </c>
      <c r="J156" s="90" t="s">
        <v>4650</v>
      </c>
      <c r="K156" s="90" t="s">
        <v>4650</v>
      </c>
      <c r="L156" s="90"/>
      <c r="M156" s="112">
        <f>IFERROR(IF(COUNTIFS(S156:AB156,清算项目基本情况表!$D$6)&gt;=1,IF(L156="占地面积法",ROUND(SUM('附表4-项目间分摊信息采集表'!$E$5)/SUMPRODUCT(SUMIFS('附表4-项目间分摊信息采集表'!$E:$E,'附表4-项目间分摊信息采集表'!$B:$B,S156:AB156)),20),IF(L156="测绘总建筑面积法",ROUND(SUM('附表4-项目间分摊信息采集表'!$F$5)/SUMPRODUCT(SUMIFS('附表4-项目间分摊信息采集表'!$F:$F,'附表4-项目间分摊信息采集表'!$B:$B,S156:AB156)),20),IF(L156="可售建筑面积法",ROUND(SUM('附表4-项目间分摊信息采集表'!$G$5)/SUMPRODUCT(SUMIFS('附表4-项目间分摊信息采集表'!$G:$G,'附表4-项目间分摊信息采集表'!$B:$B,S156:AB156)),20),IF(L156="其他分摊方法",ROUND(SUM('附表4-项目间分摊信息采集表'!$H$5)/SUMPRODUCT(SUMIFS('附表4-项目间分摊信息采集表'!$H:$H,'附表4-项目间分摊信息采集表'!$B:$B,S156:AB156)),20),IF(L156="手工填写分摊比例","请填写分摊比例",100%))))),IF(COUNTA(S156:AB156)&gt;=1,0%,100%)),100%)</f>
        <v>1</v>
      </c>
      <c r="N156" s="97">
        <f>SUMIFS('附表7-扣除项目明细采集底稿'!$R:$R,'附表7-扣除项目明细采集底稿'!$G:$G,B156)</f>
        <v>0</v>
      </c>
      <c r="O156" s="90" t="s">
        <v>4651</v>
      </c>
      <c r="P156" s="113">
        <f>SUMIFS('附表7-扣除项目明细采集底稿'!$T:$T,'附表7-扣除项目明细采集底稿'!$G:$G,$B156)</f>
        <v>0</v>
      </c>
      <c r="Q156" s="117">
        <f t="shared" si="6"/>
        <v>0</v>
      </c>
      <c r="R156" s="118"/>
      <c r="S156" s="90"/>
      <c r="T156" s="90"/>
      <c r="U156" s="90"/>
      <c r="V156" s="90"/>
      <c r="W156" s="90"/>
      <c r="X156" s="90"/>
      <c r="Y156" s="90"/>
      <c r="Z156" s="90"/>
      <c r="AA156" s="90"/>
      <c r="AB156" s="90"/>
    </row>
    <row r="157" s="80" customFormat="1" ht="15.05" spans="1:28">
      <c r="A157" s="90">
        <v>47</v>
      </c>
      <c r="B157" s="91" t="s">
        <v>4159</v>
      </c>
      <c r="C157" s="100" t="s">
        <v>4858</v>
      </c>
      <c r="D157" s="93" t="s">
        <v>4675</v>
      </c>
      <c r="E157" s="94" t="s">
        <v>3764</v>
      </c>
      <c r="F157" s="95">
        <v>44148</v>
      </c>
      <c r="G157" s="96">
        <v>8663.26</v>
      </c>
      <c r="H157" s="97">
        <v>8172.89</v>
      </c>
      <c r="I157" s="96" t="s">
        <v>4650</v>
      </c>
      <c r="J157" s="90" t="s">
        <v>4650</v>
      </c>
      <c r="K157" s="90" t="s">
        <v>15</v>
      </c>
      <c r="L157" s="90" t="s">
        <v>351</v>
      </c>
      <c r="M157" s="112">
        <f>IFERROR(IF(COUNTIFS(S157:AB157,清算项目基本情况表!$D$6)&gt;=1,IF(L157="占地面积法",ROUND(SUM('附表4-项目间分摊信息采集表'!$E$5)/SUMPRODUCT(SUMIFS('附表4-项目间分摊信息采集表'!$E:$E,'附表4-项目间分摊信息采集表'!$B:$B,S157:AB157)),20),IF(L157="测绘总建筑面积法",ROUND(SUM('附表4-项目间分摊信息采集表'!$F$5)/SUMPRODUCT(SUMIFS('附表4-项目间分摊信息采集表'!$F:$F,'附表4-项目间分摊信息采集表'!$B:$B,S157:AB157)),20),IF(L157="可售建筑面积法",ROUND(SUM('附表4-项目间分摊信息采集表'!$G$5)/SUMPRODUCT(SUMIFS('附表4-项目间分摊信息采集表'!$G:$G,'附表4-项目间分摊信息采集表'!$B:$B,S157:AB157)),20),IF(L157="其他分摊方法",ROUND(SUM('附表4-项目间分摊信息采集表'!$H$5)/SUMPRODUCT(SUMIFS('附表4-项目间分摊信息采集表'!$H:$H,'附表4-项目间分摊信息采集表'!$B:$B,S157:AB157)),20),IF(L157="手工填写分摊比例","请填写分摊比例",100%))))),IF(COUNTA(S157:AB157)&gt;=1,0%,100%)),100%)</f>
        <v>0.338555832480367</v>
      </c>
      <c r="N157" s="97">
        <f>SUMIFS('附表7-扣除项目明细采集底稿'!$R:$R,'附表7-扣除项目明细采集底稿'!$G:$G,B157)</f>
        <v>8172.89</v>
      </c>
      <c r="O157" s="90" t="s">
        <v>4651</v>
      </c>
      <c r="P157" s="113">
        <f>SUMIFS('附表7-扣除项目明细采集底稿'!$T:$T,'附表7-扣除项目明细采集底稿'!$G:$G,$B157)</f>
        <v>2766.98</v>
      </c>
      <c r="Q157" s="117">
        <f t="shared" si="6"/>
        <v>5405.91</v>
      </c>
      <c r="R157" s="118"/>
      <c r="S157" s="90" t="s">
        <v>11</v>
      </c>
      <c r="T157" s="90" t="s">
        <v>46</v>
      </c>
      <c r="U157" s="90" t="s">
        <v>371</v>
      </c>
      <c r="V157" s="90"/>
      <c r="W157" s="90"/>
      <c r="X157" s="90"/>
      <c r="Y157" s="90"/>
      <c r="Z157" s="90"/>
      <c r="AA157" s="90"/>
      <c r="AB157" s="90"/>
    </row>
    <row r="158" s="80" customFormat="1" ht="15.05" spans="1:28">
      <c r="A158" s="90">
        <v>48</v>
      </c>
      <c r="B158" s="91" t="s">
        <v>3053</v>
      </c>
      <c r="C158" s="121" t="s">
        <v>4859</v>
      </c>
      <c r="D158" s="93" t="s">
        <v>4675</v>
      </c>
      <c r="E158" s="94" t="s">
        <v>4860</v>
      </c>
      <c r="F158" s="95">
        <v>44148</v>
      </c>
      <c r="G158" s="96">
        <v>17667</v>
      </c>
      <c r="H158" s="97">
        <v>16666.98</v>
      </c>
      <c r="I158" s="96" t="s">
        <v>4650</v>
      </c>
      <c r="J158" s="90" t="s">
        <v>4650</v>
      </c>
      <c r="K158" s="90" t="s">
        <v>4650</v>
      </c>
      <c r="L158" s="90"/>
      <c r="M158" s="112">
        <f>IFERROR(IF(COUNTIFS(S158:AB158,清算项目基本情况表!$D$6)&gt;=1,IF(L158="占地面积法",ROUND(SUM('附表4-项目间分摊信息采集表'!$E$5)/SUMPRODUCT(SUMIFS('附表4-项目间分摊信息采集表'!$E:$E,'附表4-项目间分摊信息采集表'!$B:$B,S158:AB158)),20),IF(L158="测绘总建筑面积法",ROUND(SUM('附表4-项目间分摊信息采集表'!$F$5)/SUMPRODUCT(SUMIFS('附表4-项目间分摊信息采集表'!$F:$F,'附表4-项目间分摊信息采集表'!$B:$B,S158:AB158)),20),IF(L158="可售建筑面积法",ROUND(SUM('附表4-项目间分摊信息采集表'!$G$5)/SUMPRODUCT(SUMIFS('附表4-项目间分摊信息采集表'!$G:$G,'附表4-项目间分摊信息采集表'!$B:$B,S158:AB158)),20),IF(L158="其他分摊方法",ROUND(SUM('附表4-项目间分摊信息采集表'!$H$5)/SUMPRODUCT(SUMIFS('附表4-项目间分摊信息采集表'!$H:$H,'附表4-项目间分摊信息采集表'!$B:$B,S158:AB158)),20),IF(L158="手工填写分摊比例","请填写分摊比例",100%))))),IF(COUNTA(S158:AB158)&gt;=1,0%,100%)),100%)</f>
        <v>1</v>
      </c>
      <c r="N158" s="97">
        <f>SUMIFS('附表7-扣除项目明细采集底稿'!$R:$R,'附表7-扣除项目明细采集底稿'!$G:$G,B158)</f>
        <v>16666.98</v>
      </c>
      <c r="O158" s="90" t="s">
        <v>4651</v>
      </c>
      <c r="P158" s="113">
        <f>SUMIFS('附表7-扣除项目明细采集底稿'!$T:$T,'附表7-扣除项目明细采集底稿'!$G:$G,$B158)</f>
        <v>16666.98</v>
      </c>
      <c r="Q158" s="117">
        <f t="shared" si="6"/>
        <v>0</v>
      </c>
      <c r="R158" s="118"/>
      <c r="S158" s="90"/>
      <c r="T158" s="90"/>
      <c r="U158" s="90"/>
      <c r="V158" s="90"/>
      <c r="W158" s="90"/>
      <c r="X158" s="90"/>
      <c r="Y158" s="90"/>
      <c r="Z158" s="90"/>
      <c r="AA158" s="90"/>
      <c r="AB158" s="90"/>
    </row>
    <row r="159" s="80" customFormat="1" ht="15.05" spans="1:28">
      <c r="A159" s="90">
        <v>49</v>
      </c>
      <c r="B159" s="91" t="s">
        <v>4384</v>
      </c>
      <c r="C159" s="122" t="s">
        <v>4861</v>
      </c>
      <c r="D159" s="93" t="s">
        <v>4675</v>
      </c>
      <c r="E159" s="94" t="s">
        <v>4860</v>
      </c>
      <c r="F159" s="95">
        <v>44148</v>
      </c>
      <c r="G159" s="96">
        <v>3978</v>
      </c>
      <c r="H159" s="97">
        <v>3752.83</v>
      </c>
      <c r="I159" s="96" t="s">
        <v>4650</v>
      </c>
      <c r="J159" s="90" t="s">
        <v>4650</v>
      </c>
      <c r="K159" s="90" t="s">
        <v>15</v>
      </c>
      <c r="L159" s="90" t="s">
        <v>351</v>
      </c>
      <c r="M159" s="112">
        <f>IFERROR(IF(COUNTIFS(S159:AB159,清算项目基本情况表!$D$6)&gt;=1,IF(L159="占地面积法",ROUND(SUM('附表4-项目间分摊信息采集表'!$E$5)/SUMPRODUCT(SUMIFS('附表4-项目间分摊信息采集表'!$E:$E,'附表4-项目间分摊信息采集表'!$B:$B,S159:AB159)),20),IF(L159="测绘总建筑面积法",ROUND(SUM('附表4-项目间分摊信息采集表'!$F$5)/SUMPRODUCT(SUMIFS('附表4-项目间分摊信息采集表'!$F:$F,'附表4-项目间分摊信息采集表'!$B:$B,S159:AB159)),20),IF(L159="可售建筑面积法",ROUND(SUM('附表4-项目间分摊信息采集表'!$G$5)/SUMPRODUCT(SUMIFS('附表4-项目间分摊信息采集表'!$G:$G,'附表4-项目间分摊信息采集表'!$B:$B,S159:AB159)),20),IF(L159="其他分摊方法",ROUND(SUM('附表4-项目间分摊信息采集表'!$H$5)/SUMPRODUCT(SUMIFS('附表4-项目间分摊信息采集表'!$H:$H,'附表4-项目间分摊信息采集表'!$B:$B,S159:AB159)),20),IF(L159="手工填写分摊比例","请填写分摊比例",100%))))),IF(COUNTA(S159:AB159)&gt;=1,0%,100%)),100%)</f>
        <v>0.338555832480367</v>
      </c>
      <c r="N159" s="97">
        <f>SUMIFS('附表7-扣除项目明细采集底稿'!$R:$R,'附表7-扣除项目明细采集底稿'!$G:$G,B159)</f>
        <v>3752.83</v>
      </c>
      <c r="O159" s="90" t="s">
        <v>4651</v>
      </c>
      <c r="P159" s="113">
        <f>SUMIFS('附表7-扣除项目明细采集底稿'!$T:$T,'附表7-扣除项目明细采集底稿'!$G:$G,$B159)</f>
        <v>1270.54</v>
      </c>
      <c r="Q159" s="117">
        <f t="shared" si="6"/>
        <v>2482.29</v>
      </c>
      <c r="R159" s="118"/>
      <c r="S159" s="90" t="s">
        <v>11</v>
      </c>
      <c r="T159" s="90" t="s">
        <v>46</v>
      </c>
      <c r="U159" s="90" t="s">
        <v>371</v>
      </c>
      <c r="V159" s="90"/>
      <c r="W159" s="90"/>
      <c r="X159" s="90"/>
      <c r="Y159" s="90"/>
      <c r="Z159" s="90"/>
      <c r="AA159" s="90"/>
      <c r="AB159" s="90"/>
    </row>
    <row r="160" s="80" customFormat="1" ht="15.05" spans="1:28">
      <c r="A160" s="90">
        <v>50</v>
      </c>
      <c r="B160" s="91" t="s">
        <v>2652</v>
      </c>
      <c r="C160" s="99" t="s">
        <v>4862</v>
      </c>
      <c r="D160" s="93" t="s">
        <v>4655</v>
      </c>
      <c r="E160" s="99" t="s">
        <v>2653</v>
      </c>
      <c r="F160" s="95">
        <v>44148</v>
      </c>
      <c r="G160" s="96">
        <v>57373</v>
      </c>
      <c r="H160" s="97">
        <v>54125.47</v>
      </c>
      <c r="I160" s="96" t="s">
        <v>4650</v>
      </c>
      <c r="J160" s="90" t="s">
        <v>4650</v>
      </c>
      <c r="K160" s="90" t="s">
        <v>4650</v>
      </c>
      <c r="L160" s="90"/>
      <c r="M160" s="112">
        <f>IFERROR(IF(COUNTIFS(S160:AB160,清算项目基本情况表!$D$6)&gt;=1,IF(L160="占地面积法",ROUND(SUM('附表4-项目间分摊信息采集表'!$E$5)/SUMPRODUCT(SUMIFS('附表4-项目间分摊信息采集表'!$E:$E,'附表4-项目间分摊信息采集表'!$B:$B,S160:AB160)),20),IF(L160="测绘总建筑面积法",ROUND(SUM('附表4-项目间分摊信息采集表'!$F$5)/SUMPRODUCT(SUMIFS('附表4-项目间分摊信息采集表'!$F:$F,'附表4-项目间分摊信息采集表'!$B:$B,S160:AB160)),20),IF(L160="可售建筑面积法",ROUND(SUM('附表4-项目间分摊信息采集表'!$G$5)/SUMPRODUCT(SUMIFS('附表4-项目间分摊信息采集表'!$G:$G,'附表4-项目间分摊信息采集表'!$B:$B,S160:AB160)),20),IF(L160="其他分摊方法",ROUND(SUM('附表4-项目间分摊信息采集表'!$H$5)/SUMPRODUCT(SUMIFS('附表4-项目间分摊信息采集表'!$H:$H,'附表4-项目间分摊信息采集表'!$B:$B,S160:AB160)),20),IF(L160="手工填写分摊比例","请填写分摊比例",100%))))),IF(COUNTA(S160:AB160)&gt;=1,0%,100%)),100%)</f>
        <v>1</v>
      </c>
      <c r="N160" s="97">
        <f>SUMIFS('附表7-扣除项目明细采集底稿'!$R:$R,'附表7-扣除项目明细采集底稿'!$G:$G,B160)</f>
        <v>50772.58</v>
      </c>
      <c r="O160" s="90" t="s">
        <v>4651</v>
      </c>
      <c r="P160" s="113">
        <f>SUMIFS('附表7-扣除项目明细采集底稿'!$T:$T,'附表7-扣除项目明细采集底稿'!$G:$G,$B160)</f>
        <v>50772.58</v>
      </c>
      <c r="Q160" s="117">
        <f t="shared" si="6"/>
        <v>0</v>
      </c>
      <c r="R160" s="118"/>
      <c r="S160" s="90"/>
      <c r="T160" s="90"/>
      <c r="U160" s="90"/>
      <c r="V160" s="90"/>
      <c r="W160" s="90"/>
      <c r="X160" s="90"/>
      <c r="Y160" s="90"/>
      <c r="Z160" s="90"/>
      <c r="AA160" s="90"/>
      <c r="AB160" s="90"/>
    </row>
    <row r="161" s="80" customFormat="1" ht="15.05" spans="1:28">
      <c r="A161" s="90">
        <v>53</v>
      </c>
      <c r="B161" s="91" t="s">
        <v>4073</v>
      </c>
      <c r="C161" s="99" t="s">
        <v>4863</v>
      </c>
      <c r="D161" s="93" t="s">
        <v>4655</v>
      </c>
      <c r="E161" s="99" t="s">
        <v>4825</v>
      </c>
      <c r="F161" s="95">
        <v>44271</v>
      </c>
      <c r="G161" s="96">
        <v>11291</v>
      </c>
      <c r="H161" s="97">
        <v>10358.72</v>
      </c>
      <c r="I161" s="96" t="s">
        <v>4650</v>
      </c>
      <c r="J161" s="90" t="s">
        <v>4650</v>
      </c>
      <c r="K161" s="90" t="s">
        <v>4650</v>
      </c>
      <c r="L161" s="90"/>
      <c r="M161" s="112">
        <f>IFERROR(IF(COUNTIFS(S161:AB161,清算项目基本情况表!$D$6)&gt;=1,IF(L161="占地面积法",ROUND(SUM('附表4-项目间分摊信息采集表'!$E$5)/SUMPRODUCT(SUMIFS('附表4-项目间分摊信息采集表'!$E:$E,'附表4-项目间分摊信息采集表'!$B:$B,S161:AB161)),20),IF(L161="测绘总建筑面积法",ROUND(SUM('附表4-项目间分摊信息采集表'!$F$5)/SUMPRODUCT(SUMIFS('附表4-项目间分摊信息采集表'!$F:$F,'附表4-项目间分摊信息采集表'!$B:$B,S161:AB161)),20),IF(L161="可售建筑面积法",ROUND(SUM('附表4-项目间分摊信息采集表'!$G$5)/SUMPRODUCT(SUMIFS('附表4-项目间分摊信息采集表'!$G:$G,'附表4-项目间分摊信息采集表'!$B:$B,S161:AB161)),20),IF(L161="其他分摊方法",ROUND(SUM('附表4-项目间分摊信息采集表'!$H$5)/SUMPRODUCT(SUMIFS('附表4-项目间分摊信息采集表'!$H:$H,'附表4-项目间分摊信息采集表'!$B:$B,S161:AB161)),20),IF(L161="手工填写分摊比例","请填写分摊比例",100%))))),IF(COUNTA(S161:AB161)&gt;=1,0%,100%)),100%)</f>
        <v>1</v>
      </c>
      <c r="N161" s="97">
        <f>SUMIFS('附表7-扣除项目明细采集底稿'!$R:$R,'附表7-扣除项目明细采集底稿'!$G:$G,B161)</f>
        <v>0</v>
      </c>
      <c r="O161" s="90" t="s">
        <v>4651</v>
      </c>
      <c r="P161" s="113">
        <f>SUMIFS('附表7-扣除项目明细采集底稿'!$T:$T,'附表7-扣除项目明细采集底稿'!$G:$G,$B161)</f>
        <v>0</v>
      </c>
      <c r="Q161" s="117">
        <f t="shared" si="6"/>
        <v>0</v>
      </c>
      <c r="R161" s="118"/>
      <c r="S161" s="90"/>
      <c r="T161" s="90"/>
      <c r="U161" s="90"/>
      <c r="V161" s="90"/>
      <c r="W161" s="90"/>
      <c r="X161" s="90"/>
      <c r="Y161" s="90"/>
      <c r="Z161" s="90"/>
      <c r="AA161" s="90"/>
      <c r="AB161" s="90"/>
    </row>
    <row r="162" s="80" customFormat="1" ht="15.05" spans="1:28">
      <c r="A162" s="90">
        <v>54</v>
      </c>
      <c r="B162" s="91" t="s">
        <v>4337</v>
      </c>
      <c r="C162" s="99" t="s">
        <v>4864</v>
      </c>
      <c r="D162" s="93" t="s">
        <v>4655</v>
      </c>
      <c r="E162" s="99" t="s">
        <v>4825</v>
      </c>
      <c r="F162" s="95">
        <v>45132</v>
      </c>
      <c r="G162" s="96">
        <v>275000</v>
      </c>
      <c r="H162" s="97">
        <v>201834.86</v>
      </c>
      <c r="I162" s="96" t="s">
        <v>4650</v>
      </c>
      <c r="J162" s="90" t="s">
        <v>4650</v>
      </c>
      <c r="K162" s="90" t="s">
        <v>15</v>
      </c>
      <c r="L162" s="90" t="s">
        <v>4719</v>
      </c>
      <c r="M162" s="112">
        <f>IFERROR(IF(COUNTIFS(S162:AB162,清算项目基本情况表!$D$6)&gt;=1,IF(L162="占地面积法",ROUND(SUM('附表4-项目间分摊信息采集表'!$E$5)/SUMPRODUCT(SUMIFS('附表4-项目间分摊信息采集表'!$E:$E,'附表4-项目间分摊信息采集表'!$B:$B,S162:AB162)),20),IF(L162="测绘总建筑面积法",ROUND(SUM('附表4-项目间分摊信息采集表'!$F$5)/SUMPRODUCT(SUMIFS('附表4-项目间分摊信息采集表'!$F:$F,'附表4-项目间分摊信息采集表'!$B:$B,S162:AB162)),20),IF(L162="可售建筑面积法",ROUND(SUM('附表4-项目间分摊信息采集表'!$G$5)/SUMPRODUCT(SUMIFS('附表4-项目间分摊信息采集表'!$G:$G,'附表4-项目间分摊信息采集表'!$B:$B,S162:AB162)),20),IF(L162="其他分摊方法",ROUND(SUM('附表4-项目间分摊信息采集表'!$H$5)/SUMPRODUCT(SUMIFS('附表4-项目间分摊信息采集表'!$H:$H,'附表4-项目间分摊信息采集表'!$B:$B,S162:AB162)),20),IF(L162="手工填写分摊比例","请填写分摊比例",100%))))),IF(COUNTA(S162:AB162)&gt;=1,0%,100%)),100%)</f>
        <v>0.109829243890136</v>
      </c>
      <c r="N162" s="97">
        <f>SUMIFS('附表7-扣除项目明细采集底稿'!$R:$R,'附表7-扣除项目明细采集底稿'!$G:$G,B162)</f>
        <v>201834.86</v>
      </c>
      <c r="O162" s="90" t="s">
        <v>4651</v>
      </c>
      <c r="P162" s="113">
        <f>SUMIFS('附表7-扣除项目明细采集底稿'!$T:$T,'附表7-扣除项目明细采集底稿'!$G:$G,$B162)</f>
        <v>22167.37</v>
      </c>
      <c r="Q162" s="117">
        <f t="shared" si="6"/>
        <v>179667.49</v>
      </c>
      <c r="R162" s="118"/>
      <c r="S162" s="90" t="s">
        <v>11</v>
      </c>
      <c r="T162" s="90" t="s">
        <v>46</v>
      </c>
      <c r="U162" s="90" t="s">
        <v>371</v>
      </c>
      <c r="V162" s="90"/>
      <c r="W162" s="90"/>
      <c r="X162" s="90"/>
      <c r="Y162" s="90"/>
      <c r="Z162" s="90"/>
      <c r="AA162" s="90"/>
      <c r="AB162" s="90"/>
    </row>
    <row r="163" s="80" customFormat="1" ht="15.05" spans="1:28">
      <c r="A163" s="90">
        <v>55</v>
      </c>
      <c r="B163" s="91" t="s">
        <v>2401</v>
      </c>
      <c r="C163" s="99" t="s">
        <v>4682</v>
      </c>
      <c r="D163" s="93" t="s">
        <v>4675</v>
      </c>
      <c r="E163" s="94" t="s">
        <v>4865</v>
      </c>
      <c r="F163" s="95">
        <v>43402</v>
      </c>
      <c r="G163" s="96">
        <v>4000</v>
      </c>
      <c r="H163" s="97">
        <v>3883.49</v>
      </c>
      <c r="I163" s="96" t="s">
        <v>4650</v>
      </c>
      <c r="J163" s="90" t="s">
        <v>4650</v>
      </c>
      <c r="K163" s="90" t="s">
        <v>4650</v>
      </c>
      <c r="L163" s="90"/>
      <c r="M163" s="112">
        <f>IFERROR(IF(COUNTIFS(S163:AB163,清算项目基本情况表!$D$6)&gt;=1,IF(L163="占地面积法",ROUND(SUM('附表4-项目间分摊信息采集表'!$E$5)/SUMPRODUCT(SUMIFS('附表4-项目间分摊信息采集表'!$E:$E,'附表4-项目间分摊信息采集表'!$B:$B,S163:AB163)),20),IF(L163="测绘总建筑面积法",ROUND(SUM('附表4-项目间分摊信息采集表'!$F$5)/SUMPRODUCT(SUMIFS('附表4-项目间分摊信息采集表'!$F:$F,'附表4-项目间分摊信息采集表'!$B:$B,S163:AB163)),20),IF(L163="可售建筑面积法",ROUND(SUM('附表4-项目间分摊信息采集表'!$G$5)/SUMPRODUCT(SUMIFS('附表4-项目间分摊信息采集表'!$G:$G,'附表4-项目间分摊信息采集表'!$B:$B,S163:AB163)),20),IF(L163="其他分摊方法",ROUND(SUM('附表4-项目间分摊信息采集表'!$H$5)/SUMPRODUCT(SUMIFS('附表4-项目间分摊信息采集表'!$H:$H,'附表4-项目间分摊信息采集表'!$B:$B,S163:AB163)),20),IF(L163="手工填写分摊比例","请填写分摊比例",100%))))),IF(COUNTA(S163:AB163)&gt;=1,0%,100%)),100%)</f>
        <v>1</v>
      </c>
      <c r="N163" s="97">
        <f>SUMIFS('附表7-扣除项目明细采集底稿'!$R:$R,'附表7-扣除项目明细采集底稿'!$G:$G,B163)</f>
        <v>3883.49</v>
      </c>
      <c r="O163" s="90" t="s">
        <v>4651</v>
      </c>
      <c r="P163" s="113">
        <f>SUMIFS('附表7-扣除项目明细采集底稿'!$T:$T,'附表7-扣除项目明细采集底稿'!$G:$G,$B163)</f>
        <v>3883.49</v>
      </c>
      <c r="Q163" s="117">
        <f t="shared" si="6"/>
        <v>0</v>
      </c>
      <c r="R163" s="118"/>
      <c r="S163" s="90"/>
      <c r="T163" s="90"/>
      <c r="U163" s="90"/>
      <c r="V163" s="90"/>
      <c r="W163" s="90"/>
      <c r="X163" s="90"/>
      <c r="Y163" s="90"/>
      <c r="Z163" s="90"/>
      <c r="AA163" s="90"/>
      <c r="AB163" s="90"/>
    </row>
    <row r="164" s="80" customFormat="1" ht="15.05" spans="1:28">
      <c r="A164" s="90">
        <v>60</v>
      </c>
      <c r="B164" s="91" t="s">
        <v>4422</v>
      </c>
      <c r="C164" s="100" t="s">
        <v>4866</v>
      </c>
      <c r="D164" s="93" t="s">
        <v>4655</v>
      </c>
      <c r="E164" s="99" t="s">
        <v>3512</v>
      </c>
      <c r="F164" s="95">
        <v>44440</v>
      </c>
      <c r="G164" s="96">
        <v>75277.74</v>
      </c>
      <c r="H164" s="97">
        <v>69062.15</v>
      </c>
      <c r="I164" s="96" t="s">
        <v>4650</v>
      </c>
      <c r="J164" s="90" t="s">
        <v>4650</v>
      </c>
      <c r="K164" s="90" t="s">
        <v>15</v>
      </c>
      <c r="L164" s="90" t="s">
        <v>351</v>
      </c>
      <c r="M164" s="112">
        <f>IFERROR(IF(COUNTIFS(S164:AB164,清算项目基本情况表!$D$6)&gt;=1,IF(L164="占地面积法",ROUND(SUM('附表4-项目间分摊信息采集表'!$E$5)/SUMPRODUCT(SUMIFS('附表4-项目间分摊信息采集表'!$E:$E,'附表4-项目间分摊信息采集表'!$B:$B,S164:AB164)),20),IF(L164="测绘总建筑面积法",ROUND(SUM('附表4-项目间分摊信息采集表'!$F$5)/SUMPRODUCT(SUMIFS('附表4-项目间分摊信息采集表'!$F:$F,'附表4-项目间分摊信息采集表'!$B:$B,S164:AB164)),20),IF(L164="可售建筑面积法",ROUND(SUM('附表4-项目间分摊信息采集表'!$G$5)/SUMPRODUCT(SUMIFS('附表4-项目间分摊信息采集表'!$G:$G,'附表4-项目间分摊信息采集表'!$B:$B,S164:AB164)),20),IF(L164="其他分摊方法",ROUND(SUM('附表4-项目间分摊信息采集表'!$H$5)/SUMPRODUCT(SUMIFS('附表4-项目间分摊信息采集表'!$H:$H,'附表4-项目间分摊信息采集表'!$B:$B,S164:AB164)),20),IF(L164="手工填写分摊比例","请填写分摊比例",100%))))),IF(COUNTA(S164:AB164)&gt;=1,0%,100%)),100%)</f>
        <v>0.338555832480367</v>
      </c>
      <c r="N164" s="97">
        <f>SUMIFS('附表7-扣除项目明细采集底稿'!$R:$R,'附表7-扣除项目明细采集底稿'!$G:$G,B164)</f>
        <v>69062.15</v>
      </c>
      <c r="O164" s="90" t="s">
        <v>4651</v>
      </c>
      <c r="P164" s="113">
        <f>SUMIFS('附表7-扣除项目明细采集底稿'!$T:$T,'附表7-扣除项目明细采集底稿'!$G:$G,$B164)</f>
        <v>23381.39</v>
      </c>
      <c r="Q164" s="117">
        <f t="shared" si="6"/>
        <v>45680.76</v>
      </c>
      <c r="R164" s="118"/>
      <c r="S164" s="90" t="s">
        <v>11</v>
      </c>
      <c r="T164" s="90" t="s">
        <v>46</v>
      </c>
      <c r="U164" s="90" t="s">
        <v>371</v>
      </c>
      <c r="V164" s="90"/>
      <c r="W164" s="90"/>
      <c r="X164" s="90"/>
      <c r="Y164" s="90"/>
      <c r="Z164" s="90"/>
      <c r="AA164" s="90"/>
      <c r="AB164" s="90"/>
    </row>
    <row r="165" s="80" customFormat="1" ht="15.05" spans="1:28">
      <c r="A165" s="90">
        <v>64</v>
      </c>
      <c r="B165" s="91" t="s">
        <v>3327</v>
      </c>
      <c r="C165" s="100" t="s">
        <v>4867</v>
      </c>
      <c r="D165" s="93" t="s">
        <v>4675</v>
      </c>
      <c r="E165" s="94" t="s">
        <v>4868</v>
      </c>
      <c r="F165" s="95">
        <v>44148</v>
      </c>
      <c r="G165" s="96">
        <v>7440</v>
      </c>
      <c r="H165" s="97">
        <v>7018.87</v>
      </c>
      <c r="I165" s="96" t="s">
        <v>4650</v>
      </c>
      <c r="J165" s="90" t="s">
        <v>4650</v>
      </c>
      <c r="K165" s="90" t="s">
        <v>4650</v>
      </c>
      <c r="L165" s="90"/>
      <c r="M165" s="112">
        <f>IFERROR(IF(COUNTIFS(S165:AB165,清算项目基本情况表!$D$6)&gt;=1,IF(L165="占地面积法",ROUND(SUM('附表4-项目间分摊信息采集表'!$E$5)/SUMPRODUCT(SUMIFS('附表4-项目间分摊信息采集表'!$E:$E,'附表4-项目间分摊信息采集表'!$B:$B,S165:AB165)),20),IF(L165="测绘总建筑面积法",ROUND(SUM('附表4-项目间分摊信息采集表'!$F$5)/SUMPRODUCT(SUMIFS('附表4-项目间分摊信息采集表'!$F:$F,'附表4-项目间分摊信息采集表'!$B:$B,S165:AB165)),20),IF(L165="可售建筑面积法",ROUND(SUM('附表4-项目间分摊信息采集表'!$G$5)/SUMPRODUCT(SUMIFS('附表4-项目间分摊信息采集表'!$G:$G,'附表4-项目间分摊信息采集表'!$B:$B,S165:AB165)),20),IF(L165="其他分摊方法",ROUND(SUM('附表4-项目间分摊信息采集表'!$H$5)/SUMPRODUCT(SUMIFS('附表4-项目间分摊信息采集表'!$H:$H,'附表4-项目间分摊信息采集表'!$B:$B,S165:AB165)),20),IF(L165="手工填写分摊比例","请填写分摊比例",100%))))),IF(COUNTA(S165:AB165)&gt;=1,0%,100%)),100%)</f>
        <v>1</v>
      </c>
      <c r="N165" s="97">
        <f>SUMIFS('附表7-扣除项目明细采集底稿'!$R:$R,'附表7-扣除项目明细采集底稿'!$G:$G,B165)</f>
        <v>7018.87</v>
      </c>
      <c r="O165" s="90" t="s">
        <v>4651</v>
      </c>
      <c r="P165" s="113">
        <f>SUMIFS('附表7-扣除项目明细采集底稿'!$T:$T,'附表7-扣除项目明细采集底稿'!$G:$G,$B165)</f>
        <v>7018.87</v>
      </c>
      <c r="Q165" s="117">
        <f t="shared" si="6"/>
        <v>0</v>
      </c>
      <c r="R165" s="118"/>
      <c r="S165" s="90"/>
      <c r="T165" s="90"/>
      <c r="U165" s="90"/>
      <c r="V165" s="90"/>
      <c r="W165" s="90"/>
      <c r="X165" s="90"/>
      <c r="Y165" s="90"/>
      <c r="Z165" s="90"/>
      <c r="AA165" s="90"/>
      <c r="AB165" s="90"/>
    </row>
    <row r="166" s="80" customFormat="1" ht="15.05" spans="1:28">
      <c r="A166" s="90">
        <v>75</v>
      </c>
      <c r="B166" s="91" t="s">
        <v>3924</v>
      </c>
      <c r="C166" s="100" t="s">
        <v>4869</v>
      </c>
      <c r="D166" s="93" t="s">
        <v>4659</v>
      </c>
      <c r="E166" s="94" t="s">
        <v>4660</v>
      </c>
      <c r="F166" s="95">
        <v>43921</v>
      </c>
      <c r="G166" s="96">
        <v>192651.2</v>
      </c>
      <c r="H166" s="97">
        <v>170487.79</v>
      </c>
      <c r="I166" s="96" t="s">
        <v>4650</v>
      </c>
      <c r="J166" s="90" t="s">
        <v>4650</v>
      </c>
      <c r="K166" s="90" t="s">
        <v>4650</v>
      </c>
      <c r="L166" s="90"/>
      <c r="M166" s="112">
        <f>IFERROR(IF(COUNTIFS(S166:AB166,清算项目基本情况表!$D$6)&gt;=1,IF(L166="占地面积法",ROUND(SUM('附表4-项目间分摊信息采集表'!$E$5)/SUMPRODUCT(SUMIFS('附表4-项目间分摊信息采集表'!$E:$E,'附表4-项目间分摊信息采集表'!$B:$B,S166:AB166)),20),IF(L166="测绘总建筑面积法",ROUND(SUM('附表4-项目间分摊信息采集表'!$F$5)/SUMPRODUCT(SUMIFS('附表4-项目间分摊信息采集表'!$F:$F,'附表4-项目间分摊信息采集表'!$B:$B,S166:AB166)),20),IF(L166="可售建筑面积法",ROUND(SUM('附表4-项目间分摊信息采集表'!$G$5)/SUMPRODUCT(SUMIFS('附表4-项目间分摊信息采集表'!$G:$G,'附表4-项目间分摊信息采集表'!$B:$B,S166:AB166)),20),IF(L166="其他分摊方法",ROUND(SUM('附表4-项目间分摊信息采集表'!$H$5)/SUMPRODUCT(SUMIFS('附表4-项目间分摊信息采集表'!$H:$H,'附表4-项目间分摊信息采集表'!$B:$B,S166:AB166)),20),IF(L166="手工填写分摊比例","请填写分摊比例",100%))))),IF(COUNTA(S166:AB166)&gt;=1,0%,100%)),100%)</f>
        <v>1</v>
      </c>
      <c r="N166" s="97">
        <f>SUMIFS('附表7-扣除项目明细采集底稿'!$R:$R,'附表7-扣除项目明细采集底稿'!$G:$G,B166)</f>
        <v>170487.79</v>
      </c>
      <c r="O166" s="90" t="s">
        <v>4651</v>
      </c>
      <c r="P166" s="113">
        <f>SUMIFS('附表7-扣除项目明细采集底稿'!$T:$T,'附表7-扣除项目明细采集底稿'!$G:$G,$B166)</f>
        <v>170487.79</v>
      </c>
      <c r="Q166" s="117">
        <f t="shared" si="6"/>
        <v>0</v>
      </c>
      <c r="R166" s="118"/>
      <c r="S166" s="90"/>
      <c r="T166" s="90"/>
      <c r="U166" s="90"/>
      <c r="V166" s="90"/>
      <c r="W166" s="90"/>
      <c r="X166" s="90"/>
      <c r="Y166" s="90"/>
      <c r="Z166" s="90"/>
      <c r="AA166" s="90"/>
      <c r="AB166" s="90"/>
    </row>
    <row r="167" s="80" customFormat="1" ht="15.05" spans="1:28">
      <c r="A167" s="90">
        <v>76</v>
      </c>
      <c r="B167" s="91" t="s">
        <v>2543</v>
      </c>
      <c r="C167" s="100" t="s">
        <v>4870</v>
      </c>
      <c r="D167" s="93" t="s">
        <v>4655</v>
      </c>
      <c r="E167" s="94" t="s">
        <v>2544</v>
      </c>
      <c r="F167" s="95">
        <v>44148</v>
      </c>
      <c r="G167" s="96">
        <v>51449.12</v>
      </c>
      <c r="H167" s="97">
        <v>0</v>
      </c>
      <c r="I167" s="96" t="s">
        <v>4650</v>
      </c>
      <c r="J167" s="90" t="s">
        <v>4650</v>
      </c>
      <c r="K167" s="90" t="s">
        <v>15</v>
      </c>
      <c r="L167" s="90" t="s">
        <v>351</v>
      </c>
      <c r="M167" s="112">
        <f>IFERROR(IF(COUNTIFS(S167:AB167,清算项目基本情况表!$D$6)&gt;=1,IF(L167="占地面积法",ROUND(SUM('附表4-项目间分摊信息采集表'!$E$5)/SUMPRODUCT(SUMIFS('附表4-项目间分摊信息采集表'!$E:$E,'附表4-项目间分摊信息采集表'!$B:$B,S167:AB167)),20),IF(L167="测绘总建筑面积法",ROUND(SUM('附表4-项目间分摊信息采集表'!$F$5)/SUMPRODUCT(SUMIFS('附表4-项目间分摊信息采集表'!$F:$F,'附表4-项目间分摊信息采集表'!$B:$B,S167:AB167)),20),IF(L167="可售建筑面积法",ROUND(SUM('附表4-项目间分摊信息采集表'!$G$5)/SUMPRODUCT(SUMIFS('附表4-项目间分摊信息采集表'!$G:$G,'附表4-项目间分摊信息采集表'!$B:$B,S167:AB167)),20),IF(L167="其他分摊方法",ROUND(SUM('附表4-项目间分摊信息采集表'!$H$5)/SUMPRODUCT(SUMIFS('附表4-项目间分摊信息采集表'!$H:$H,'附表4-项目间分摊信息采集表'!$B:$B,S167:AB167)),20),IF(L167="手工填写分摊比例","请填写分摊比例",100%))))),IF(COUNTA(S167:AB167)&gt;=1,0%,100%)),100%)</f>
        <v>0.338555832480367</v>
      </c>
      <c r="N167" s="97">
        <f>SUMIFS('附表7-扣除项目明细采集底稿'!$R:$R,'附表7-扣除项目明细采集底稿'!$G:$G,B167)</f>
        <v>9696.28</v>
      </c>
      <c r="O167" s="90" t="s">
        <v>4651</v>
      </c>
      <c r="P167" s="113">
        <f>SUMIFS('附表7-扣除项目明细采集底稿'!$T:$T,'附表7-扣除项目明细采集底稿'!$G:$G,$B167)</f>
        <v>3282.73</v>
      </c>
      <c r="Q167" s="117">
        <f t="shared" si="6"/>
        <v>6413.55</v>
      </c>
      <c r="R167" s="118"/>
      <c r="S167" s="90" t="s">
        <v>11</v>
      </c>
      <c r="T167" s="90" t="s">
        <v>46</v>
      </c>
      <c r="U167" s="90" t="s">
        <v>371</v>
      </c>
      <c r="V167" s="90"/>
      <c r="W167" s="90"/>
      <c r="X167" s="90"/>
      <c r="Y167" s="90"/>
      <c r="Z167" s="90"/>
      <c r="AA167" s="90"/>
      <c r="AB167" s="90"/>
    </row>
    <row r="168" s="80" customFormat="1" ht="15.05" spans="1:28">
      <c r="A168" s="90">
        <v>78</v>
      </c>
      <c r="B168" s="91" t="s">
        <v>3613</v>
      </c>
      <c r="C168" s="100" t="s">
        <v>4871</v>
      </c>
      <c r="D168" s="93" t="s">
        <v>4675</v>
      </c>
      <c r="E168" s="99" t="s">
        <v>3614</v>
      </c>
      <c r="F168" s="95">
        <v>44175</v>
      </c>
      <c r="G168" s="96">
        <v>155107</v>
      </c>
      <c r="H168" s="97">
        <v>0</v>
      </c>
      <c r="I168" s="96" t="s">
        <v>4650</v>
      </c>
      <c r="J168" s="90" t="s">
        <v>4650</v>
      </c>
      <c r="K168" s="90" t="s">
        <v>4650</v>
      </c>
      <c r="L168" s="90"/>
      <c r="M168" s="112">
        <f>IFERROR(IF(COUNTIFS(S168:AB168,清算项目基本情况表!$D$6)&gt;=1,IF(L168="占地面积法",ROUND(SUM('附表4-项目间分摊信息采集表'!$E$5)/SUMPRODUCT(SUMIFS('附表4-项目间分摊信息采集表'!$E:$E,'附表4-项目间分摊信息采集表'!$B:$B,S168:AB168)),20),IF(L168="测绘总建筑面积法",ROUND(SUM('附表4-项目间分摊信息采集表'!$F$5)/SUMPRODUCT(SUMIFS('附表4-项目间分摊信息采集表'!$F:$F,'附表4-项目间分摊信息采集表'!$B:$B,S168:AB168)),20),IF(L168="可售建筑面积法",ROUND(SUM('附表4-项目间分摊信息采集表'!$G$5)/SUMPRODUCT(SUMIFS('附表4-项目间分摊信息采集表'!$G:$G,'附表4-项目间分摊信息采集表'!$B:$B,S168:AB168)),20),IF(L168="其他分摊方法",ROUND(SUM('附表4-项目间分摊信息采集表'!$H$5)/SUMPRODUCT(SUMIFS('附表4-项目间分摊信息采集表'!$H:$H,'附表4-项目间分摊信息采集表'!$B:$B,S168:AB168)),20),IF(L168="手工填写分摊比例","请填写分摊比例",100%))))),IF(COUNTA(S168:AB168)&gt;=1,0%,100%)),100%)</f>
        <v>1</v>
      </c>
      <c r="N168" s="97">
        <f>SUMIFS('附表7-扣除项目明细采集底稿'!$R:$R,'附表7-扣除项目明细采集底稿'!$G:$G,B168)</f>
        <v>0</v>
      </c>
      <c r="O168" s="90" t="s">
        <v>4651</v>
      </c>
      <c r="P168" s="113">
        <f>SUMIFS('附表7-扣除项目明细采集底稿'!$T:$T,'附表7-扣除项目明细采集底稿'!$G:$G,$B168)</f>
        <v>0</v>
      </c>
      <c r="Q168" s="117">
        <f t="shared" si="6"/>
        <v>0</v>
      </c>
      <c r="R168" s="118"/>
      <c r="S168" s="90"/>
      <c r="T168" s="90"/>
      <c r="U168" s="90"/>
      <c r="V168" s="90"/>
      <c r="W168" s="90"/>
      <c r="X168" s="90"/>
      <c r="Y168" s="90"/>
      <c r="Z168" s="90"/>
      <c r="AA168" s="90"/>
      <c r="AB168" s="90"/>
    </row>
    <row r="169" s="80" customFormat="1" ht="15.05" spans="1:28">
      <c r="A169" s="90">
        <v>81</v>
      </c>
      <c r="B169" s="91" t="s">
        <v>3837</v>
      </c>
      <c r="C169" s="100" t="s">
        <v>4872</v>
      </c>
      <c r="D169" s="93" t="s">
        <v>4655</v>
      </c>
      <c r="E169" s="99" t="s">
        <v>3838</v>
      </c>
      <c r="F169" s="95">
        <v>44148</v>
      </c>
      <c r="G169" s="96">
        <v>15000</v>
      </c>
      <c r="H169" s="97">
        <v>13274.34</v>
      </c>
      <c r="I169" s="96" t="s">
        <v>4650</v>
      </c>
      <c r="J169" s="90" t="s">
        <v>4650</v>
      </c>
      <c r="K169" s="90" t="s">
        <v>4650</v>
      </c>
      <c r="L169" s="90"/>
      <c r="M169" s="112">
        <f>IFERROR(IF(COUNTIFS(S169:AB169,清算项目基本情况表!$D$6)&gt;=1,IF(L169="占地面积法",ROUND(SUM('附表4-项目间分摊信息采集表'!$E$5)/SUMPRODUCT(SUMIFS('附表4-项目间分摊信息采集表'!$E:$E,'附表4-项目间分摊信息采集表'!$B:$B,S169:AB169)),20),IF(L169="测绘总建筑面积法",ROUND(SUM('附表4-项目间分摊信息采集表'!$F$5)/SUMPRODUCT(SUMIFS('附表4-项目间分摊信息采集表'!$F:$F,'附表4-项目间分摊信息采集表'!$B:$B,S169:AB169)),20),IF(L169="可售建筑面积法",ROUND(SUM('附表4-项目间分摊信息采集表'!$G$5)/SUMPRODUCT(SUMIFS('附表4-项目间分摊信息采集表'!$G:$G,'附表4-项目间分摊信息采集表'!$B:$B,S169:AB169)),20),IF(L169="其他分摊方法",ROUND(SUM('附表4-项目间分摊信息采集表'!$H$5)/SUMPRODUCT(SUMIFS('附表4-项目间分摊信息采集表'!$H:$H,'附表4-项目间分摊信息采集表'!$B:$B,S169:AB169)),20),IF(L169="手工填写分摊比例","请填写分摊比例",100%))))),IF(COUNTA(S169:AB169)&gt;=1,0%,100%)),100%)</f>
        <v>1</v>
      </c>
      <c r="N169" s="97">
        <f>SUMIFS('附表7-扣除项目明细采集底稿'!$R:$R,'附表7-扣除项目明细采集底稿'!$G:$G,B169)</f>
        <v>0</v>
      </c>
      <c r="O169" s="90" t="s">
        <v>4651</v>
      </c>
      <c r="P169" s="113">
        <f>SUMIFS('附表7-扣除项目明细采集底稿'!$T:$T,'附表7-扣除项目明细采集底稿'!$G:$G,$B169)</f>
        <v>0</v>
      </c>
      <c r="Q169" s="117">
        <f t="shared" si="6"/>
        <v>0</v>
      </c>
      <c r="R169" s="118"/>
      <c r="S169" s="90"/>
      <c r="T169" s="90"/>
      <c r="U169" s="90"/>
      <c r="V169" s="90"/>
      <c r="W169" s="90"/>
      <c r="X169" s="90"/>
      <c r="Y169" s="90"/>
      <c r="Z169" s="90"/>
      <c r="AA169" s="90"/>
      <c r="AB169" s="90"/>
    </row>
    <row r="170" s="80" customFormat="1" ht="30.05" spans="1:28">
      <c r="A170" s="90">
        <v>82</v>
      </c>
      <c r="B170" s="91" t="s">
        <v>2812</v>
      </c>
      <c r="C170" s="100" t="s">
        <v>4873</v>
      </c>
      <c r="D170" s="93" t="s">
        <v>4648</v>
      </c>
      <c r="E170" s="99" t="s">
        <v>4874</v>
      </c>
      <c r="F170" s="95">
        <v>43676</v>
      </c>
      <c r="G170" s="96">
        <v>187000</v>
      </c>
      <c r="H170" s="97">
        <v>181553.4</v>
      </c>
      <c r="I170" s="96" t="s">
        <v>4650</v>
      </c>
      <c r="J170" s="90" t="s">
        <v>4650</v>
      </c>
      <c r="K170" s="90" t="s">
        <v>4650</v>
      </c>
      <c r="L170" s="90"/>
      <c r="M170" s="112">
        <f>IFERROR(IF(COUNTIFS(S170:AB170,清算项目基本情况表!$D$6)&gt;=1,IF(L170="占地面积法",ROUND(SUM('附表4-项目间分摊信息采集表'!$E$5)/SUMPRODUCT(SUMIFS('附表4-项目间分摊信息采集表'!$E:$E,'附表4-项目间分摊信息采集表'!$B:$B,S170:AB170)),20),IF(L170="测绘总建筑面积法",ROUND(SUM('附表4-项目间分摊信息采集表'!$F$5)/SUMPRODUCT(SUMIFS('附表4-项目间分摊信息采集表'!$F:$F,'附表4-项目间分摊信息采集表'!$B:$B,S170:AB170)),20),IF(L170="可售建筑面积法",ROUND(SUM('附表4-项目间分摊信息采集表'!$G$5)/SUMPRODUCT(SUMIFS('附表4-项目间分摊信息采集表'!$G:$G,'附表4-项目间分摊信息采集表'!$B:$B,S170:AB170)),20),IF(L170="其他分摊方法",ROUND(SUM('附表4-项目间分摊信息采集表'!$H$5)/SUMPRODUCT(SUMIFS('附表4-项目间分摊信息采集表'!$H:$H,'附表4-项目间分摊信息采集表'!$B:$B,S170:AB170)),20),IF(L170="手工填写分摊比例","请填写分摊比例",100%))))),IF(COUNTA(S170:AB170)&gt;=1,0%,100%)),100%)</f>
        <v>1</v>
      </c>
      <c r="N170" s="97">
        <f>SUMIFS('附表7-扣除项目明细采集底稿'!$R:$R,'附表7-扣除项目明细采集底稿'!$G:$G,B170)</f>
        <v>181553.4</v>
      </c>
      <c r="O170" s="90" t="s">
        <v>4651</v>
      </c>
      <c r="P170" s="113">
        <f>SUMIFS('附表7-扣除项目明细采集底稿'!$T:$T,'附表7-扣除项目明细采集底稿'!$G:$G,$B170)</f>
        <v>181553.4</v>
      </c>
      <c r="Q170" s="117">
        <f t="shared" si="6"/>
        <v>0</v>
      </c>
      <c r="R170" s="118"/>
      <c r="S170" s="90"/>
      <c r="T170" s="90"/>
      <c r="U170" s="90"/>
      <c r="V170" s="90"/>
      <c r="W170" s="90"/>
      <c r="X170" s="90"/>
      <c r="Y170" s="90"/>
      <c r="Z170" s="90"/>
      <c r="AA170" s="90"/>
      <c r="AB170" s="90"/>
    </row>
    <row r="171" s="80" customFormat="1" ht="15.05" spans="1:28">
      <c r="A171" s="90">
        <v>88</v>
      </c>
      <c r="B171" s="91" t="s">
        <v>2583</v>
      </c>
      <c r="C171" s="99" t="s">
        <v>4752</v>
      </c>
      <c r="D171" s="93" t="s">
        <v>4655</v>
      </c>
      <c r="E171" s="99" t="s">
        <v>2584</v>
      </c>
      <c r="F171" s="95">
        <v>43641</v>
      </c>
      <c r="G171" s="96">
        <v>197940.27</v>
      </c>
      <c r="H171" s="97">
        <v>192175.02</v>
      </c>
      <c r="I171" s="96" t="s">
        <v>4650</v>
      </c>
      <c r="J171" s="90" t="s">
        <v>4650</v>
      </c>
      <c r="K171" s="90" t="s">
        <v>15</v>
      </c>
      <c r="L171" s="90" t="s">
        <v>351</v>
      </c>
      <c r="M171" s="112">
        <f>IFERROR(IF(COUNTIFS(S171:AB171,清算项目基本情况表!$D$6)&gt;=1,IF(L171="占地面积法",ROUND(SUM('附表4-项目间分摊信息采集表'!$E$5)/SUMPRODUCT(SUMIFS('附表4-项目间分摊信息采集表'!$E:$E,'附表4-项目间分摊信息采集表'!$B:$B,S171:AB171)),20),IF(L171="测绘总建筑面积法",ROUND(SUM('附表4-项目间分摊信息采集表'!$F$5)/SUMPRODUCT(SUMIFS('附表4-项目间分摊信息采集表'!$F:$F,'附表4-项目间分摊信息采集表'!$B:$B,S171:AB171)),20),IF(L171="可售建筑面积法",ROUND(SUM('附表4-项目间分摊信息采集表'!$G$5)/SUMPRODUCT(SUMIFS('附表4-项目间分摊信息采集表'!$G:$G,'附表4-项目间分摊信息采集表'!$B:$B,S171:AB171)),20),IF(L171="其他分摊方法",ROUND(SUM('附表4-项目间分摊信息采集表'!$H$5)/SUMPRODUCT(SUMIFS('附表4-项目间分摊信息采集表'!$H:$H,'附表4-项目间分摊信息采集表'!$B:$B,S171:AB171)),20),IF(L171="手工填写分摊比例","请填写分摊比例",100%))))),IF(COUNTA(S171:AB171)&gt;=1,0%,100%)),100%)</f>
        <v>0.338555832480367</v>
      </c>
      <c r="N171" s="97">
        <f>SUMIFS('附表7-扣除项目明细采集底稿'!$R:$R,'附表7-扣除项目明细采集底稿'!$G:$G,B171)</f>
        <v>192175.02</v>
      </c>
      <c r="O171" s="90" t="s">
        <v>4651</v>
      </c>
      <c r="P171" s="113">
        <f>SUMIFS('附表7-扣除项目明细采集底稿'!$T:$T,'附表7-扣除项目明细采集底稿'!$G:$G,$B171)</f>
        <v>65061.97</v>
      </c>
      <c r="Q171" s="117">
        <f t="shared" si="6"/>
        <v>127113.05</v>
      </c>
      <c r="R171" s="118"/>
      <c r="S171" s="90" t="s">
        <v>11</v>
      </c>
      <c r="T171" s="90" t="s">
        <v>46</v>
      </c>
      <c r="U171" s="90" t="s">
        <v>371</v>
      </c>
      <c r="V171" s="90"/>
      <c r="W171" s="90"/>
      <c r="X171" s="90"/>
      <c r="Y171" s="90"/>
      <c r="Z171" s="90"/>
      <c r="AA171" s="90"/>
      <c r="AB171" s="90"/>
    </row>
    <row r="172" s="80" customFormat="1" ht="15.05" spans="1:28">
      <c r="A172" s="90">
        <v>92</v>
      </c>
      <c r="B172" s="91" t="s">
        <v>4322</v>
      </c>
      <c r="C172" s="99" t="s">
        <v>4875</v>
      </c>
      <c r="D172" s="93" t="s">
        <v>4655</v>
      </c>
      <c r="E172" s="99" t="s">
        <v>4323</v>
      </c>
      <c r="F172" s="95">
        <v>45040</v>
      </c>
      <c r="G172" s="96">
        <v>337900</v>
      </c>
      <c r="H172" s="97">
        <v>299026.54</v>
      </c>
      <c r="I172" s="96" t="s">
        <v>4650</v>
      </c>
      <c r="J172" s="90" t="s">
        <v>4650</v>
      </c>
      <c r="K172" s="90" t="s">
        <v>15</v>
      </c>
      <c r="L172" s="90" t="s">
        <v>4719</v>
      </c>
      <c r="M172" s="112">
        <f>IFERROR(IF(COUNTIFS(S172:AB172,清算项目基本情况表!$D$6)&gt;=1,IF(L172="占地面积法",ROUND(SUM('附表4-项目间分摊信息采集表'!$E$5)/SUMPRODUCT(SUMIFS('附表4-项目间分摊信息采集表'!$E:$E,'附表4-项目间分摊信息采集表'!$B:$B,S172:AB172)),20),IF(L172="测绘总建筑面积法",ROUND(SUM('附表4-项目间分摊信息采集表'!$F$5)/SUMPRODUCT(SUMIFS('附表4-项目间分摊信息采集表'!$F:$F,'附表4-项目间分摊信息采集表'!$B:$B,S172:AB172)),20),IF(L172="可售建筑面积法",ROUND(SUM('附表4-项目间分摊信息采集表'!$G$5)/SUMPRODUCT(SUMIFS('附表4-项目间分摊信息采集表'!$G:$G,'附表4-项目间分摊信息采集表'!$B:$B,S172:AB172)),20),IF(L172="其他分摊方法",ROUND(SUM('附表4-项目间分摊信息采集表'!$H$5)/SUMPRODUCT(SUMIFS('附表4-项目间分摊信息采集表'!$H:$H,'附表4-项目间分摊信息采集表'!$B:$B,S172:AB172)),20),IF(L172="手工填写分摊比例","请填写分摊比例",100%))))),IF(COUNTA(S172:AB172)&gt;=1,0%,100%)),100%)</f>
        <v>0.109829243890136</v>
      </c>
      <c r="N172" s="97">
        <f>SUMIFS('附表7-扣除项目明细采集底稿'!$R:$R,'附表7-扣除项目明细采集底稿'!$G:$G,B172)</f>
        <v>299026.54</v>
      </c>
      <c r="O172" s="90" t="s">
        <v>4651</v>
      </c>
      <c r="P172" s="113">
        <f>SUMIFS('附表7-扣除项目明细采集底稿'!$T:$T,'附表7-扣除项目明细采集底稿'!$G:$G,$B172)</f>
        <v>32841.86</v>
      </c>
      <c r="Q172" s="117">
        <f t="shared" si="6"/>
        <v>266184.68</v>
      </c>
      <c r="R172" s="118"/>
      <c r="S172" s="90" t="s">
        <v>11</v>
      </c>
      <c r="T172" s="90" t="s">
        <v>46</v>
      </c>
      <c r="U172" s="90" t="s">
        <v>371</v>
      </c>
      <c r="V172" s="90"/>
      <c r="W172" s="90"/>
      <c r="X172" s="90"/>
      <c r="Y172" s="90"/>
      <c r="Z172" s="90"/>
      <c r="AA172" s="90"/>
      <c r="AB172" s="90"/>
    </row>
    <row r="173" s="80" customFormat="1" ht="15.05" spans="1:28">
      <c r="A173" s="90">
        <v>93</v>
      </c>
      <c r="B173" s="91" t="s">
        <v>4438</v>
      </c>
      <c r="C173" s="100" t="s">
        <v>4876</v>
      </c>
      <c r="D173" s="93" t="s">
        <v>4675</v>
      </c>
      <c r="E173" s="94" t="s">
        <v>3889</v>
      </c>
      <c r="F173" s="95">
        <v>44762</v>
      </c>
      <c r="G173" s="96">
        <v>10000</v>
      </c>
      <c r="H173" s="97">
        <v>9433.96</v>
      </c>
      <c r="I173" s="96" t="s">
        <v>4650</v>
      </c>
      <c r="J173" s="90" t="s">
        <v>4650</v>
      </c>
      <c r="K173" s="90" t="s">
        <v>15</v>
      </c>
      <c r="L173" s="90" t="s">
        <v>351</v>
      </c>
      <c r="M173" s="112">
        <f>IFERROR(IF(COUNTIFS(S173:AB173,清算项目基本情况表!$D$6)&gt;=1,IF(L173="占地面积法",ROUND(SUM('附表4-项目间分摊信息采集表'!$E$5)/SUMPRODUCT(SUMIFS('附表4-项目间分摊信息采集表'!$E:$E,'附表4-项目间分摊信息采集表'!$B:$B,S173:AB173)),20),IF(L173="测绘总建筑面积法",ROUND(SUM('附表4-项目间分摊信息采集表'!$F$5)/SUMPRODUCT(SUMIFS('附表4-项目间分摊信息采集表'!$F:$F,'附表4-项目间分摊信息采集表'!$B:$B,S173:AB173)),20),IF(L173="可售建筑面积法",ROUND(SUM('附表4-项目间分摊信息采集表'!$G$5)/SUMPRODUCT(SUMIFS('附表4-项目间分摊信息采集表'!$G:$G,'附表4-项目间分摊信息采集表'!$B:$B,S173:AB173)),20),IF(L173="其他分摊方法",ROUND(SUM('附表4-项目间分摊信息采集表'!$H$5)/SUMPRODUCT(SUMIFS('附表4-项目间分摊信息采集表'!$H:$H,'附表4-项目间分摊信息采集表'!$B:$B,S173:AB173)),20),IF(L173="手工填写分摊比例","请填写分摊比例",100%))))),IF(COUNTA(S173:AB173)&gt;=1,0%,100%)),100%)</f>
        <v>0.338555832480367</v>
      </c>
      <c r="N173" s="97">
        <f>SUMIFS('附表7-扣除项目明细采集底稿'!$R:$R,'附表7-扣除项目明细采集底稿'!$G:$G,B173)</f>
        <v>7547.17</v>
      </c>
      <c r="O173" s="90" t="s">
        <v>4651</v>
      </c>
      <c r="P173" s="113">
        <f>SUMIFS('附表7-扣除项目明细采集底稿'!$T:$T,'附表7-扣除项目明细采集底稿'!$G:$G,$B173)</f>
        <v>2555.14</v>
      </c>
      <c r="Q173" s="117">
        <f t="shared" si="6"/>
        <v>4992.03</v>
      </c>
      <c r="R173" s="118"/>
      <c r="S173" s="90" t="s">
        <v>11</v>
      </c>
      <c r="T173" s="90" t="s">
        <v>46</v>
      </c>
      <c r="U173" s="90" t="s">
        <v>371</v>
      </c>
      <c r="V173" s="90"/>
      <c r="W173" s="90"/>
      <c r="X173" s="90"/>
      <c r="Y173" s="90"/>
      <c r="Z173" s="90"/>
      <c r="AA173" s="90"/>
      <c r="AB173" s="90"/>
    </row>
    <row r="174" s="80" customFormat="1" ht="15.05" spans="1:28">
      <c r="A174" s="90">
        <v>95</v>
      </c>
      <c r="B174" s="91" t="s">
        <v>2681</v>
      </c>
      <c r="C174" s="100" t="s">
        <v>4877</v>
      </c>
      <c r="D174" s="93" t="s">
        <v>4655</v>
      </c>
      <c r="E174" s="99" t="s">
        <v>2682</v>
      </c>
      <c r="F174" s="95">
        <v>44162</v>
      </c>
      <c r="G174" s="96">
        <v>5000</v>
      </c>
      <c r="H174" s="97">
        <v>0</v>
      </c>
      <c r="I174" s="96" t="s">
        <v>4650</v>
      </c>
      <c r="J174" s="90" t="s">
        <v>4650</v>
      </c>
      <c r="K174" s="90" t="s">
        <v>4650</v>
      </c>
      <c r="L174" s="90"/>
      <c r="M174" s="112">
        <f>IFERROR(IF(COUNTIFS(S174:AB174,清算项目基本情况表!$D$6)&gt;=1,IF(L174="占地面积法",ROUND(SUM('附表4-项目间分摊信息采集表'!$E$5)/SUMPRODUCT(SUMIFS('附表4-项目间分摊信息采集表'!$E:$E,'附表4-项目间分摊信息采集表'!$B:$B,S174:AB174)),20),IF(L174="测绘总建筑面积法",ROUND(SUM('附表4-项目间分摊信息采集表'!$F$5)/SUMPRODUCT(SUMIFS('附表4-项目间分摊信息采集表'!$F:$F,'附表4-项目间分摊信息采集表'!$B:$B,S174:AB174)),20),IF(L174="可售建筑面积法",ROUND(SUM('附表4-项目间分摊信息采集表'!$G$5)/SUMPRODUCT(SUMIFS('附表4-项目间分摊信息采集表'!$G:$G,'附表4-项目间分摊信息采集表'!$B:$B,S174:AB174)),20),IF(L174="其他分摊方法",ROUND(SUM('附表4-项目间分摊信息采集表'!$H$5)/SUMPRODUCT(SUMIFS('附表4-项目间分摊信息采集表'!$H:$H,'附表4-项目间分摊信息采集表'!$B:$B,S174:AB174)),20),IF(L174="手工填写分摊比例","请填写分摊比例",100%))))),IF(COUNTA(S174:AB174)&gt;=1,0%,100%)),100%)</f>
        <v>1</v>
      </c>
      <c r="N174" s="97">
        <f>SUMIFS('附表7-扣除项目明细采集底稿'!$R:$R,'附表7-扣除项目明细采集底稿'!$G:$G,B174)</f>
        <v>0</v>
      </c>
      <c r="O174" s="90" t="s">
        <v>4651</v>
      </c>
      <c r="P174" s="113">
        <f>SUMIFS('附表7-扣除项目明细采集底稿'!$T:$T,'附表7-扣除项目明细采集底稿'!$G:$G,$B174)</f>
        <v>0</v>
      </c>
      <c r="Q174" s="117">
        <f t="shared" si="6"/>
        <v>0</v>
      </c>
      <c r="R174" s="118"/>
      <c r="S174" s="90"/>
      <c r="T174" s="90"/>
      <c r="U174" s="90"/>
      <c r="V174" s="90"/>
      <c r="W174" s="90"/>
      <c r="X174" s="90"/>
      <c r="Y174" s="90"/>
      <c r="Z174" s="90"/>
      <c r="AA174" s="90"/>
      <c r="AB174" s="90"/>
    </row>
    <row r="175" s="80" customFormat="1" ht="15.05" spans="1:28">
      <c r="A175" s="90">
        <v>98</v>
      </c>
      <c r="B175" s="91" t="s">
        <v>3119</v>
      </c>
      <c r="C175" s="99" t="s">
        <v>4878</v>
      </c>
      <c r="D175" s="93" t="s">
        <v>4655</v>
      </c>
      <c r="E175" s="99" t="s">
        <v>3120</v>
      </c>
      <c r="F175" s="95">
        <v>44144</v>
      </c>
      <c r="G175" s="96">
        <v>20160</v>
      </c>
      <c r="H175" s="97">
        <v>0</v>
      </c>
      <c r="I175" s="96" t="s">
        <v>4650</v>
      </c>
      <c r="J175" s="90" t="s">
        <v>4650</v>
      </c>
      <c r="K175" s="90" t="s">
        <v>4650</v>
      </c>
      <c r="L175" s="90"/>
      <c r="M175" s="112">
        <f>IFERROR(IF(COUNTIFS(S175:AB175,清算项目基本情况表!$D$6)&gt;=1,IF(L175="占地面积法",ROUND(SUM('附表4-项目间分摊信息采集表'!$E$5)/SUMPRODUCT(SUMIFS('附表4-项目间分摊信息采集表'!$E:$E,'附表4-项目间分摊信息采集表'!$B:$B,S175:AB175)),20),IF(L175="测绘总建筑面积法",ROUND(SUM('附表4-项目间分摊信息采集表'!$F$5)/SUMPRODUCT(SUMIFS('附表4-项目间分摊信息采集表'!$F:$F,'附表4-项目间分摊信息采集表'!$B:$B,S175:AB175)),20),IF(L175="可售建筑面积法",ROUND(SUM('附表4-项目间分摊信息采集表'!$G$5)/SUMPRODUCT(SUMIFS('附表4-项目间分摊信息采集表'!$G:$G,'附表4-项目间分摊信息采集表'!$B:$B,S175:AB175)),20),IF(L175="其他分摊方法",ROUND(SUM('附表4-项目间分摊信息采集表'!$H$5)/SUMPRODUCT(SUMIFS('附表4-项目间分摊信息采集表'!$H:$H,'附表4-项目间分摊信息采集表'!$B:$B,S175:AB175)),20),IF(L175="手工填写分摊比例","请填写分摊比例",100%))))),IF(COUNTA(S175:AB175)&gt;=1,0%,100%)),100%)</f>
        <v>1</v>
      </c>
      <c r="N175" s="97">
        <f>SUMIFS('附表7-扣除项目明细采集底稿'!$R:$R,'附表7-扣除项目明细采集底稿'!$G:$G,B175)</f>
        <v>19918.87</v>
      </c>
      <c r="O175" s="90" t="s">
        <v>4651</v>
      </c>
      <c r="P175" s="113">
        <f>SUMIFS('附表7-扣除项目明细采集底稿'!$T:$T,'附表7-扣除项目明细采集底稿'!$G:$G,$B175)</f>
        <v>19918.87</v>
      </c>
      <c r="Q175" s="117">
        <f t="shared" si="6"/>
        <v>0</v>
      </c>
      <c r="R175" s="118"/>
      <c r="S175" s="90"/>
      <c r="T175" s="90"/>
      <c r="U175" s="90"/>
      <c r="V175" s="90"/>
      <c r="W175" s="90"/>
      <c r="X175" s="90"/>
      <c r="Y175" s="90"/>
      <c r="Z175" s="90"/>
      <c r="AA175" s="90"/>
      <c r="AB175" s="90"/>
    </row>
    <row r="176" s="80" customFormat="1" ht="15.05" spans="1:28">
      <c r="A176" s="90">
        <v>99</v>
      </c>
      <c r="B176" s="91" t="s">
        <v>2808</v>
      </c>
      <c r="C176" s="99" t="s">
        <v>4879</v>
      </c>
      <c r="D176" s="93" t="s">
        <v>4655</v>
      </c>
      <c r="E176" s="99" t="s">
        <v>2734</v>
      </c>
      <c r="F176" s="95">
        <v>43679</v>
      </c>
      <c r="G176" s="96">
        <v>177200</v>
      </c>
      <c r="H176" s="97">
        <v>0</v>
      </c>
      <c r="I176" s="96" t="s">
        <v>4650</v>
      </c>
      <c r="J176" s="90" t="s">
        <v>4650</v>
      </c>
      <c r="K176" s="90" t="s">
        <v>15</v>
      </c>
      <c r="L176" s="90" t="s">
        <v>351</v>
      </c>
      <c r="M176" s="112">
        <f>IFERROR(IF(COUNTIFS(S176:AB176,清算项目基本情况表!$D$6)&gt;=1,IF(L176="占地面积法",ROUND(SUM('附表4-项目间分摊信息采集表'!$E$5)/SUMPRODUCT(SUMIFS('附表4-项目间分摊信息采集表'!$E:$E,'附表4-项目间分摊信息采集表'!$B:$B,S176:AB176)),20),IF(L176="测绘总建筑面积法",ROUND(SUM('附表4-项目间分摊信息采集表'!$F$5)/SUMPRODUCT(SUMIFS('附表4-项目间分摊信息采集表'!$F:$F,'附表4-项目间分摊信息采集表'!$B:$B,S176:AB176)),20),IF(L176="可售建筑面积法",ROUND(SUM('附表4-项目间分摊信息采集表'!$G$5)/SUMPRODUCT(SUMIFS('附表4-项目间分摊信息采集表'!$G:$G,'附表4-项目间分摊信息采集表'!$B:$B,S176:AB176)),20),IF(L176="其他分摊方法",ROUND(SUM('附表4-项目间分摊信息采集表'!$H$5)/SUMPRODUCT(SUMIFS('附表4-项目间分摊信息采集表'!$H:$H,'附表4-项目间分摊信息采集表'!$B:$B,S176:AB176)),20),IF(L176="手工填写分摊比例","请填写分摊比例",100%))))),IF(COUNTA(S176:AB176)&gt;=1,0%,100%)),100%)</f>
        <v>0.338555832480367</v>
      </c>
      <c r="N176" s="97">
        <f>SUMIFS('附表7-扣除项目明细采集底稿'!$R:$R,'附表7-扣除项目明细采集底稿'!$G:$G,B176)</f>
        <v>82300.88</v>
      </c>
      <c r="O176" s="90" t="s">
        <v>4651</v>
      </c>
      <c r="P176" s="113">
        <f>SUMIFS('附表7-扣除项目明细采集底稿'!$T:$T,'附表7-扣除项目明细采集底稿'!$G:$G,$B176)</f>
        <v>27863.44</v>
      </c>
      <c r="Q176" s="117">
        <f t="shared" si="6"/>
        <v>54437.44</v>
      </c>
      <c r="R176" s="118"/>
      <c r="S176" s="90" t="s">
        <v>11</v>
      </c>
      <c r="T176" s="90" t="s">
        <v>46</v>
      </c>
      <c r="U176" s="90" t="s">
        <v>371</v>
      </c>
      <c r="V176" s="90"/>
      <c r="W176" s="90"/>
      <c r="X176" s="90"/>
      <c r="Y176" s="90"/>
      <c r="Z176" s="90"/>
      <c r="AA176" s="90"/>
      <c r="AB176" s="90"/>
    </row>
    <row r="177" s="80" customFormat="1" ht="15.05" spans="1:28">
      <c r="A177" s="90">
        <v>101</v>
      </c>
      <c r="B177" s="91" t="s">
        <v>2455</v>
      </c>
      <c r="C177" s="123" t="s">
        <v>2454</v>
      </c>
      <c r="D177" s="93" t="s">
        <v>4655</v>
      </c>
      <c r="E177" s="99" t="s">
        <v>2456</v>
      </c>
      <c r="F177" s="108">
        <v>44587</v>
      </c>
      <c r="G177" s="96">
        <v>38000</v>
      </c>
      <c r="H177" s="97">
        <v>0</v>
      </c>
      <c r="I177" s="96" t="s">
        <v>4650</v>
      </c>
      <c r="J177" s="90" t="s">
        <v>4650</v>
      </c>
      <c r="K177" s="90" t="s">
        <v>4650</v>
      </c>
      <c r="L177" s="90"/>
      <c r="M177" s="112">
        <f>IFERROR(IF(COUNTIFS(S177:AB177,清算项目基本情况表!$D$6)&gt;=1,IF(L177="占地面积法",ROUND(SUM('附表4-项目间分摊信息采集表'!$E$5)/SUMPRODUCT(SUMIFS('附表4-项目间分摊信息采集表'!$E:$E,'附表4-项目间分摊信息采集表'!$B:$B,S177:AB177)),20),IF(L177="测绘总建筑面积法",ROUND(SUM('附表4-项目间分摊信息采集表'!$F$5)/SUMPRODUCT(SUMIFS('附表4-项目间分摊信息采集表'!$F:$F,'附表4-项目间分摊信息采集表'!$B:$B,S177:AB177)),20),IF(L177="可售建筑面积法",ROUND(SUM('附表4-项目间分摊信息采集表'!$G$5)/SUMPRODUCT(SUMIFS('附表4-项目间分摊信息采集表'!$G:$G,'附表4-项目间分摊信息采集表'!$B:$B,S177:AB177)),20),IF(L177="其他分摊方法",ROUND(SUM('附表4-项目间分摊信息采集表'!$H$5)/SUMPRODUCT(SUMIFS('附表4-项目间分摊信息采集表'!$H:$H,'附表4-项目间分摊信息采集表'!$B:$B,S177:AB177)),20),IF(L177="手工填写分摊比例","请填写分摊比例",100%))))),IF(COUNTA(S177:AB177)&gt;=1,0%,100%)),100%)</f>
        <v>1</v>
      </c>
      <c r="N177" s="97">
        <f>SUMIFS('附表7-扣除项目明细采集底稿'!$R:$R,'附表7-扣除项目明细采集底稿'!$G:$G,B177)</f>
        <v>0</v>
      </c>
      <c r="O177" s="90" t="s">
        <v>4651</v>
      </c>
      <c r="P177" s="113">
        <f>SUMIFS('附表7-扣除项目明细采集底稿'!$T:$T,'附表7-扣除项目明细采集底稿'!$G:$G,$B177)</f>
        <v>0</v>
      </c>
      <c r="Q177" s="117">
        <f t="shared" si="6"/>
        <v>0</v>
      </c>
      <c r="R177" s="118"/>
      <c r="S177" s="90"/>
      <c r="T177" s="90"/>
      <c r="U177" s="90"/>
      <c r="V177" s="90"/>
      <c r="W177" s="90"/>
      <c r="X177" s="90"/>
      <c r="Y177" s="90"/>
      <c r="Z177" s="90"/>
      <c r="AA177" s="90"/>
      <c r="AB177" s="90"/>
    </row>
    <row r="178" s="80" customFormat="1" ht="15.05" spans="1:28">
      <c r="A178" s="90">
        <v>102</v>
      </c>
      <c r="B178" s="91" t="s">
        <v>2834</v>
      </c>
      <c r="C178" s="100" t="s">
        <v>4880</v>
      </c>
      <c r="D178" s="93" t="s">
        <v>4807</v>
      </c>
      <c r="E178" s="99" t="s">
        <v>2835</v>
      </c>
      <c r="F178" s="95">
        <v>44144</v>
      </c>
      <c r="G178" s="96">
        <v>33380</v>
      </c>
      <c r="H178" s="97">
        <v>0</v>
      </c>
      <c r="I178" s="96" t="s">
        <v>4650</v>
      </c>
      <c r="J178" s="90" t="s">
        <v>4650</v>
      </c>
      <c r="K178" s="90" t="s">
        <v>4650</v>
      </c>
      <c r="L178" s="90"/>
      <c r="M178" s="112">
        <f>IFERROR(IF(COUNTIFS(S178:AB178,清算项目基本情况表!$D$6)&gt;=1,IF(L178="占地面积法",ROUND(SUM('附表4-项目间分摊信息采集表'!$E$5)/SUMPRODUCT(SUMIFS('附表4-项目间分摊信息采集表'!$E:$E,'附表4-项目间分摊信息采集表'!$B:$B,S178:AB178)),20),IF(L178="测绘总建筑面积法",ROUND(SUM('附表4-项目间分摊信息采集表'!$F$5)/SUMPRODUCT(SUMIFS('附表4-项目间分摊信息采集表'!$F:$F,'附表4-项目间分摊信息采集表'!$B:$B,S178:AB178)),20),IF(L178="可售建筑面积法",ROUND(SUM('附表4-项目间分摊信息采集表'!$G$5)/SUMPRODUCT(SUMIFS('附表4-项目间分摊信息采集表'!$G:$G,'附表4-项目间分摊信息采集表'!$B:$B,S178:AB178)),20),IF(L178="其他分摊方法",ROUND(SUM('附表4-项目间分摊信息采集表'!$H$5)/SUMPRODUCT(SUMIFS('附表4-项目间分摊信息采集表'!$H:$H,'附表4-项目间分摊信息采集表'!$B:$B,S178:AB178)),20),IF(L178="手工填写分摊比例","请填写分摊比例",100%))))),IF(COUNTA(S178:AB178)&gt;=1,0%,100%)),100%)</f>
        <v>1</v>
      </c>
      <c r="N178" s="97">
        <f>SUMIFS('附表7-扣除项目明细采集底稿'!$R:$R,'附表7-扣除项目明细采集底稿'!$G:$G,B178)</f>
        <v>159140.44</v>
      </c>
      <c r="O178" s="90" t="s">
        <v>4651</v>
      </c>
      <c r="P178" s="113">
        <f>SUMIFS('附表7-扣除项目明细采集底稿'!$T:$T,'附表7-扣除项目明细采集底稿'!$G:$G,$B178)</f>
        <v>159140.44</v>
      </c>
      <c r="Q178" s="117">
        <f t="shared" si="6"/>
        <v>0</v>
      </c>
      <c r="R178" s="118"/>
      <c r="S178" s="90"/>
      <c r="T178" s="90"/>
      <c r="U178" s="90"/>
      <c r="V178" s="90"/>
      <c r="W178" s="90"/>
      <c r="X178" s="90"/>
      <c r="Y178" s="90"/>
      <c r="Z178" s="90"/>
      <c r="AA178" s="90"/>
      <c r="AB178" s="90"/>
    </row>
    <row r="179" s="80" customFormat="1" ht="15.05" spans="1:28">
      <c r="A179" s="90">
        <v>103</v>
      </c>
      <c r="B179" s="91" t="s">
        <v>2875</v>
      </c>
      <c r="C179" s="100" t="s">
        <v>4881</v>
      </c>
      <c r="D179" s="93" t="s">
        <v>4807</v>
      </c>
      <c r="E179" s="99" t="s">
        <v>2876</v>
      </c>
      <c r="F179" s="95">
        <v>44144</v>
      </c>
      <c r="G179" s="96">
        <v>313330</v>
      </c>
      <c r="H179" s="97">
        <v>0</v>
      </c>
      <c r="I179" s="96" t="s">
        <v>4650</v>
      </c>
      <c r="J179" s="90" t="s">
        <v>4650</v>
      </c>
      <c r="K179" s="90" t="s">
        <v>4650</v>
      </c>
      <c r="L179" s="90"/>
      <c r="M179" s="112">
        <f>IFERROR(IF(COUNTIFS(S179:AB179,清算项目基本情况表!$D$6)&gt;=1,IF(L179="占地面积法",ROUND(SUM('附表4-项目间分摊信息采集表'!$E$5)/SUMPRODUCT(SUMIFS('附表4-项目间分摊信息采集表'!$E:$E,'附表4-项目间分摊信息采集表'!$B:$B,S179:AB179)),20),IF(L179="测绘总建筑面积法",ROUND(SUM('附表4-项目间分摊信息采集表'!$F$5)/SUMPRODUCT(SUMIFS('附表4-项目间分摊信息采集表'!$F:$F,'附表4-项目间分摊信息采集表'!$B:$B,S179:AB179)),20),IF(L179="可售建筑面积法",ROUND(SUM('附表4-项目间分摊信息采集表'!$G$5)/SUMPRODUCT(SUMIFS('附表4-项目间分摊信息采集表'!$G:$G,'附表4-项目间分摊信息采集表'!$B:$B,S179:AB179)),20),IF(L179="其他分摊方法",ROUND(SUM('附表4-项目间分摊信息采集表'!$H$5)/SUMPRODUCT(SUMIFS('附表4-项目间分摊信息采集表'!$H:$H,'附表4-项目间分摊信息采集表'!$B:$B,S179:AB179)),20),IF(L179="手工填写分摊比例","请填写分摊比例",100%))))),IF(COUNTA(S179:AB179)&gt;=1,0%,100%)),100%)</f>
        <v>1</v>
      </c>
      <c r="N179" s="97">
        <f>SUMIFS('附表7-扣除项目明细采集底稿'!$R:$R,'附表7-扣除项目明细采集底稿'!$G:$G,B179)</f>
        <v>309971.45</v>
      </c>
      <c r="O179" s="90" t="s">
        <v>4651</v>
      </c>
      <c r="P179" s="113">
        <f>SUMIFS('附表7-扣除项目明细采集底稿'!$T:$T,'附表7-扣除项目明细采集底稿'!$G:$G,$B179)</f>
        <v>309971.45</v>
      </c>
      <c r="Q179" s="117">
        <f t="shared" si="6"/>
        <v>0</v>
      </c>
      <c r="R179" s="118"/>
      <c r="S179" s="90"/>
      <c r="T179" s="90"/>
      <c r="U179" s="90"/>
      <c r="V179" s="90"/>
      <c r="W179" s="90"/>
      <c r="X179" s="90"/>
      <c r="Y179" s="90"/>
      <c r="Z179" s="90"/>
      <c r="AA179" s="90"/>
      <c r="AB179" s="90"/>
    </row>
    <row r="180" s="80" customFormat="1" ht="15.05" spans="1:28">
      <c r="A180" s="90">
        <v>104</v>
      </c>
      <c r="B180" s="91" t="s">
        <v>3293</v>
      </c>
      <c r="C180" s="100" t="s">
        <v>4882</v>
      </c>
      <c r="D180" s="93" t="s">
        <v>4655</v>
      </c>
      <c r="E180" s="94" t="s">
        <v>4883</v>
      </c>
      <c r="F180" s="95">
        <v>44144</v>
      </c>
      <c r="G180" s="96">
        <v>100000</v>
      </c>
      <c r="H180" s="97">
        <v>0</v>
      </c>
      <c r="I180" s="96" t="s">
        <v>4650</v>
      </c>
      <c r="J180" s="90" t="s">
        <v>4650</v>
      </c>
      <c r="K180" s="90" t="s">
        <v>4650</v>
      </c>
      <c r="L180" s="90"/>
      <c r="M180" s="112">
        <f>IFERROR(IF(COUNTIFS(S180:AB180,清算项目基本情况表!$D$6)&gt;=1,IF(L180="占地面积法",ROUND(SUM('附表4-项目间分摊信息采集表'!$E$5)/SUMPRODUCT(SUMIFS('附表4-项目间分摊信息采集表'!$E:$E,'附表4-项目间分摊信息采集表'!$B:$B,S180:AB180)),20),IF(L180="测绘总建筑面积法",ROUND(SUM('附表4-项目间分摊信息采集表'!$F$5)/SUMPRODUCT(SUMIFS('附表4-项目间分摊信息采集表'!$F:$F,'附表4-项目间分摊信息采集表'!$B:$B,S180:AB180)),20),IF(L180="可售建筑面积法",ROUND(SUM('附表4-项目间分摊信息采集表'!$G$5)/SUMPRODUCT(SUMIFS('附表4-项目间分摊信息采集表'!$G:$G,'附表4-项目间分摊信息采集表'!$B:$B,S180:AB180)),20),IF(L180="其他分摊方法",ROUND(SUM('附表4-项目间分摊信息采集表'!$H$5)/SUMPRODUCT(SUMIFS('附表4-项目间分摊信息采集表'!$H:$H,'附表4-项目间分摊信息采集表'!$B:$B,S180:AB180)),20),IF(L180="手工填写分摊比例","请填写分摊比例",100%))))),IF(COUNTA(S180:AB180)&gt;=1,0%,100%)),100%)</f>
        <v>1</v>
      </c>
      <c r="N180" s="97">
        <f>SUMIFS('附表7-扣除项目明细采集底稿'!$R:$R,'附表7-扣除项目明细采集底稿'!$G:$G,B180)</f>
        <v>99009.9</v>
      </c>
      <c r="O180" s="90" t="s">
        <v>4651</v>
      </c>
      <c r="P180" s="113">
        <f>SUMIFS('附表7-扣除项目明细采集底稿'!$T:$T,'附表7-扣除项目明细采集底稿'!$G:$G,$B180)</f>
        <v>99009.9</v>
      </c>
      <c r="Q180" s="117">
        <f t="shared" si="6"/>
        <v>0</v>
      </c>
      <c r="R180" s="118"/>
      <c r="S180" s="90"/>
      <c r="T180" s="90"/>
      <c r="U180" s="90"/>
      <c r="V180" s="90"/>
      <c r="W180" s="90"/>
      <c r="X180" s="90"/>
      <c r="Y180" s="90"/>
      <c r="Z180" s="90"/>
      <c r="AA180" s="90"/>
      <c r="AB180" s="90"/>
    </row>
    <row r="181" s="80" customFormat="1" ht="15.05" spans="1:28">
      <c r="A181" s="90">
        <v>105</v>
      </c>
      <c r="B181" s="91" t="s">
        <v>2661</v>
      </c>
      <c r="C181" s="99" t="s">
        <v>2651</v>
      </c>
      <c r="D181" s="93" t="s">
        <v>4655</v>
      </c>
      <c r="E181" s="99" t="s">
        <v>2662</v>
      </c>
      <c r="F181" s="95">
        <v>44144</v>
      </c>
      <c r="G181" s="96">
        <v>57373</v>
      </c>
      <c r="H181" s="97">
        <v>0</v>
      </c>
      <c r="I181" s="96" t="s">
        <v>4650</v>
      </c>
      <c r="J181" s="90" t="s">
        <v>4650</v>
      </c>
      <c r="K181" s="90" t="s">
        <v>4650</v>
      </c>
      <c r="L181" s="90"/>
      <c r="M181" s="112">
        <f>IFERROR(IF(COUNTIFS(S181:AB181,清算项目基本情况表!$D$6)&gt;=1,IF(L181="占地面积法",ROUND(SUM('附表4-项目间分摊信息采集表'!$E$5)/SUMPRODUCT(SUMIFS('附表4-项目间分摊信息采集表'!$E:$E,'附表4-项目间分摊信息采集表'!$B:$B,S181:AB181)),20),IF(L181="测绘总建筑面积法",ROUND(SUM('附表4-项目间分摊信息采集表'!$F$5)/SUMPRODUCT(SUMIFS('附表4-项目间分摊信息采集表'!$F:$F,'附表4-项目间分摊信息采集表'!$B:$B,S181:AB181)),20),IF(L181="可售建筑面积法",ROUND(SUM('附表4-项目间分摊信息采集表'!$G$5)/SUMPRODUCT(SUMIFS('附表4-项目间分摊信息采集表'!$G:$G,'附表4-项目间分摊信息采集表'!$B:$B,S181:AB181)),20),IF(L181="其他分摊方法",ROUND(SUM('附表4-项目间分摊信息采集表'!$H$5)/SUMPRODUCT(SUMIFS('附表4-项目间分摊信息采集表'!$H:$H,'附表4-项目间分摊信息采集表'!$B:$B,S181:AB181)),20),IF(L181="手工填写分摊比例","请填写分摊比例",100%))))),IF(COUNTA(S181:AB181)&gt;=1,0%,100%)),100%)</f>
        <v>1</v>
      </c>
      <c r="N181" s="97">
        <f>SUMIFS('附表7-扣除项目明细采集底稿'!$R:$R,'附表7-扣除项目明细采集底稿'!$G:$G,B181)</f>
        <v>0</v>
      </c>
      <c r="O181" s="90" t="s">
        <v>4651</v>
      </c>
      <c r="P181" s="113">
        <f>SUMIFS('附表7-扣除项目明细采集底稿'!$T:$T,'附表7-扣除项目明细采集底稿'!$G:$G,$B181)</f>
        <v>0</v>
      </c>
      <c r="Q181" s="117">
        <f t="shared" si="6"/>
        <v>0</v>
      </c>
      <c r="R181" s="118"/>
      <c r="S181" s="90"/>
      <c r="T181" s="90"/>
      <c r="U181" s="90"/>
      <c r="V181" s="90"/>
      <c r="W181" s="90"/>
      <c r="X181" s="90"/>
      <c r="Y181" s="90"/>
      <c r="Z181" s="90"/>
      <c r="AA181" s="90"/>
      <c r="AB181" s="90"/>
    </row>
    <row r="182" s="80" customFormat="1" ht="15.05" spans="1:28">
      <c r="A182" s="90">
        <v>109</v>
      </c>
      <c r="B182" s="91" t="s">
        <v>2473</v>
      </c>
      <c r="C182" s="100" t="s">
        <v>4884</v>
      </c>
      <c r="D182" s="93" t="s">
        <v>4655</v>
      </c>
      <c r="E182" s="94" t="s">
        <v>4885</v>
      </c>
      <c r="F182" s="95">
        <v>44196</v>
      </c>
      <c r="G182" s="96">
        <v>32615</v>
      </c>
      <c r="H182" s="97">
        <v>0</v>
      </c>
      <c r="I182" s="96" t="s">
        <v>4650</v>
      </c>
      <c r="J182" s="90" t="s">
        <v>4650</v>
      </c>
      <c r="K182" s="90" t="s">
        <v>4650</v>
      </c>
      <c r="L182" s="90"/>
      <c r="M182" s="112">
        <f>IFERROR(IF(COUNTIFS(S182:AB182,清算项目基本情况表!$D$6)&gt;=1,IF(L182="占地面积法",ROUND(SUM('附表4-项目间分摊信息采集表'!$E$5)/SUMPRODUCT(SUMIFS('附表4-项目间分摊信息采集表'!$E:$E,'附表4-项目间分摊信息采集表'!$B:$B,S182:AB182)),20),IF(L182="测绘总建筑面积法",ROUND(SUM('附表4-项目间分摊信息采集表'!$F$5)/SUMPRODUCT(SUMIFS('附表4-项目间分摊信息采集表'!$F:$F,'附表4-项目间分摊信息采集表'!$B:$B,S182:AB182)),20),IF(L182="可售建筑面积法",ROUND(SUM('附表4-项目间分摊信息采集表'!$G$5)/SUMPRODUCT(SUMIFS('附表4-项目间分摊信息采集表'!$G:$G,'附表4-项目间分摊信息采集表'!$B:$B,S182:AB182)),20),IF(L182="其他分摊方法",ROUND(SUM('附表4-项目间分摊信息采集表'!$H$5)/SUMPRODUCT(SUMIFS('附表4-项目间分摊信息采集表'!$H:$H,'附表4-项目间分摊信息采集表'!$B:$B,S182:AB182)),20),IF(L182="手工填写分摊比例","请填写分摊比例",100%))))),IF(COUNTA(S182:AB182)&gt;=1,0%,100%)),100%)</f>
        <v>1</v>
      </c>
      <c r="N182" s="97">
        <f>SUMIFS('附表7-扣除项目明细采集底稿'!$R:$R,'附表7-扣除项目明细采集底稿'!$G:$G,B182)</f>
        <v>0</v>
      </c>
      <c r="O182" s="90" t="s">
        <v>4651</v>
      </c>
      <c r="P182" s="113">
        <f>SUMIFS('附表7-扣除项目明细采集底稿'!$T:$T,'附表7-扣除项目明细采集底稿'!$G:$G,$B182)</f>
        <v>0</v>
      </c>
      <c r="Q182" s="117">
        <f t="shared" si="6"/>
        <v>0</v>
      </c>
      <c r="R182" s="118"/>
      <c r="S182" s="90"/>
      <c r="T182" s="90"/>
      <c r="U182" s="90"/>
      <c r="V182" s="90"/>
      <c r="W182" s="90"/>
      <c r="X182" s="90"/>
      <c r="Y182" s="90"/>
      <c r="Z182" s="90"/>
      <c r="AA182" s="90"/>
      <c r="AB182" s="90"/>
    </row>
    <row r="183" s="80" customFormat="1" ht="15.05" spans="1:28">
      <c r="A183" s="90">
        <v>111</v>
      </c>
      <c r="B183" s="91" t="s">
        <v>2372</v>
      </c>
      <c r="C183" s="121" t="s">
        <v>4886</v>
      </c>
      <c r="D183" s="93" t="s">
        <v>4655</v>
      </c>
      <c r="E183" s="94" t="s">
        <v>2373</v>
      </c>
      <c r="F183" s="95">
        <v>44144</v>
      </c>
      <c r="G183" s="96">
        <v>9568</v>
      </c>
      <c r="H183" s="97">
        <v>0</v>
      </c>
      <c r="I183" s="96" t="s">
        <v>4650</v>
      </c>
      <c r="J183" s="90" t="s">
        <v>4650</v>
      </c>
      <c r="K183" s="90" t="s">
        <v>4650</v>
      </c>
      <c r="L183" s="90"/>
      <c r="M183" s="112">
        <f>IFERROR(IF(COUNTIFS(S183:AB183,清算项目基本情况表!$D$6)&gt;=1,IF(L183="占地面积法",ROUND(SUM('附表4-项目间分摊信息采集表'!$E$5)/SUMPRODUCT(SUMIFS('附表4-项目间分摊信息采集表'!$E:$E,'附表4-项目间分摊信息采集表'!$B:$B,S183:AB183)),20),IF(L183="测绘总建筑面积法",ROUND(SUM('附表4-项目间分摊信息采集表'!$F$5)/SUMPRODUCT(SUMIFS('附表4-项目间分摊信息采集表'!$F:$F,'附表4-项目间分摊信息采集表'!$B:$B,S183:AB183)),20),IF(L183="可售建筑面积法",ROUND(SUM('附表4-项目间分摊信息采集表'!$G$5)/SUMPRODUCT(SUMIFS('附表4-项目间分摊信息采集表'!$G:$G,'附表4-项目间分摊信息采集表'!$B:$B,S183:AB183)),20),IF(L183="其他分摊方法",ROUND(SUM('附表4-项目间分摊信息采集表'!$H$5)/SUMPRODUCT(SUMIFS('附表4-项目间分摊信息采集表'!$H:$H,'附表4-项目间分摊信息采集表'!$B:$B,S183:AB183)),20),IF(L183="手工填写分摊比例","请填写分摊比例",100%))))),IF(COUNTA(S183:AB183)&gt;=1,0%,100%)),100%)</f>
        <v>1</v>
      </c>
      <c r="N183" s="97">
        <f>SUMIFS('附表7-扣除项目明细采集底稿'!$R:$R,'附表7-扣除项目明细采集底稿'!$G:$G,B183)</f>
        <v>7956</v>
      </c>
      <c r="O183" s="90" t="s">
        <v>4651</v>
      </c>
      <c r="P183" s="113">
        <f>SUMIFS('附表7-扣除项目明细采集底稿'!$T:$T,'附表7-扣除项目明细采集底稿'!$G:$G,$B183)</f>
        <v>7956</v>
      </c>
      <c r="Q183" s="117">
        <f t="shared" si="6"/>
        <v>0</v>
      </c>
      <c r="R183" s="118"/>
      <c r="S183" s="90"/>
      <c r="T183" s="90"/>
      <c r="U183" s="90"/>
      <c r="V183" s="90"/>
      <c r="W183" s="90"/>
      <c r="X183" s="90"/>
      <c r="Y183" s="90"/>
      <c r="Z183" s="90"/>
      <c r="AA183" s="90"/>
      <c r="AB183" s="90"/>
    </row>
    <row r="184" s="80" customFormat="1" ht="15.05" spans="1:28">
      <c r="A184" s="90">
        <v>117</v>
      </c>
      <c r="B184" s="91" t="s">
        <v>2560</v>
      </c>
      <c r="C184" s="99" t="s">
        <v>4887</v>
      </c>
      <c r="D184" s="93" t="s">
        <v>4655</v>
      </c>
      <c r="E184" s="99" t="s">
        <v>2561</v>
      </c>
      <c r="F184" s="95">
        <v>44144</v>
      </c>
      <c r="G184" s="96">
        <v>274810</v>
      </c>
      <c r="H184" s="97">
        <v>0</v>
      </c>
      <c r="I184" s="96" t="s">
        <v>4650</v>
      </c>
      <c r="J184" s="90" t="s">
        <v>4650</v>
      </c>
      <c r="K184" s="90" t="s">
        <v>4650</v>
      </c>
      <c r="L184" s="90"/>
      <c r="M184" s="112">
        <f>IFERROR(IF(COUNTIFS(S184:AB184,清算项目基本情况表!$D$6)&gt;=1,IF(L184="占地面积法",ROUND(SUM('附表4-项目间分摊信息采集表'!$E$5)/SUMPRODUCT(SUMIFS('附表4-项目间分摊信息采集表'!$E:$E,'附表4-项目间分摊信息采集表'!$B:$B,S184:AB184)),20),IF(L184="测绘总建筑面积法",ROUND(SUM('附表4-项目间分摊信息采集表'!$F$5)/SUMPRODUCT(SUMIFS('附表4-项目间分摊信息采集表'!$F:$F,'附表4-项目间分摊信息采集表'!$B:$B,S184:AB184)),20),IF(L184="可售建筑面积法",ROUND(SUM('附表4-项目间分摊信息采集表'!$G$5)/SUMPRODUCT(SUMIFS('附表4-项目间分摊信息采集表'!$G:$G,'附表4-项目间分摊信息采集表'!$B:$B,S184:AB184)),20),IF(L184="其他分摊方法",ROUND(SUM('附表4-项目间分摊信息采集表'!$H$5)/SUMPRODUCT(SUMIFS('附表4-项目间分摊信息采集表'!$H:$H,'附表4-项目间分摊信息采集表'!$B:$B,S184:AB184)),20),IF(L184="手工填写分摊比例","请填写分摊比例",100%))))),IF(COUNTA(S184:AB184)&gt;=1,0%,100%)),100%)</f>
        <v>1</v>
      </c>
      <c r="N184" s="97">
        <f>SUMIFS('附表7-扣除项目明细采集底稿'!$R:$R,'附表7-扣除项目明细采集底稿'!$G:$G,B184)</f>
        <v>243194.68</v>
      </c>
      <c r="O184" s="90" t="s">
        <v>4651</v>
      </c>
      <c r="P184" s="113">
        <f>SUMIFS('附表7-扣除项目明细采集底稿'!$T:$T,'附表7-扣除项目明细采集底稿'!$G:$G,$B184)</f>
        <v>243194.68</v>
      </c>
      <c r="Q184" s="117">
        <f t="shared" si="6"/>
        <v>0</v>
      </c>
      <c r="R184" s="118"/>
      <c r="S184" s="90"/>
      <c r="T184" s="90"/>
      <c r="U184" s="90"/>
      <c r="V184" s="90"/>
      <c r="W184" s="90"/>
      <c r="X184" s="90"/>
      <c r="Y184" s="90"/>
      <c r="Z184" s="90"/>
      <c r="AA184" s="90"/>
      <c r="AB184" s="90"/>
    </row>
    <row r="185" s="80" customFormat="1" ht="15.05" spans="1:28">
      <c r="A185" s="90">
        <v>119</v>
      </c>
      <c r="B185" s="91" t="s">
        <v>2697</v>
      </c>
      <c r="C185" s="99" t="s">
        <v>2660</v>
      </c>
      <c r="D185" s="93" t="s">
        <v>4655</v>
      </c>
      <c r="E185" s="99" t="s">
        <v>2698</v>
      </c>
      <c r="F185" s="95">
        <v>44144</v>
      </c>
      <c r="G185" s="96">
        <v>2975</v>
      </c>
      <c r="H185" s="97">
        <v>0</v>
      </c>
      <c r="I185" s="96" t="s">
        <v>4650</v>
      </c>
      <c r="J185" s="90" t="s">
        <v>4650</v>
      </c>
      <c r="K185" s="90" t="s">
        <v>4650</v>
      </c>
      <c r="L185" s="90"/>
      <c r="M185" s="112">
        <f>IFERROR(IF(COUNTIFS(S185:AB185,清算项目基本情况表!$D$6)&gt;=1,IF(L185="占地面积法",ROUND(SUM('附表4-项目间分摊信息采集表'!$E$5)/SUMPRODUCT(SUMIFS('附表4-项目间分摊信息采集表'!$E:$E,'附表4-项目间分摊信息采集表'!$B:$B,S185:AB185)),20),IF(L185="测绘总建筑面积法",ROUND(SUM('附表4-项目间分摊信息采集表'!$F$5)/SUMPRODUCT(SUMIFS('附表4-项目间分摊信息采集表'!$F:$F,'附表4-项目间分摊信息采集表'!$B:$B,S185:AB185)),20),IF(L185="可售建筑面积法",ROUND(SUM('附表4-项目间分摊信息采集表'!$G$5)/SUMPRODUCT(SUMIFS('附表4-项目间分摊信息采集表'!$G:$G,'附表4-项目间分摊信息采集表'!$B:$B,S185:AB185)),20),IF(L185="其他分摊方法",ROUND(SUM('附表4-项目间分摊信息采集表'!$H$5)/SUMPRODUCT(SUMIFS('附表4-项目间分摊信息采集表'!$H:$H,'附表4-项目间分摊信息采集表'!$B:$B,S185:AB185)),20),IF(L185="手工填写分摊比例","请填写分摊比例",100%))))),IF(COUNTA(S185:AB185)&gt;=1,0%,100%)),100%)</f>
        <v>1</v>
      </c>
      <c r="N185" s="97">
        <f>SUMIFS('附表7-扣除项目明细采集底稿'!$R:$R,'附表7-扣除项目明细采集底稿'!$G:$G,B185)</f>
        <v>0</v>
      </c>
      <c r="O185" s="90" t="s">
        <v>4651</v>
      </c>
      <c r="P185" s="113">
        <f>SUMIFS('附表7-扣除项目明细采集底稿'!$T:$T,'附表7-扣除项目明细采集底稿'!$G:$G,$B185)</f>
        <v>0</v>
      </c>
      <c r="Q185" s="117">
        <f t="shared" si="6"/>
        <v>0</v>
      </c>
      <c r="R185" s="118"/>
      <c r="S185" s="90"/>
      <c r="T185" s="90"/>
      <c r="U185" s="90"/>
      <c r="V185" s="90"/>
      <c r="W185" s="90"/>
      <c r="X185" s="90"/>
      <c r="Y185" s="90"/>
      <c r="Z185" s="90"/>
      <c r="AA185" s="90"/>
      <c r="AB185" s="90"/>
    </row>
    <row r="186" s="80" customFormat="1" ht="15.05" spans="1:28">
      <c r="A186" s="90">
        <v>121</v>
      </c>
      <c r="B186" s="91" t="s">
        <v>2730</v>
      </c>
      <c r="C186" s="99" t="s">
        <v>4888</v>
      </c>
      <c r="D186" s="93" t="s">
        <v>4655</v>
      </c>
      <c r="E186" s="99" t="s">
        <v>2731</v>
      </c>
      <c r="F186" s="95">
        <v>44144</v>
      </c>
      <c r="G186" s="96">
        <v>33180</v>
      </c>
      <c r="H186" s="97">
        <v>0</v>
      </c>
      <c r="I186" s="96" t="s">
        <v>4650</v>
      </c>
      <c r="J186" s="90" t="s">
        <v>4650</v>
      </c>
      <c r="K186" s="90" t="s">
        <v>4650</v>
      </c>
      <c r="L186" s="90"/>
      <c r="M186" s="112">
        <f>IFERROR(IF(COUNTIFS(S186:AB186,清算项目基本情况表!$D$6)&gt;=1,IF(L186="占地面积法",ROUND(SUM('附表4-项目间分摊信息采集表'!$E$5)/SUMPRODUCT(SUMIFS('附表4-项目间分摊信息采集表'!$E:$E,'附表4-项目间分摊信息采集表'!$B:$B,S186:AB186)),20),IF(L186="测绘总建筑面积法",ROUND(SUM('附表4-项目间分摊信息采集表'!$F$5)/SUMPRODUCT(SUMIFS('附表4-项目间分摊信息采集表'!$F:$F,'附表4-项目间分摊信息采集表'!$B:$B,S186:AB186)),20),IF(L186="可售建筑面积法",ROUND(SUM('附表4-项目间分摊信息采集表'!$G$5)/SUMPRODUCT(SUMIFS('附表4-项目间分摊信息采集表'!$G:$G,'附表4-项目间分摊信息采集表'!$B:$B,S186:AB186)),20),IF(L186="其他分摊方法",ROUND(SUM('附表4-项目间分摊信息采集表'!$H$5)/SUMPRODUCT(SUMIFS('附表4-项目间分摊信息采集表'!$H:$H,'附表4-项目间分摊信息采集表'!$B:$B,S186:AB186)),20),IF(L186="手工填写分摊比例","请填写分摊比例",100%))))),IF(COUNTA(S186:AB186)&gt;=1,0%,100%)),100%)</f>
        <v>1</v>
      </c>
      <c r="N186" s="97">
        <f>SUMIFS('附表7-扣除项目明细采集底稿'!$R:$R,'附表7-扣除项目明细采集底稿'!$G:$G,B186)</f>
        <v>0</v>
      </c>
      <c r="O186" s="90" t="s">
        <v>4651</v>
      </c>
      <c r="P186" s="113">
        <f>SUMIFS('附表7-扣除项目明细采集底稿'!$T:$T,'附表7-扣除项目明细采集底稿'!$G:$G,$B186)</f>
        <v>0</v>
      </c>
      <c r="Q186" s="117">
        <f t="shared" si="6"/>
        <v>0</v>
      </c>
      <c r="R186" s="118"/>
      <c r="S186" s="90"/>
      <c r="T186" s="90"/>
      <c r="U186" s="90"/>
      <c r="V186" s="90"/>
      <c r="W186" s="90"/>
      <c r="X186" s="90"/>
      <c r="Y186" s="90"/>
      <c r="Z186" s="90"/>
      <c r="AA186" s="90"/>
      <c r="AB186" s="90"/>
    </row>
    <row r="187" s="80" customFormat="1" ht="15.05" spans="1:28">
      <c r="A187" s="90">
        <v>122</v>
      </c>
      <c r="B187" s="91" t="s">
        <v>3075</v>
      </c>
      <c r="C187" s="100" t="s">
        <v>4889</v>
      </c>
      <c r="D187" s="93" t="s">
        <v>4655</v>
      </c>
      <c r="E187" s="94" t="s">
        <v>4890</v>
      </c>
      <c r="F187" s="95">
        <v>44144</v>
      </c>
      <c r="G187" s="96">
        <v>3000</v>
      </c>
      <c r="H187" s="97">
        <v>0</v>
      </c>
      <c r="I187" s="96" t="s">
        <v>4650</v>
      </c>
      <c r="J187" s="90" t="s">
        <v>4650</v>
      </c>
      <c r="K187" s="90" t="s">
        <v>4650</v>
      </c>
      <c r="L187" s="90"/>
      <c r="M187" s="112">
        <f>IFERROR(IF(COUNTIFS(S187:AB187,清算项目基本情况表!$D$6)&gt;=1,IF(L187="占地面积法",ROUND(SUM('附表4-项目间分摊信息采集表'!$E$5)/SUMPRODUCT(SUMIFS('附表4-项目间分摊信息采集表'!$E:$E,'附表4-项目间分摊信息采集表'!$B:$B,S187:AB187)),20),IF(L187="测绘总建筑面积法",ROUND(SUM('附表4-项目间分摊信息采集表'!$F$5)/SUMPRODUCT(SUMIFS('附表4-项目间分摊信息采集表'!$F:$F,'附表4-项目间分摊信息采集表'!$B:$B,S187:AB187)),20),IF(L187="可售建筑面积法",ROUND(SUM('附表4-项目间分摊信息采集表'!$G$5)/SUMPRODUCT(SUMIFS('附表4-项目间分摊信息采集表'!$G:$G,'附表4-项目间分摊信息采集表'!$B:$B,S187:AB187)),20),IF(L187="其他分摊方法",ROUND(SUM('附表4-项目间分摊信息采集表'!$H$5)/SUMPRODUCT(SUMIFS('附表4-项目间分摊信息采集表'!$H:$H,'附表4-项目间分摊信息采集表'!$B:$B,S187:AB187)),20),IF(L187="手工填写分摊比例","请填写分摊比例",100%))))),IF(COUNTA(S187:AB187)&gt;=1,0%,100%)),100%)</f>
        <v>1</v>
      </c>
      <c r="N187" s="97">
        <f>SUMIFS('附表7-扣除项目明细采集底稿'!$R:$R,'附表7-扣除项目明细采集底稿'!$G:$G,B187)</f>
        <v>0</v>
      </c>
      <c r="O187" s="90" t="s">
        <v>4651</v>
      </c>
      <c r="P187" s="113">
        <f>SUMIFS('附表7-扣除项目明细采集底稿'!$T:$T,'附表7-扣除项目明细采集底稿'!$G:$G,$B187)</f>
        <v>0</v>
      </c>
      <c r="Q187" s="117">
        <f t="shared" si="6"/>
        <v>0</v>
      </c>
      <c r="R187" s="118"/>
      <c r="S187" s="90"/>
      <c r="T187" s="90"/>
      <c r="U187" s="90"/>
      <c r="V187" s="90"/>
      <c r="W187" s="90"/>
      <c r="X187" s="90"/>
      <c r="Y187" s="90"/>
      <c r="Z187" s="90"/>
      <c r="AA187" s="90"/>
      <c r="AB187" s="90"/>
    </row>
    <row r="188" s="80" customFormat="1" ht="15.05" spans="1:28">
      <c r="A188" s="90">
        <v>123</v>
      </c>
      <c r="B188" s="91" t="s">
        <v>3069</v>
      </c>
      <c r="C188" s="100" t="s">
        <v>4891</v>
      </c>
      <c r="D188" s="93" t="s">
        <v>4655</v>
      </c>
      <c r="E188" s="94" t="s">
        <v>3070</v>
      </c>
      <c r="F188" s="95">
        <v>44144</v>
      </c>
      <c r="G188" s="96">
        <v>65360</v>
      </c>
      <c r="H188" s="97">
        <v>0</v>
      </c>
      <c r="I188" s="96" t="s">
        <v>4650</v>
      </c>
      <c r="J188" s="90" t="s">
        <v>4650</v>
      </c>
      <c r="K188" s="90" t="s">
        <v>4650</v>
      </c>
      <c r="L188" s="90"/>
      <c r="M188" s="112">
        <f>IFERROR(IF(COUNTIFS(S188:AB188,清算项目基本情况表!$D$6)&gt;=1,IF(L188="占地面积法",ROUND(SUM('附表4-项目间分摊信息采集表'!$E$5)/SUMPRODUCT(SUMIFS('附表4-项目间分摊信息采集表'!$E:$E,'附表4-项目间分摊信息采集表'!$B:$B,S188:AB188)),20),IF(L188="测绘总建筑面积法",ROUND(SUM('附表4-项目间分摊信息采集表'!$F$5)/SUMPRODUCT(SUMIFS('附表4-项目间分摊信息采集表'!$F:$F,'附表4-项目间分摊信息采集表'!$B:$B,S188:AB188)),20),IF(L188="可售建筑面积法",ROUND(SUM('附表4-项目间分摊信息采集表'!$G$5)/SUMPRODUCT(SUMIFS('附表4-项目间分摊信息采集表'!$G:$G,'附表4-项目间分摊信息采集表'!$B:$B,S188:AB188)),20),IF(L188="其他分摊方法",ROUND(SUM('附表4-项目间分摊信息采集表'!$H$5)/SUMPRODUCT(SUMIFS('附表4-项目间分摊信息采集表'!$H:$H,'附表4-项目间分摊信息采集表'!$B:$B,S188:AB188)),20),IF(L188="手工填写分摊比例","请填写分摊比例",100%))))),IF(COUNTA(S188:AB188)&gt;=1,0%,100%)),100%)</f>
        <v>1</v>
      </c>
      <c r="N188" s="97">
        <f>SUMIFS('附表7-扣除项目明细采集底稿'!$R:$R,'附表7-扣除项目明细采集底稿'!$G:$G,B188)</f>
        <v>56000</v>
      </c>
      <c r="O188" s="90" t="s">
        <v>4651</v>
      </c>
      <c r="P188" s="113">
        <f>SUMIFS('附表7-扣除项目明细采集底稿'!$T:$T,'附表7-扣除项目明细采集底稿'!$G:$G,$B188)</f>
        <v>56000</v>
      </c>
      <c r="Q188" s="117">
        <f t="shared" si="6"/>
        <v>0</v>
      </c>
      <c r="R188" s="118"/>
      <c r="S188" s="90"/>
      <c r="T188" s="90"/>
      <c r="U188" s="90"/>
      <c r="V188" s="90"/>
      <c r="W188" s="90"/>
      <c r="X188" s="90"/>
      <c r="Y188" s="90"/>
      <c r="Z188" s="90"/>
      <c r="AA188" s="90"/>
      <c r="AB188" s="90"/>
    </row>
    <row r="189" s="80" customFormat="1" ht="15.05" spans="1:28">
      <c r="A189" s="90">
        <v>124</v>
      </c>
      <c r="B189" s="91" t="s">
        <v>4309</v>
      </c>
      <c r="C189" s="100" t="s">
        <v>4892</v>
      </c>
      <c r="D189" s="93" t="s">
        <v>4659</v>
      </c>
      <c r="E189" s="94" t="s">
        <v>4671</v>
      </c>
      <c r="F189" s="95">
        <v>44144</v>
      </c>
      <c r="G189" s="96">
        <v>140629.11</v>
      </c>
      <c r="H189" s="97">
        <v>124450.54</v>
      </c>
      <c r="I189" s="96" t="s">
        <v>4650</v>
      </c>
      <c r="J189" s="90" t="s">
        <v>4650</v>
      </c>
      <c r="K189" s="90" t="s">
        <v>15</v>
      </c>
      <c r="L189" s="90" t="s">
        <v>351</v>
      </c>
      <c r="M189" s="112">
        <f>IFERROR(IF(COUNTIFS(S189:AB189,清算项目基本情况表!$D$6)&gt;=1,IF(L189="占地面积法",ROUND(SUM('附表4-项目间分摊信息采集表'!$E$5)/SUMPRODUCT(SUMIFS('附表4-项目间分摊信息采集表'!$E:$E,'附表4-项目间分摊信息采集表'!$B:$B,S189:AB189)),20),IF(L189="测绘总建筑面积法",ROUND(SUM('附表4-项目间分摊信息采集表'!$F$5)/SUMPRODUCT(SUMIFS('附表4-项目间分摊信息采集表'!$F:$F,'附表4-项目间分摊信息采集表'!$B:$B,S189:AB189)),20),IF(L189="可售建筑面积法",ROUND(SUM('附表4-项目间分摊信息采集表'!$G$5)/SUMPRODUCT(SUMIFS('附表4-项目间分摊信息采集表'!$G:$G,'附表4-项目间分摊信息采集表'!$B:$B,S189:AB189)),20),IF(L189="其他分摊方法",ROUND(SUM('附表4-项目间分摊信息采集表'!$H$5)/SUMPRODUCT(SUMIFS('附表4-项目间分摊信息采集表'!$H:$H,'附表4-项目间分摊信息采集表'!$B:$B,S189:AB189)),20),IF(L189="手工填写分摊比例","请填写分摊比例",100%))))),IF(COUNTA(S189:AB189)&gt;=1,0%,100%)),100%)</f>
        <v>0.338555832480367</v>
      </c>
      <c r="N189" s="97">
        <f>SUMIFS('附表7-扣除项目明细采集底稿'!$R:$R,'附表7-扣除项目明细采集底稿'!$G:$G,B189)</f>
        <v>124450.54</v>
      </c>
      <c r="O189" s="90" t="s">
        <v>4651</v>
      </c>
      <c r="P189" s="113">
        <f>SUMIFS('附表7-扣除项目明细采集底稿'!$T:$T,'附表7-扣除项目明细采集底稿'!$G:$G,$B189)</f>
        <v>42133.46</v>
      </c>
      <c r="Q189" s="117">
        <f t="shared" si="6"/>
        <v>82317.08</v>
      </c>
      <c r="R189" s="118"/>
      <c r="S189" s="90" t="s">
        <v>11</v>
      </c>
      <c r="T189" s="90" t="s">
        <v>46</v>
      </c>
      <c r="U189" s="90" t="s">
        <v>371</v>
      </c>
      <c r="V189" s="90"/>
      <c r="W189" s="90"/>
      <c r="X189" s="90"/>
      <c r="Y189" s="90"/>
      <c r="Z189" s="90"/>
      <c r="AA189" s="90"/>
      <c r="AB189" s="90"/>
    </row>
    <row r="190" s="80" customFormat="1" ht="15.05" spans="1:28">
      <c r="A190" s="90">
        <v>125</v>
      </c>
      <c r="B190" s="91" t="s">
        <v>4893</v>
      </c>
      <c r="C190" s="100" t="s">
        <v>4892</v>
      </c>
      <c r="D190" s="93" t="s">
        <v>4659</v>
      </c>
      <c r="E190" s="94" t="s">
        <v>4671</v>
      </c>
      <c r="F190" s="95">
        <v>44144</v>
      </c>
      <c r="G190" s="96">
        <v>140629.11</v>
      </c>
      <c r="H190" s="97">
        <v>0</v>
      </c>
      <c r="I190" s="96" t="s">
        <v>4650</v>
      </c>
      <c r="J190" s="90" t="s">
        <v>4650</v>
      </c>
      <c r="K190" s="90" t="s">
        <v>4650</v>
      </c>
      <c r="L190" s="90"/>
      <c r="M190" s="112">
        <f>IFERROR(IF(COUNTIFS(S190:AB190,清算项目基本情况表!$D$6)&gt;=1,IF(L190="占地面积法",ROUND(SUM('附表4-项目间分摊信息采集表'!$E$5)/SUMPRODUCT(SUMIFS('附表4-项目间分摊信息采集表'!$E:$E,'附表4-项目间分摊信息采集表'!$B:$B,S190:AB190)),20),IF(L190="测绘总建筑面积法",ROUND(SUM('附表4-项目间分摊信息采集表'!$F$5)/SUMPRODUCT(SUMIFS('附表4-项目间分摊信息采集表'!$F:$F,'附表4-项目间分摊信息采集表'!$B:$B,S190:AB190)),20),IF(L190="可售建筑面积法",ROUND(SUM('附表4-项目间分摊信息采集表'!$G$5)/SUMPRODUCT(SUMIFS('附表4-项目间分摊信息采集表'!$G:$G,'附表4-项目间分摊信息采集表'!$B:$B,S190:AB190)),20),IF(L190="其他分摊方法",ROUND(SUM('附表4-项目间分摊信息采集表'!$H$5)/SUMPRODUCT(SUMIFS('附表4-项目间分摊信息采集表'!$H:$H,'附表4-项目间分摊信息采集表'!$B:$B,S190:AB190)),20),IF(L190="手工填写分摊比例","请填写分摊比例",100%))))),IF(COUNTA(S190:AB190)&gt;=1,0%,100%)),100%)</f>
        <v>1</v>
      </c>
      <c r="N190" s="97">
        <f>SUMIFS('附表7-扣除项目明细采集底稿'!$R:$R,'附表7-扣除项目明细采集底稿'!$G:$G,B190)</f>
        <v>0</v>
      </c>
      <c r="O190" s="90" t="s">
        <v>4651</v>
      </c>
      <c r="P190" s="113">
        <f>SUMIFS('附表7-扣除项目明细采集底稿'!$T:$T,'附表7-扣除项目明细采集底稿'!$G:$G,$B190)</f>
        <v>0</v>
      </c>
      <c r="Q190" s="117">
        <f t="shared" si="6"/>
        <v>0</v>
      </c>
      <c r="R190" s="118"/>
      <c r="S190" s="90"/>
      <c r="T190" s="90"/>
      <c r="U190" s="90"/>
      <c r="V190" s="90"/>
      <c r="W190" s="90"/>
      <c r="X190" s="90"/>
      <c r="Y190" s="90"/>
      <c r="Z190" s="90"/>
      <c r="AA190" s="90"/>
      <c r="AB190" s="90"/>
    </row>
    <row r="191" s="80" customFormat="1" ht="15.05" spans="1:28">
      <c r="A191" s="90">
        <v>127</v>
      </c>
      <c r="B191" s="91" t="s">
        <v>3158</v>
      </c>
      <c r="C191" s="100" t="s">
        <v>4894</v>
      </c>
      <c r="D191" s="93" t="s">
        <v>4659</v>
      </c>
      <c r="E191" s="94" t="s">
        <v>4671</v>
      </c>
      <c r="F191" s="95">
        <v>43758</v>
      </c>
      <c r="G191" s="96">
        <v>120000</v>
      </c>
      <c r="H191" s="97">
        <v>0</v>
      </c>
      <c r="I191" s="96" t="s">
        <v>4650</v>
      </c>
      <c r="J191" s="90" t="s">
        <v>4650</v>
      </c>
      <c r="K191" s="90" t="s">
        <v>15</v>
      </c>
      <c r="L191" s="90" t="s">
        <v>351</v>
      </c>
      <c r="M191" s="112">
        <f>IFERROR(IF(COUNTIFS(S191:AB191,清算项目基本情况表!$D$6)&gt;=1,IF(L191="占地面积法",ROUND(SUM('附表4-项目间分摊信息采集表'!$E$5)/SUMPRODUCT(SUMIFS('附表4-项目间分摊信息采集表'!$E:$E,'附表4-项目间分摊信息采集表'!$B:$B,S191:AB191)),20),IF(L191="测绘总建筑面积法",ROUND(SUM('附表4-项目间分摊信息采集表'!$F$5)/SUMPRODUCT(SUMIFS('附表4-项目间分摊信息采集表'!$F:$F,'附表4-项目间分摊信息采集表'!$B:$B,S191:AB191)),20),IF(L191="可售建筑面积法",ROUND(SUM('附表4-项目间分摊信息采集表'!$G$5)/SUMPRODUCT(SUMIFS('附表4-项目间分摊信息采集表'!$G:$G,'附表4-项目间分摊信息采集表'!$B:$B,S191:AB191)),20),IF(L191="其他分摊方法",ROUND(SUM('附表4-项目间分摊信息采集表'!$H$5)/SUMPRODUCT(SUMIFS('附表4-项目间分摊信息采集表'!$H:$H,'附表4-项目间分摊信息采集表'!$B:$B,S191:AB191)),20),IF(L191="手工填写分摊比例","请填写分摊比例",100%))))),IF(COUNTA(S191:AB191)&gt;=1,0%,100%)),100%)</f>
        <v>0.338555832480367</v>
      </c>
      <c r="N191" s="97">
        <f>SUMIFS('附表7-扣除项目明细采集底稿'!$R:$R,'附表7-扣除项目明细采集底稿'!$G:$G,B191)</f>
        <v>106194.7</v>
      </c>
      <c r="O191" s="90" t="s">
        <v>4651</v>
      </c>
      <c r="P191" s="113">
        <f>SUMIFS('附表7-扣除项目明细采集底稿'!$T:$T,'附表7-扣除项目明细采集底稿'!$G:$G,$B191)</f>
        <v>35952.84</v>
      </c>
      <c r="Q191" s="117">
        <f t="shared" si="6"/>
        <v>70241.86</v>
      </c>
      <c r="R191" s="118"/>
      <c r="S191" s="90" t="s">
        <v>11</v>
      </c>
      <c r="T191" s="90" t="s">
        <v>46</v>
      </c>
      <c r="U191" s="90" t="s">
        <v>371</v>
      </c>
      <c r="V191" s="90"/>
      <c r="W191" s="90"/>
      <c r="X191" s="90"/>
      <c r="Y191" s="90"/>
      <c r="Z191" s="90"/>
      <c r="AA191" s="90"/>
      <c r="AB191" s="90"/>
    </row>
    <row r="192" s="80" customFormat="1" ht="15.05" spans="1:28">
      <c r="A192" s="90">
        <v>131</v>
      </c>
      <c r="B192" s="91" t="s">
        <v>2555</v>
      </c>
      <c r="C192" s="99" t="s">
        <v>4895</v>
      </c>
      <c r="D192" s="93" t="s">
        <v>4655</v>
      </c>
      <c r="E192" s="99" t="s">
        <v>4671</v>
      </c>
      <c r="F192" s="95">
        <v>43629</v>
      </c>
      <c r="G192" s="96">
        <v>400000</v>
      </c>
      <c r="H192" s="97">
        <v>0</v>
      </c>
      <c r="I192" s="96" t="s">
        <v>4650</v>
      </c>
      <c r="J192" s="90" t="s">
        <v>4650</v>
      </c>
      <c r="K192" s="90" t="s">
        <v>15</v>
      </c>
      <c r="L192" s="90" t="s">
        <v>351</v>
      </c>
      <c r="M192" s="112">
        <f>IFERROR(IF(COUNTIFS(S192:AB192,清算项目基本情况表!$D$6)&gt;=1,IF(L192="占地面积法",ROUND(SUM('附表4-项目间分摊信息采集表'!$E$5)/SUMPRODUCT(SUMIFS('附表4-项目间分摊信息采集表'!$E:$E,'附表4-项目间分摊信息采集表'!$B:$B,S192:AB192)),20),IF(L192="测绘总建筑面积法",ROUND(SUM('附表4-项目间分摊信息采集表'!$F$5)/SUMPRODUCT(SUMIFS('附表4-项目间分摊信息采集表'!$F:$F,'附表4-项目间分摊信息采集表'!$B:$B,S192:AB192)),20),IF(L192="可售建筑面积法",ROUND(SUM('附表4-项目间分摊信息采集表'!$G$5)/SUMPRODUCT(SUMIFS('附表4-项目间分摊信息采集表'!$G:$G,'附表4-项目间分摊信息采集表'!$B:$B,S192:AB192)),20),IF(L192="其他分摊方法",ROUND(SUM('附表4-项目间分摊信息采集表'!$H$5)/SUMPRODUCT(SUMIFS('附表4-项目间分摊信息采集表'!$H:$H,'附表4-项目间分摊信息采集表'!$B:$B,S192:AB192)),20),IF(L192="手工填写分摊比例","请填写分摊比例",100%))))),IF(COUNTA(S192:AB192)&gt;=1,0%,100%)),100%)</f>
        <v>0.338555832480367</v>
      </c>
      <c r="N192" s="97">
        <f>SUMIFS('附表7-扣除项目明细采集底稿'!$R:$R,'附表7-扣除项目明细采集底稿'!$G:$G,B192)</f>
        <v>353982.32</v>
      </c>
      <c r="O192" s="90" t="s">
        <v>4651</v>
      </c>
      <c r="P192" s="113">
        <f>SUMIFS('附表7-扣除项目明细采集底稿'!$T:$T,'附表7-扣除项目明细采集底稿'!$G:$G,$B192)</f>
        <v>119842.77</v>
      </c>
      <c r="Q192" s="117">
        <f t="shared" ref="Q192:Q229" si="7">ROUND(SUM(N192)-SUM(O192)-SUM(P192),2)</f>
        <v>234139.55</v>
      </c>
      <c r="R192" s="118"/>
      <c r="S192" s="90" t="s">
        <v>11</v>
      </c>
      <c r="T192" s="90" t="s">
        <v>46</v>
      </c>
      <c r="U192" s="90" t="s">
        <v>371</v>
      </c>
      <c r="V192" s="90"/>
      <c r="W192" s="90"/>
      <c r="X192" s="90"/>
      <c r="Y192" s="90"/>
      <c r="Z192" s="90"/>
      <c r="AA192" s="90"/>
      <c r="AB192" s="90"/>
    </row>
    <row r="193" s="80" customFormat="1" ht="15.05" spans="1:28">
      <c r="A193" s="90">
        <v>133</v>
      </c>
      <c r="B193" s="91" t="s">
        <v>2820</v>
      </c>
      <c r="C193" s="100" t="s">
        <v>4896</v>
      </c>
      <c r="D193" s="93" t="s">
        <v>4655</v>
      </c>
      <c r="E193" s="94" t="s">
        <v>2821</v>
      </c>
      <c r="F193" s="95">
        <v>44144</v>
      </c>
      <c r="G193" s="96">
        <v>600</v>
      </c>
      <c r="H193" s="97">
        <v>0</v>
      </c>
      <c r="I193" s="96" t="s">
        <v>4650</v>
      </c>
      <c r="J193" s="90" t="s">
        <v>4650</v>
      </c>
      <c r="K193" s="90" t="s">
        <v>4650</v>
      </c>
      <c r="L193" s="90"/>
      <c r="M193" s="112">
        <f>IFERROR(IF(COUNTIFS(S193:AB193,清算项目基本情况表!$D$6)&gt;=1,IF(L193="占地面积法",ROUND(SUM('附表4-项目间分摊信息采集表'!$E$5)/SUMPRODUCT(SUMIFS('附表4-项目间分摊信息采集表'!$E:$E,'附表4-项目间分摊信息采集表'!$B:$B,S193:AB193)),20),IF(L193="测绘总建筑面积法",ROUND(SUM('附表4-项目间分摊信息采集表'!$F$5)/SUMPRODUCT(SUMIFS('附表4-项目间分摊信息采集表'!$F:$F,'附表4-项目间分摊信息采集表'!$B:$B,S193:AB193)),20),IF(L193="可售建筑面积法",ROUND(SUM('附表4-项目间分摊信息采集表'!$G$5)/SUMPRODUCT(SUMIFS('附表4-项目间分摊信息采集表'!$G:$G,'附表4-项目间分摊信息采集表'!$B:$B,S193:AB193)),20),IF(L193="其他分摊方法",ROUND(SUM('附表4-项目间分摊信息采集表'!$H$5)/SUMPRODUCT(SUMIFS('附表4-项目间分摊信息采集表'!$H:$H,'附表4-项目间分摊信息采集表'!$B:$B,S193:AB193)),20),IF(L193="手工填写分摊比例","请填写分摊比例",100%))))),IF(COUNTA(S193:AB193)&gt;=1,0%,100%)),100%)</f>
        <v>1</v>
      </c>
      <c r="N193" s="97">
        <f>SUMIFS('附表7-扣除项目明细采集底稿'!$R:$R,'附表7-扣除项目明细采集底稿'!$G:$G,B193)</f>
        <v>0</v>
      </c>
      <c r="O193" s="90" t="s">
        <v>4651</v>
      </c>
      <c r="P193" s="113">
        <f>SUMIFS('附表7-扣除项目明细采集底稿'!$T:$T,'附表7-扣除项目明细采集底稿'!$G:$G,$B193)</f>
        <v>0</v>
      </c>
      <c r="Q193" s="117">
        <f t="shared" si="7"/>
        <v>0</v>
      </c>
      <c r="R193" s="118"/>
      <c r="S193" s="90"/>
      <c r="T193" s="90"/>
      <c r="U193" s="90"/>
      <c r="V193" s="90"/>
      <c r="W193" s="90"/>
      <c r="X193" s="90"/>
      <c r="Y193" s="90"/>
      <c r="Z193" s="90"/>
      <c r="AA193" s="90"/>
      <c r="AB193" s="90"/>
    </row>
    <row r="194" s="80" customFormat="1" ht="15.05" spans="1:28">
      <c r="A194" s="90">
        <v>134</v>
      </c>
      <c r="B194" s="91" t="s">
        <v>2707</v>
      </c>
      <c r="C194" s="100" t="s">
        <v>4897</v>
      </c>
      <c r="D194" s="93" t="s">
        <v>4655</v>
      </c>
      <c r="E194" s="94" t="s">
        <v>2708</v>
      </c>
      <c r="F194" s="95">
        <v>44144</v>
      </c>
      <c r="G194" s="96">
        <v>3019</v>
      </c>
      <c r="H194" s="97">
        <v>0</v>
      </c>
      <c r="I194" s="96" t="s">
        <v>4650</v>
      </c>
      <c r="J194" s="90" t="s">
        <v>4650</v>
      </c>
      <c r="K194" s="90" t="s">
        <v>4650</v>
      </c>
      <c r="L194" s="90"/>
      <c r="M194" s="112">
        <f>IFERROR(IF(COUNTIFS(S194:AB194,清算项目基本情况表!$D$6)&gt;=1,IF(L194="占地面积法",ROUND(SUM('附表4-项目间分摊信息采集表'!$E$5)/SUMPRODUCT(SUMIFS('附表4-项目间分摊信息采集表'!$E:$E,'附表4-项目间分摊信息采集表'!$B:$B,S194:AB194)),20),IF(L194="测绘总建筑面积法",ROUND(SUM('附表4-项目间分摊信息采集表'!$F$5)/SUMPRODUCT(SUMIFS('附表4-项目间分摊信息采集表'!$F:$F,'附表4-项目间分摊信息采集表'!$B:$B,S194:AB194)),20),IF(L194="可售建筑面积法",ROUND(SUM('附表4-项目间分摊信息采集表'!$G$5)/SUMPRODUCT(SUMIFS('附表4-项目间分摊信息采集表'!$G:$G,'附表4-项目间分摊信息采集表'!$B:$B,S194:AB194)),20),IF(L194="其他分摊方法",ROUND(SUM('附表4-项目间分摊信息采集表'!$H$5)/SUMPRODUCT(SUMIFS('附表4-项目间分摊信息采集表'!$H:$H,'附表4-项目间分摊信息采集表'!$B:$B,S194:AB194)),20),IF(L194="手工填写分摊比例","请填写分摊比例",100%))))),IF(COUNTA(S194:AB194)&gt;=1,0%,100%)),100%)</f>
        <v>1</v>
      </c>
      <c r="N194" s="97">
        <f>SUMIFS('附表7-扣除项目明细采集底稿'!$R:$R,'附表7-扣除项目明细采集底稿'!$G:$G,B194)</f>
        <v>0</v>
      </c>
      <c r="O194" s="90" t="s">
        <v>4651</v>
      </c>
      <c r="P194" s="113">
        <f>SUMIFS('附表7-扣除项目明细采集底稿'!$T:$T,'附表7-扣除项目明细采集底稿'!$G:$G,$B194)</f>
        <v>0</v>
      </c>
      <c r="Q194" s="117">
        <f t="shared" si="7"/>
        <v>0</v>
      </c>
      <c r="R194" s="118"/>
      <c r="S194" s="90"/>
      <c r="T194" s="90"/>
      <c r="U194" s="90"/>
      <c r="V194" s="90"/>
      <c r="W194" s="90"/>
      <c r="X194" s="90"/>
      <c r="Y194" s="90"/>
      <c r="Z194" s="90"/>
      <c r="AA194" s="90"/>
      <c r="AB194" s="90"/>
    </row>
    <row r="195" s="80" customFormat="1" ht="15.05" spans="1:28">
      <c r="A195" s="90">
        <v>135</v>
      </c>
      <c r="B195" s="91" t="s">
        <v>3168</v>
      </c>
      <c r="C195" s="99" t="s">
        <v>4898</v>
      </c>
      <c r="D195" s="93" t="s">
        <v>4655</v>
      </c>
      <c r="E195" s="99" t="s">
        <v>3169</v>
      </c>
      <c r="F195" s="95">
        <v>44144</v>
      </c>
      <c r="G195" s="96">
        <v>20160</v>
      </c>
      <c r="H195" s="97">
        <v>0</v>
      </c>
      <c r="I195" s="96" t="s">
        <v>4650</v>
      </c>
      <c r="J195" s="90" t="s">
        <v>4650</v>
      </c>
      <c r="K195" s="90" t="s">
        <v>15</v>
      </c>
      <c r="L195" s="90" t="s">
        <v>351</v>
      </c>
      <c r="M195" s="112">
        <f>IFERROR(IF(COUNTIFS(S195:AB195,清算项目基本情况表!$D$6)&gt;=1,IF(L195="占地面积法",ROUND(SUM('附表4-项目间分摊信息采集表'!$E$5)/SUMPRODUCT(SUMIFS('附表4-项目间分摊信息采集表'!$E:$E,'附表4-项目间分摊信息采集表'!$B:$B,S195:AB195)),20),IF(L195="测绘总建筑面积法",ROUND(SUM('附表4-项目间分摊信息采集表'!$F$5)/SUMPRODUCT(SUMIFS('附表4-项目间分摊信息采集表'!$F:$F,'附表4-项目间分摊信息采集表'!$B:$B,S195:AB195)),20),IF(L195="可售建筑面积法",ROUND(SUM('附表4-项目间分摊信息采集表'!$G$5)/SUMPRODUCT(SUMIFS('附表4-项目间分摊信息采集表'!$G:$G,'附表4-项目间分摊信息采集表'!$B:$B,S195:AB195)),20),IF(L195="其他分摊方法",ROUND(SUM('附表4-项目间分摊信息采集表'!$H$5)/SUMPRODUCT(SUMIFS('附表4-项目间分摊信息采集表'!$H:$H,'附表4-项目间分摊信息采集表'!$B:$B,S195:AB195)),20),IF(L195="手工填写分摊比例","请填写分摊比例",100%))))),IF(COUNTA(S195:AB195)&gt;=1,0%,100%)),100%)</f>
        <v>0.338555832480367</v>
      </c>
      <c r="N195" s="97">
        <f>SUMIFS('附表7-扣除项目明细采集底稿'!$R:$R,'附表7-扣除项目明细采集底稿'!$G:$G,B195)</f>
        <v>0</v>
      </c>
      <c r="O195" s="90" t="s">
        <v>4651</v>
      </c>
      <c r="P195" s="113">
        <f>SUMIFS('附表7-扣除项目明细采集底稿'!$T:$T,'附表7-扣除项目明细采集底稿'!$G:$G,$B195)</f>
        <v>0</v>
      </c>
      <c r="Q195" s="117">
        <f t="shared" si="7"/>
        <v>0</v>
      </c>
      <c r="R195" s="118"/>
      <c r="S195" s="90" t="s">
        <v>11</v>
      </c>
      <c r="T195" s="90" t="s">
        <v>46</v>
      </c>
      <c r="U195" s="90" t="s">
        <v>371</v>
      </c>
      <c r="V195" s="90"/>
      <c r="W195" s="90"/>
      <c r="X195" s="90"/>
      <c r="Y195" s="90"/>
      <c r="Z195" s="90"/>
      <c r="AA195" s="90"/>
      <c r="AB195" s="90"/>
    </row>
    <row r="196" s="80" customFormat="1" ht="15.05" spans="1:28">
      <c r="A196" s="90">
        <v>136</v>
      </c>
      <c r="B196" s="124" t="s">
        <v>2608</v>
      </c>
      <c r="C196" s="100" t="s">
        <v>4899</v>
      </c>
      <c r="D196" s="93" t="s">
        <v>4655</v>
      </c>
      <c r="E196" s="94" t="s">
        <v>2609</v>
      </c>
      <c r="F196" s="95">
        <v>43629</v>
      </c>
      <c r="G196" s="96">
        <v>235000</v>
      </c>
      <c r="H196" s="97">
        <v>207964.6</v>
      </c>
      <c r="I196" s="96" t="s">
        <v>4650</v>
      </c>
      <c r="J196" s="90" t="s">
        <v>4650</v>
      </c>
      <c r="K196" s="90" t="s">
        <v>4650</v>
      </c>
      <c r="L196" s="90"/>
      <c r="M196" s="112">
        <f>IFERROR(IF(COUNTIFS(S196:AB196,清算项目基本情况表!$D$6)&gt;=1,IF(L196="占地面积法",ROUND(SUM('附表4-项目间分摊信息采集表'!$E$5)/SUMPRODUCT(SUMIFS('附表4-项目间分摊信息采集表'!$E:$E,'附表4-项目间分摊信息采集表'!$B:$B,S196:AB196)),20),IF(L196="测绘总建筑面积法",ROUND(SUM('附表4-项目间分摊信息采集表'!$F$5)/SUMPRODUCT(SUMIFS('附表4-项目间分摊信息采集表'!$F:$F,'附表4-项目间分摊信息采集表'!$B:$B,S196:AB196)),20),IF(L196="可售建筑面积法",ROUND(SUM('附表4-项目间分摊信息采集表'!$G$5)/SUMPRODUCT(SUMIFS('附表4-项目间分摊信息采集表'!$G:$G,'附表4-项目间分摊信息采集表'!$B:$B,S196:AB196)),20),IF(L196="其他分摊方法",ROUND(SUM('附表4-项目间分摊信息采集表'!$H$5)/SUMPRODUCT(SUMIFS('附表4-项目间分摊信息采集表'!$H:$H,'附表4-项目间分摊信息采集表'!$B:$B,S196:AB196)),20),IF(L196="手工填写分摊比例","请填写分摊比例",100%))))),IF(COUNTA(S196:AB196)&gt;=1,0%,100%)),100%)</f>
        <v>1</v>
      </c>
      <c r="N196" s="97">
        <f>SUMIFS('附表7-扣除项目明细采集底稿'!$R:$R,'附表7-扣除项目明细采集底稿'!$G:$G,B196)</f>
        <v>0</v>
      </c>
      <c r="O196" s="90" t="s">
        <v>4651</v>
      </c>
      <c r="P196" s="113">
        <f>SUMIFS('附表7-扣除项目明细采集底稿'!$T:$T,'附表7-扣除项目明细采集底稿'!$G:$G,$B196)</f>
        <v>0</v>
      </c>
      <c r="Q196" s="117">
        <f t="shared" si="7"/>
        <v>0</v>
      </c>
      <c r="R196" s="118"/>
      <c r="S196" s="90"/>
      <c r="T196" s="90"/>
      <c r="U196" s="90"/>
      <c r="V196" s="90"/>
      <c r="W196" s="90"/>
      <c r="X196" s="90"/>
      <c r="Y196" s="90"/>
      <c r="Z196" s="90"/>
      <c r="AA196" s="90"/>
      <c r="AB196" s="90"/>
    </row>
    <row r="197" s="80" customFormat="1" ht="15.05" spans="1:28">
      <c r="A197" s="90">
        <v>138</v>
      </c>
      <c r="B197" s="91" t="s">
        <v>2839</v>
      </c>
      <c r="C197" s="100" t="s">
        <v>4896</v>
      </c>
      <c r="D197" s="93" t="s">
        <v>4655</v>
      </c>
      <c r="E197" s="94" t="s">
        <v>4900</v>
      </c>
      <c r="F197" s="95">
        <v>44144</v>
      </c>
      <c r="G197" s="96">
        <v>1600</v>
      </c>
      <c r="H197" s="97">
        <v>0</v>
      </c>
      <c r="I197" s="96" t="s">
        <v>4650</v>
      </c>
      <c r="J197" s="90" t="s">
        <v>4650</v>
      </c>
      <c r="K197" s="90" t="s">
        <v>4650</v>
      </c>
      <c r="L197" s="90"/>
      <c r="M197" s="112">
        <f>IFERROR(IF(COUNTIFS(S197:AB197,清算项目基本情况表!$D$6)&gt;=1,IF(L197="占地面积法",ROUND(SUM('附表4-项目间分摊信息采集表'!$E$5)/SUMPRODUCT(SUMIFS('附表4-项目间分摊信息采集表'!$E:$E,'附表4-项目间分摊信息采集表'!$B:$B,S197:AB197)),20),IF(L197="测绘总建筑面积法",ROUND(SUM('附表4-项目间分摊信息采集表'!$F$5)/SUMPRODUCT(SUMIFS('附表4-项目间分摊信息采集表'!$F:$F,'附表4-项目间分摊信息采集表'!$B:$B,S197:AB197)),20),IF(L197="可售建筑面积法",ROUND(SUM('附表4-项目间分摊信息采集表'!$G$5)/SUMPRODUCT(SUMIFS('附表4-项目间分摊信息采集表'!$G:$G,'附表4-项目间分摊信息采集表'!$B:$B,S197:AB197)),20),IF(L197="其他分摊方法",ROUND(SUM('附表4-项目间分摊信息采集表'!$H$5)/SUMPRODUCT(SUMIFS('附表4-项目间分摊信息采集表'!$H:$H,'附表4-项目间分摊信息采集表'!$B:$B,S197:AB197)),20),IF(L197="手工填写分摊比例","请填写分摊比例",100%))))),IF(COUNTA(S197:AB197)&gt;=1,0%,100%)),100%)</f>
        <v>1</v>
      </c>
      <c r="N197" s="97">
        <f>SUMIFS('附表7-扣除项目明细采集底稿'!$R:$R,'附表7-扣除项目明细采集底稿'!$G:$G,B197)</f>
        <v>1600</v>
      </c>
      <c r="O197" s="90" t="s">
        <v>4651</v>
      </c>
      <c r="P197" s="113">
        <f>SUMIFS('附表7-扣除项目明细采集底稿'!$T:$T,'附表7-扣除项目明细采集底稿'!$G:$G,$B197)</f>
        <v>1600</v>
      </c>
      <c r="Q197" s="117">
        <f t="shared" si="7"/>
        <v>0</v>
      </c>
      <c r="R197" s="118"/>
      <c r="S197" s="90"/>
      <c r="T197" s="90"/>
      <c r="U197" s="90"/>
      <c r="V197" s="90"/>
      <c r="W197" s="90"/>
      <c r="X197" s="90"/>
      <c r="Y197" s="90"/>
      <c r="Z197" s="90"/>
      <c r="AA197" s="90"/>
      <c r="AB197" s="90"/>
    </row>
    <row r="198" s="80" customFormat="1" ht="15.05" spans="1:28">
      <c r="A198" s="90">
        <v>139</v>
      </c>
      <c r="B198" s="91" t="s">
        <v>3789</v>
      </c>
      <c r="C198" s="125" t="s">
        <v>4901</v>
      </c>
      <c r="D198" s="93" t="s">
        <v>4655</v>
      </c>
      <c r="E198" s="94" t="s">
        <v>4902</v>
      </c>
      <c r="F198" s="95">
        <v>44144</v>
      </c>
      <c r="G198" s="96">
        <v>33000</v>
      </c>
      <c r="H198" s="97">
        <v>0</v>
      </c>
      <c r="I198" s="96" t="s">
        <v>4650</v>
      </c>
      <c r="J198" s="90" t="s">
        <v>4650</v>
      </c>
      <c r="K198" s="90" t="s">
        <v>4650</v>
      </c>
      <c r="L198" s="90"/>
      <c r="M198" s="112">
        <f>IFERROR(IF(COUNTIFS(S198:AB198,清算项目基本情况表!$D$6)&gt;=1,IF(L198="占地面积法",ROUND(SUM('附表4-项目间分摊信息采集表'!$E$5)/SUMPRODUCT(SUMIFS('附表4-项目间分摊信息采集表'!$E:$E,'附表4-项目间分摊信息采集表'!$B:$B,S198:AB198)),20),IF(L198="测绘总建筑面积法",ROUND(SUM('附表4-项目间分摊信息采集表'!$F$5)/SUMPRODUCT(SUMIFS('附表4-项目间分摊信息采集表'!$F:$F,'附表4-项目间分摊信息采集表'!$B:$B,S198:AB198)),20),IF(L198="可售建筑面积法",ROUND(SUM('附表4-项目间分摊信息采集表'!$G$5)/SUMPRODUCT(SUMIFS('附表4-项目间分摊信息采集表'!$G:$G,'附表4-项目间分摊信息采集表'!$B:$B,S198:AB198)),20),IF(L198="其他分摊方法",ROUND(SUM('附表4-项目间分摊信息采集表'!$H$5)/SUMPRODUCT(SUMIFS('附表4-项目间分摊信息采集表'!$H:$H,'附表4-项目间分摊信息采集表'!$B:$B,S198:AB198)),20),IF(L198="手工填写分摊比例","请填写分摊比例",100%))))),IF(COUNTA(S198:AB198)&gt;=1,0%,100%)),100%)</f>
        <v>1</v>
      </c>
      <c r="N198" s="97">
        <f>SUMIFS('附表7-扣除项目明细采集底稿'!$R:$R,'附表7-扣除项目明细采集底稿'!$G:$G,B198)</f>
        <v>0</v>
      </c>
      <c r="O198" s="90" t="s">
        <v>4651</v>
      </c>
      <c r="P198" s="113">
        <f>SUMIFS('附表7-扣除项目明细采集底稿'!$T:$T,'附表7-扣除项目明细采集底稿'!$G:$G,$B198)</f>
        <v>0</v>
      </c>
      <c r="Q198" s="117">
        <f t="shared" si="7"/>
        <v>0</v>
      </c>
      <c r="R198" s="118"/>
      <c r="S198" s="90"/>
      <c r="T198" s="90"/>
      <c r="U198" s="90"/>
      <c r="V198" s="90"/>
      <c r="W198" s="90"/>
      <c r="X198" s="90"/>
      <c r="Y198" s="90"/>
      <c r="Z198" s="90"/>
      <c r="AA198" s="90"/>
      <c r="AB198" s="90"/>
    </row>
    <row r="199" s="80" customFormat="1" ht="15.05" spans="1:28">
      <c r="A199" s="90">
        <v>151</v>
      </c>
      <c r="B199" s="91" t="s">
        <v>2907</v>
      </c>
      <c r="C199" s="100" t="s">
        <v>4903</v>
      </c>
      <c r="D199" s="93" t="s">
        <v>4807</v>
      </c>
      <c r="E199" s="99" t="s">
        <v>2908</v>
      </c>
      <c r="F199" s="107" t="s">
        <v>4689</v>
      </c>
      <c r="G199" s="96">
        <v>116760</v>
      </c>
      <c r="H199" s="97">
        <v>0</v>
      </c>
      <c r="I199" s="96" t="s">
        <v>4650</v>
      </c>
      <c r="J199" s="90" t="s">
        <v>4650</v>
      </c>
      <c r="K199" s="90" t="s">
        <v>4650</v>
      </c>
      <c r="L199" s="90"/>
      <c r="M199" s="112">
        <f>IFERROR(IF(COUNTIFS(S199:AB199,清算项目基本情况表!$D$6)&gt;=1,IF(L199="占地面积法",ROUND(SUM('附表4-项目间分摊信息采集表'!$E$5)/SUMPRODUCT(SUMIFS('附表4-项目间分摊信息采集表'!$E:$E,'附表4-项目间分摊信息采集表'!$B:$B,S199:AB199)),20),IF(L199="测绘总建筑面积法",ROUND(SUM('附表4-项目间分摊信息采集表'!$F$5)/SUMPRODUCT(SUMIFS('附表4-项目间分摊信息采集表'!$F:$F,'附表4-项目间分摊信息采集表'!$B:$B,S199:AB199)),20),IF(L199="可售建筑面积法",ROUND(SUM('附表4-项目间分摊信息采集表'!$G$5)/SUMPRODUCT(SUMIFS('附表4-项目间分摊信息采集表'!$G:$G,'附表4-项目间分摊信息采集表'!$B:$B,S199:AB199)),20),IF(L199="其他分摊方法",ROUND(SUM('附表4-项目间分摊信息采集表'!$H$5)/SUMPRODUCT(SUMIFS('附表4-项目间分摊信息采集表'!$H:$H,'附表4-项目间分摊信息采集表'!$B:$B,S199:AB199)),20),IF(L199="手工填写分摊比例","请填写分摊比例",100%))))),IF(COUNTA(S199:AB199)&gt;=1,0%,100%)),100%)</f>
        <v>1</v>
      </c>
      <c r="N199" s="97">
        <f>SUMIFS('附表7-扣除项目明细采集底稿'!$R:$R,'附表7-扣除项目明细采集底稿'!$G:$G,B199)</f>
        <v>116760</v>
      </c>
      <c r="O199" s="90" t="s">
        <v>4651</v>
      </c>
      <c r="P199" s="113">
        <f>SUMIFS('附表7-扣除项目明细采集底稿'!$T:$T,'附表7-扣除项目明细采集底稿'!$G:$G,$B199)</f>
        <v>116760</v>
      </c>
      <c r="Q199" s="117">
        <f t="shared" si="7"/>
        <v>0</v>
      </c>
      <c r="R199" s="118"/>
      <c r="S199" s="90"/>
      <c r="T199" s="90"/>
      <c r="U199" s="90"/>
      <c r="V199" s="90"/>
      <c r="W199" s="90"/>
      <c r="X199" s="90"/>
      <c r="Y199" s="90"/>
      <c r="Z199" s="90"/>
      <c r="AA199" s="90"/>
      <c r="AB199" s="90"/>
    </row>
    <row r="200" s="80" customFormat="1" ht="15.05" spans="1:28">
      <c r="A200" s="90">
        <v>152</v>
      </c>
      <c r="B200" s="91" t="s">
        <v>3558</v>
      </c>
      <c r="C200" s="100" t="s">
        <v>4904</v>
      </c>
      <c r="D200" s="93" t="s">
        <v>4655</v>
      </c>
      <c r="E200" s="94" t="s">
        <v>3559</v>
      </c>
      <c r="F200" s="107" t="s">
        <v>4689</v>
      </c>
      <c r="G200" s="96">
        <v>244000</v>
      </c>
      <c r="H200" s="97">
        <v>0</v>
      </c>
      <c r="I200" s="96" t="s">
        <v>4650</v>
      </c>
      <c r="J200" s="90" t="s">
        <v>4650</v>
      </c>
      <c r="K200" s="90" t="s">
        <v>4650</v>
      </c>
      <c r="L200" s="90"/>
      <c r="M200" s="112">
        <f>IFERROR(IF(COUNTIFS(S200:AB200,清算项目基本情况表!$D$6)&gt;=1,IF(L200="占地面积法",ROUND(SUM('附表4-项目间分摊信息采集表'!$E$5)/SUMPRODUCT(SUMIFS('附表4-项目间分摊信息采集表'!$E:$E,'附表4-项目间分摊信息采集表'!$B:$B,S200:AB200)),20),IF(L200="测绘总建筑面积法",ROUND(SUM('附表4-项目间分摊信息采集表'!$F$5)/SUMPRODUCT(SUMIFS('附表4-项目间分摊信息采集表'!$F:$F,'附表4-项目间分摊信息采集表'!$B:$B,S200:AB200)),20),IF(L200="可售建筑面积法",ROUND(SUM('附表4-项目间分摊信息采集表'!$G$5)/SUMPRODUCT(SUMIFS('附表4-项目间分摊信息采集表'!$G:$G,'附表4-项目间分摊信息采集表'!$B:$B,S200:AB200)),20),IF(L200="其他分摊方法",ROUND(SUM('附表4-项目间分摊信息采集表'!$H$5)/SUMPRODUCT(SUMIFS('附表4-项目间分摊信息采集表'!$H:$H,'附表4-项目间分摊信息采集表'!$B:$B,S200:AB200)),20),IF(L200="手工填写分摊比例","请填写分摊比例",100%))))),IF(COUNTA(S200:AB200)&gt;=1,0%,100%)),100%)</f>
        <v>1</v>
      </c>
      <c r="N200" s="97">
        <f>SUMIFS('附表7-扣除项目明细采集底稿'!$R:$R,'附表7-扣除项目明细采集底稿'!$G:$G,B200)</f>
        <v>0</v>
      </c>
      <c r="O200" s="90" t="s">
        <v>4651</v>
      </c>
      <c r="P200" s="113">
        <f>SUMIFS('附表7-扣除项目明细采集底稿'!$T:$T,'附表7-扣除项目明细采集底稿'!$G:$G,$B200)</f>
        <v>0</v>
      </c>
      <c r="Q200" s="117">
        <f t="shared" si="7"/>
        <v>0</v>
      </c>
      <c r="R200" s="118"/>
      <c r="S200" s="90"/>
      <c r="T200" s="90"/>
      <c r="U200" s="90"/>
      <c r="V200" s="90"/>
      <c r="W200" s="90"/>
      <c r="X200" s="90"/>
      <c r="Y200" s="90"/>
      <c r="Z200" s="90"/>
      <c r="AA200" s="90"/>
      <c r="AB200" s="90"/>
    </row>
    <row r="201" s="80" customFormat="1" ht="30.05" spans="1:28">
      <c r="A201" s="90">
        <v>158</v>
      </c>
      <c r="B201" s="91" t="s">
        <v>3802</v>
      </c>
      <c r="C201" s="100" t="s">
        <v>4905</v>
      </c>
      <c r="D201" s="93" t="s">
        <v>4648</v>
      </c>
      <c r="E201" s="94" t="s">
        <v>3803</v>
      </c>
      <c r="F201" s="107" t="s">
        <v>4689</v>
      </c>
      <c r="G201" s="96">
        <v>13000</v>
      </c>
      <c r="H201" s="97">
        <v>0</v>
      </c>
      <c r="I201" s="96" t="s">
        <v>4650</v>
      </c>
      <c r="J201" s="90" t="s">
        <v>4650</v>
      </c>
      <c r="K201" s="90" t="s">
        <v>4650</v>
      </c>
      <c r="L201" s="90"/>
      <c r="M201" s="112">
        <f>IFERROR(IF(COUNTIFS(S201:AB201,清算项目基本情况表!$D$6)&gt;=1,IF(L201="占地面积法",ROUND(SUM('附表4-项目间分摊信息采集表'!$E$5)/SUMPRODUCT(SUMIFS('附表4-项目间分摊信息采集表'!$E:$E,'附表4-项目间分摊信息采集表'!$B:$B,S201:AB201)),20),IF(L201="测绘总建筑面积法",ROUND(SUM('附表4-项目间分摊信息采集表'!$F$5)/SUMPRODUCT(SUMIFS('附表4-项目间分摊信息采集表'!$F:$F,'附表4-项目间分摊信息采集表'!$B:$B,S201:AB201)),20),IF(L201="可售建筑面积法",ROUND(SUM('附表4-项目间分摊信息采集表'!$G$5)/SUMPRODUCT(SUMIFS('附表4-项目间分摊信息采集表'!$G:$G,'附表4-项目间分摊信息采集表'!$B:$B,S201:AB201)),20),IF(L201="其他分摊方法",ROUND(SUM('附表4-项目间分摊信息采集表'!$H$5)/SUMPRODUCT(SUMIFS('附表4-项目间分摊信息采集表'!$H:$H,'附表4-项目间分摊信息采集表'!$B:$B,S201:AB201)),20),IF(L201="手工填写分摊比例","请填写分摊比例",100%))))),IF(COUNTA(S201:AB201)&gt;=1,0%,100%)),100%)</f>
        <v>1</v>
      </c>
      <c r="N201" s="97">
        <f>SUMIFS('附表7-扣除项目明细采集底稿'!$R:$R,'附表7-扣除项目明细采集底稿'!$G:$G,B201)</f>
        <v>0</v>
      </c>
      <c r="O201" s="90" t="s">
        <v>4651</v>
      </c>
      <c r="P201" s="113">
        <f>SUMIFS('附表7-扣除项目明细采集底稿'!$T:$T,'附表7-扣除项目明细采集底稿'!$G:$G,$B201)</f>
        <v>0</v>
      </c>
      <c r="Q201" s="117">
        <f t="shared" si="7"/>
        <v>0</v>
      </c>
      <c r="R201" s="118"/>
      <c r="S201" s="90"/>
      <c r="T201" s="90"/>
      <c r="U201" s="90"/>
      <c r="V201" s="90"/>
      <c r="W201" s="90"/>
      <c r="X201" s="90"/>
      <c r="Y201" s="90"/>
      <c r="Z201" s="90"/>
      <c r="AA201" s="90"/>
      <c r="AB201" s="90"/>
    </row>
    <row r="202" s="80" customFormat="1" ht="15.05" spans="1:28">
      <c r="A202" s="90">
        <v>164</v>
      </c>
      <c r="B202" s="91" t="s">
        <v>4412</v>
      </c>
      <c r="C202" s="98" t="s">
        <v>4730</v>
      </c>
      <c r="D202" s="93" t="s">
        <v>4675</v>
      </c>
      <c r="E202" s="94" t="s">
        <v>4906</v>
      </c>
      <c r="F202" s="107" t="s">
        <v>4689</v>
      </c>
      <c r="G202" s="126">
        <v>14911.56</v>
      </c>
      <c r="H202" s="97">
        <v>14069.03</v>
      </c>
      <c r="I202" s="96" t="s">
        <v>4650</v>
      </c>
      <c r="J202" s="90" t="s">
        <v>4650</v>
      </c>
      <c r="K202" s="90" t="s">
        <v>15</v>
      </c>
      <c r="L202" s="90" t="s">
        <v>351</v>
      </c>
      <c r="M202" s="112">
        <f>IFERROR(IF(COUNTIFS(S202:AB202,清算项目基本情况表!$D$6)&gt;=1,IF(L202="占地面积法",ROUND(SUM('附表4-项目间分摊信息采集表'!$E$5)/SUMPRODUCT(SUMIFS('附表4-项目间分摊信息采集表'!$E:$E,'附表4-项目间分摊信息采集表'!$B:$B,S202:AB202)),20),IF(L202="测绘总建筑面积法",ROUND(SUM('附表4-项目间分摊信息采集表'!$F$5)/SUMPRODUCT(SUMIFS('附表4-项目间分摊信息采集表'!$F:$F,'附表4-项目间分摊信息采集表'!$B:$B,S202:AB202)),20),IF(L202="可售建筑面积法",ROUND(SUM('附表4-项目间分摊信息采集表'!$G$5)/SUMPRODUCT(SUMIFS('附表4-项目间分摊信息采集表'!$G:$G,'附表4-项目间分摊信息采集表'!$B:$B,S202:AB202)),20),IF(L202="其他分摊方法",ROUND(SUM('附表4-项目间分摊信息采集表'!$H$5)/SUMPRODUCT(SUMIFS('附表4-项目间分摊信息采集表'!$H:$H,'附表4-项目间分摊信息采集表'!$B:$B,S202:AB202)),20),IF(L202="手工填写分摊比例","请填写分摊比例",100%))))),IF(COUNTA(S202:AB202)&gt;=1,0%,100%)),100%)</f>
        <v>0.338555832480367</v>
      </c>
      <c r="N202" s="97">
        <f>SUMIFS('附表7-扣除项目明细采集底稿'!$R:$R,'附表7-扣除项目明细采集底稿'!$G:$G,B202)</f>
        <v>14069.03</v>
      </c>
      <c r="O202" s="90" t="s">
        <v>4651</v>
      </c>
      <c r="P202" s="113">
        <f>SUMIFS('附表7-扣除项目明细采集底稿'!$T:$T,'附表7-扣除项目明细采集底稿'!$G:$G,$B202)</f>
        <v>4763.15</v>
      </c>
      <c r="Q202" s="117">
        <f t="shared" si="7"/>
        <v>9305.88</v>
      </c>
      <c r="R202" s="118"/>
      <c r="S202" s="90" t="s">
        <v>11</v>
      </c>
      <c r="T202" s="90" t="s">
        <v>46</v>
      </c>
      <c r="U202" s="90" t="s">
        <v>371</v>
      </c>
      <c r="V202" s="90"/>
      <c r="W202" s="90"/>
      <c r="X202" s="90"/>
      <c r="Y202" s="90"/>
      <c r="Z202" s="90"/>
      <c r="AA202" s="90"/>
      <c r="AB202" s="90"/>
    </row>
    <row r="203" s="80" customFormat="1" ht="15.05" spans="1:28">
      <c r="A203" s="90">
        <v>165</v>
      </c>
      <c r="B203" s="91" t="s">
        <v>4414</v>
      </c>
      <c r="C203" s="98" t="s">
        <v>4730</v>
      </c>
      <c r="D203" s="93" t="s">
        <v>4675</v>
      </c>
      <c r="E203" s="94" t="s">
        <v>4906</v>
      </c>
      <c r="F203" s="107" t="s">
        <v>4689</v>
      </c>
      <c r="G203" s="126">
        <v>63244.44</v>
      </c>
      <c r="H203" s="97">
        <v>0</v>
      </c>
      <c r="I203" s="96" t="s">
        <v>4650</v>
      </c>
      <c r="J203" s="90" t="s">
        <v>4650</v>
      </c>
      <c r="K203" s="90" t="s">
        <v>15</v>
      </c>
      <c r="L203" s="90" t="s">
        <v>4719</v>
      </c>
      <c r="M203" s="112">
        <f>IFERROR(IF(COUNTIFS(S203:AB203,清算项目基本情况表!$D$6)&gt;=1,IF(L203="占地面积法",ROUND(SUM('附表4-项目间分摊信息采集表'!$E$5)/SUMPRODUCT(SUMIFS('附表4-项目间分摊信息采集表'!$E:$E,'附表4-项目间分摊信息采集表'!$B:$B,S203:AB203)),20),IF(L203="测绘总建筑面积法",ROUND(SUM('附表4-项目间分摊信息采集表'!$F$5)/SUMPRODUCT(SUMIFS('附表4-项目间分摊信息采集表'!$F:$F,'附表4-项目间分摊信息采集表'!$B:$B,S203:AB203)),20),IF(L203="可售建筑面积法",ROUND(SUM('附表4-项目间分摊信息采集表'!$G$5)/SUMPRODUCT(SUMIFS('附表4-项目间分摊信息采集表'!$G:$G,'附表4-项目间分摊信息采集表'!$B:$B,S203:AB203)),20),IF(L203="其他分摊方法",ROUND(SUM('附表4-项目间分摊信息采集表'!$H$5)/SUMPRODUCT(SUMIFS('附表4-项目间分摊信息采集表'!$H:$H,'附表4-项目间分摊信息采集表'!$B:$B,S203:AB203)),20),IF(L203="手工填写分摊比例","请填写分摊比例",100%))))),IF(COUNTA(S203:AB203)&gt;=1,0%,100%)),100%)</f>
        <v>0.109829243890136</v>
      </c>
      <c r="N203" s="97">
        <f>SUMIFS('附表7-扣除项目明细采集底稿'!$R:$R,'附表7-扣除项目明细采集底稿'!$G:$G,B203)</f>
        <v>44773.42</v>
      </c>
      <c r="O203" s="90" t="s">
        <v>4651</v>
      </c>
      <c r="P203" s="113">
        <f>SUMIFS('附表7-扣除项目明细采集底稿'!$T:$T,'附表7-扣除项目明细采集底稿'!$G:$G,$B203)</f>
        <v>4917.43</v>
      </c>
      <c r="Q203" s="117">
        <f t="shared" si="7"/>
        <v>39855.99</v>
      </c>
      <c r="R203" s="118"/>
      <c r="S203" s="90" t="s">
        <v>11</v>
      </c>
      <c r="T203" s="90" t="s">
        <v>46</v>
      </c>
      <c r="U203" s="90" t="s">
        <v>371</v>
      </c>
      <c r="V203" s="90"/>
      <c r="W203" s="90"/>
      <c r="X203" s="90"/>
      <c r="Y203" s="90"/>
      <c r="Z203" s="90"/>
      <c r="AA203" s="90"/>
      <c r="AB203" s="90"/>
    </row>
    <row r="204" s="80" customFormat="1" ht="15.05" spans="1:28">
      <c r="A204" s="90">
        <v>166</v>
      </c>
      <c r="B204" s="91" t="s">
        <v>4519</v>
      </c>
      <c r="C204" s="98" t="s">
        <v>4730</v>
      </c>
      <c r="D204" s="93" t="s">
        <v>4675</v>
      </c>
      <c r="E204" s="94" t="s">
        <v>4906</v>
      </c>
      <c r="F204" s="95">
        <v>43920</v>
      </c>
      <c r="G204" s="96">
        <v>17587.8</v>
      </c>
      <c r="H204" s="97">
        <v>17413.66</v>
      </c>
      <c r="I204" s="96" t="s">
        <v>4650</v>
      </c>
      <c r="J204" s="90" t="s">
        <v>4650</v>
      </c>
      <c r="K204" s="90" t="s">
        <v>15</v>
      </c>
      <c r="L204" s="90" t="s">
        <v>351</v>
      </c>
      <c r="M204" s="112">
        <f>IFERROR(IF(COUNTIFS(S204:AB204,清算项目基本情况表!$D$6)&gt;=1,IF(L204="占地面积法",ROUND(SUM('附表4-项目间分摊信息采集表'!$E$5)/SUMPRODUCT(SUMIFS('附表4-项目间分摊信息采集表'!$E:$E,'附表4-项目间分摊信息采集表'!$B:$B,S204:AB204)),20),IF(L204="测绘总建筑面积法",ROUND(SUM('附表4-项目间分摊信息采集表'!$F$5)/SUMPRODUCT(SUMIFS('附表4-项目间分摊信息采集表'!$F:$F,'附表4-项目间分摊信息采集表'!$B:$B,S204:AB204)),20),IF(L204="可售建筑面积法",ROUND(SUM('附表4-项目间分摊信息采集表'!$G$5)/SUMPRODUCT(SUMIFS('附表4-项目间分摊信息采集表'!$G:$G,'附表4-项目间分摊信息采集表'!$B:$B,S204:AB204)),20),IF(L204="其他分摊方法",ROUND(SUM('附表4-项目间分摊信息采集表'!$H$5)/SUMPRODUCT(SUMIFS('附表4-项目间分摊信息采集表'!$H:$H,'附表4-项目间分摊信息采集表'!$B:$B,S204:AB204)),20),IF(L204="手工填写分摊比例","请填写分摊比例",100%))))),IF(COUNTA(S204:AB204)&gt;=1,0%,100%)),100%)</f>
        <v>0.338555832480367</v>
      </c>
      <c r="N204" s="97">
        <f>SUMIFS('附表7-扣除项目明细采集底稿'!$R:$R,'附表7-扣除项目明细采集底稿'!$G:$G,B204)</f>
        <v>17413.6633663366</v>
      </c>
      <c r="O204" s="90" t="s">
        <v>4651</v>
      </c>
      <c r="P204" s="113">
        <f>SUMIFS('附表7-扣除项目明细采集底稿'!$T:$T,'附表7-扣除项目明细采集底稿'!$G:$G,$B204)</f>
        <v>5895.5</v>
      </c>
      <c r="Q204" s="117">
        <f t="shared" si="7"/>
        <v>11518.16</v>
      </c>
      <c r="R204" s="118"/>
      <c r="S204" s="90" t="s">
        <v>11</v>
      </c>
      <c r="T204" s="90" t="s">
        <v>46</v>
      </c>
      <c r="U204" s="90" t="s">
        <v>371</v>
      </c>
      <c r="V204" s="90"/>
      <c r="W204" s="90"/>
      <c r="X204" s="90"/>
      <c r="Y204" s="90"/>
      <c r="Z204" s="90"/>
      <c r="AA204" s="90"/>
      <c r="AB204" s="90"/>
    </row>
    <row r="205" s="80" customFormat="1" ht="15.05" spans="1:28">
      <c r="A205" s="90">
        <v>168</v>
      </c>
      <c r="B205" s="91" t="s">
        <v>3478</v>
      </c>
      <c r="C205" s="100" t="s">
        <v>4907</v>
      </c>
      <c r="D205" s="93" t="s">
        <v>4675</v>
      </c>
      <c r="E205" s="99" t="s">
        <v>4908</v>
      </c>
      <c r="F205" s="107" t="s">
        <v>4689</v>
      </c>
      <c r="G205" s="96">
        <v>5000</v>
      </c>
      <c r="H205" s="97">
        <v>0</v>
      </c>
      <c r="I205" s="96" t="s">
        <v>4650</v>
      </c>
      <c r="J205" s="90" t="s">
        <v>4650</v>
      </c>
      <c r="K205" s="90" t="s">
        <v>15</v>
      </c>
      <c r="L205" s="90" t="s">
        <v>4809</v>
      </c>
      <c r="M205" s="112">
        <v>0.3183</v>
      </c>
      <c r="N205" s="97">
        <f>SUMIFS('附表7-扣除项目明细采集底稿'!$R:$R,'附表7-扣除项目明细采集底稿'!$G:$G,B205)</f>
        <v>5000</v>
      </c>
      <c r="O205" s="90" t="s">
        <v>4651</v>
      </c>
      <c r="P205" s="113">
        <f>SUMIFS('附表7-扣除项目明细采集底稿'!$T:$T,'附表7-扣除项目明细采集底稿'!$G:$G,$B205)</f>
        <v>1591.5</v>
      </c>
      <c r="Q205" s="117">
        <f t="shared" si="7"/>
        <v>3408.5</v>
      </c>
      <c r="R205" s="118"/>
      <c r="S205" s="90" t="s">
        <v>11</v>
      </c>
      <c r="T205" s="90" t="s">
        <v>46</v>
      </c>
      <c r="U205" s="90" t="s">
        <v>371</v>
      </c>
      <c r="V205" s="90"/>
      <c r="W205" s="90"/>
      <c r="X205" s="90"/>
      <c r="Y205" s="90"/>
      <c r="Z205" s="90"/>
      <c r="AA205" s="90"/>
      <c r="AB205" s="90"/>
    </row>
    <row r="206" s="80" customFormat="1" ht="30.05" spans="1:28">
      <c r="A206" s="90">
        <v>170</v>
      </c>
      <c r="B206" s="91" t="s">
        <v>3188</v>
      </c>
      <c r="C206" s="92" t="s">
        <v>4909</v>
      </c>
      <c r="D206" s="93" t="s">
        <v>4648</v>
      </c>
      <c r="E206" s="99" t="s">
        <v>4751</v>
      </c>
      <c r="F206" s="95">
        <v>43936</v>
      </c>
      <c r="G206" s="96">
        <v>110000</v>
      </c>
      <c r="H206" s="97">
        <v>0</v>
      </c>
      <c r="I206" s="96" t="s">
        <v>4650</v>
      </c>
      <c r="J206" s="90" t="s">
        <v>4650</v>
      </c>
      <c r="K206" s="90" t="s">
        <v>4650</v>
      </c>
      <c r="L206" s="90"/>
      <c r="M206" s="112">
        <f>IFERROR(IF(COUNTIFS(S206:AB206,清算项目基本情况表!$D$6)&gt;=1,IF(L206="占地面积法",ROUND(SUM('附表4-项目间分摊信息采集表'!$E$5)/SUMPRODUCT(SUMIFS('附表4-项目间分摊信息采集表'!$E:$E,'附表4-项目间分摊信息采集表'!$B:$B,S206:AB206)),20),IF(L206="测绘总建筑面积法",ROUND(SUM('附表4-项目间分摊信息采集表'!$F$5)/SUMPRODUCT(SUMIFS('附表4-项目间分摊信息采集表'!$F:$F,'附表4-项目间分摊信息采集表'!$B:$B,S206:AB206)),20),IF(L206="可售建筑面积法",ROUND(SUM('附表4-项目间分摊信息采集表'!$G$5)/SUMPRODUCT(SUMIFS('附表4-项目间分摊信息采集表'!$G:$G,'附表4-项目间分摊信息采集表'!$B:$B,S206:AB206)),20),IF(L206="其他分摊方法",ROUND(SUM('附表4-项目间分摊信息采集表'!$H$5)/SUMPRODUCT(SUMIFS('附表4-项目间分摊信息采集表'!$H:$H,'附表4-项目间分摊信息采集表'!$B:$B,S206:AB206)),20),IF(L206="手工填写分摊比例","请填写分摊比例",100%))))),IF(COUNTA(S206:AB206)&gt;=1,0%,100%)),100%)</f>
        <v>1</v>
      </c>
      <c r="N206" s="97">
        <f>SUMIFS('附表7-扣除项目明细采集底稿'!$R:$R,'附表7-扣除项目明细采集底稿'!$G:$G,B206)</f>
        <v>99748.32</v>
      </c>
      <c r="O206" s="90" t="s">
        <v>4651</v>
      </c>
      <c r="P206" s="113">
        <f>SUMIFS('附表7-扣除项目明细采集底稿'!$T:$T,'附表7-扣除项目明细采集底稿'!$G:$G,$B206)</f>
        <v>99748.32</v>
      </c>
      <c r="Q206" s="117">
        <f t="shared" si="7"/>
        <v>0</v>
      </c>
      <c r="R206" s="118"/>
      <c r="S206" s="90"/>
      <c r="T206" s="90"/>
      <c r="U206" s="90"/>
      <c r="V206" s="90"/>
      <c r="W206" s="90"/>
      <c r="X206" s="90"/>
      <c r="Y206" s="90"/>
      <c r="Z206" s="90"/>
      <c r="AA206" s="90"/>
      <c r="AB206" s="90"/>
    </row>
    <row r="207" s="80" customFormat="1" ht="15.05" spans="1:28">
      <c r="A207" s="90">
        <v>171</v>
      </c>
      <c r="B207" s="91" t="s">
        <v>4910</v>
      </c>
      <c r="C207" s="99" t="s">
        <v>4911</v>
      </c>
      <c r="D207" s="93" t="s">
        <v>4655</v>
      </c>
      <c r="E207" s="98" t="s">
        <v>4912</v>
      </c>
      <c r="F207" s="95">
        <v>44271</v>
      </c>
      <c r="G207" s="96">
        <v>14273</v>
      </c>
      <c r="H207" s="97">
        <v>0</v>
      </c>
      <c r="I207" s="96" t="s">
        <v>4650</v>
      </c>
      <c r="J207" s="90" t="s">
        <v>4650</v>
      </c>
      <c r="K207" s="90" t="s">
        <v>4650</v>
      </c>
      <c r="L207" s="90"/>
      <c r="M207" s="112">
        <f>IFERROR(IF(COUNTIFS(S207:AB207,清算项目基本情况表!$D$6)&gt;=1,IF(L207="占地面积法",ROUND(SUM('附表4-项目间分摊信息采集表'!$E$5)/SUMPRODUCT(SUMIFS('附表4-项目间分摊信息采集表'!$E:$E,'附表4-项目间分摊信息采集表'!$B:$B,S207:AB207)),20),IF(L207="测绘总建筑面积法",ROUND(SUM('附表4-项目间分摊信息采集表'!$F$5)/SUMPRODUCT(SUMIFS('附表4-项目间分摊信息采集表'!$F:$F,'附表4-项目间分摊信息采集表'!$B:$B,S207:AB207)),20),IF(L207="可售建筑面积法",ROUND(SUM('附表4-项目间分摊信息采集表'!$G$5)/SUMPRODUCT(SUMIFS('附表4-项目间分摊信息采集表'!$G:$G,'附表4-项目间分摊信息采集表'!$B:$B,S207:AB207)),20),IF(L207="其他分摊方法",ROUND(SUM('附表4-项目间分摊信息采集表'!$H$5)/SUMPRODUCT(SUMIFS('附表4-项目间分摊信息采集表'!$H:$H,'附表4-项目间分摊信息采集表'!$B:$B,S207:AB207)),20),IF(L207="手工填写分摊比例","请填写分摊比例",100%))))),IF(COUNTA(S207:AB207)&gt;=1,0%,100%)),100%)</f>
        <v>1</v>
      </c>
      <c r="N207" s="97">
        <f>SUMIFS('附表7-扣除项目明细采集底稿'!$R:$R,'附表7-扣除项目明细采集底稿'!$G:$G,B207)</f>
        <v>0</v>
      </c>
      <c r="O207" s="90" t="s">
        <v>4651</v>
      </c>
      <c r="P207" s="113">
        <f>SUMIFS('附表7-扣除项目明细采集底稿'!$T:$T,'附表7-扣除项目明细采集底稿'!$G:$G,$B207)</f>
        <v>0</v>
      </c>
      <c r="Q207" s="117">
        <f t="shared" si="7"/>
        <v>0</v>
      </c>
      <c r="R207" s="118"/>
      <c r="S207" s="90"/>
      <c r="T207" s="90"/>
      <c r="U207" s="90"/>
      <c r="V207" s="90"/>
      <c r="W207" s="90"/>
      <c r="X207" s="90"/>
      <c r="Y207" s="90"/>
      <c r="Z207" s="90"/>
      <c r="AA207" s="90"/>
      <c r="AB207" s="90"/>
    </row>
    <row r="208" s="80" customFormat="1" ht="15.05" spans="1:28">
      <c r="A208" s="90">
        <v>172</v>
      </c>
      <c r="B208" s="91" t="s">
        <v>3304</v>
      </c>
      <c r="C208" s="99" t="s">
        <v>4913</v>
      </c>
      <c r="D208" s="93" t="s">
        <v>4655</v>
      </c>
      <c r="E208" s="99" t="s">
        <v>3305</v>
      </c>
      <c r="F208" s="107" t="s">
        <v>4689</v>
      </c>
      <c r="G208" s="96">
        <v>300000</v>
      </c>
      <c r="H208" s="97">
        <v>0</v>
      </c>
      <c r="I208" s="96" t="s">
        <v>4650</v>
      </c>
      <c r="J208" s="90" t="s">
        <v>4650</v>
      </c>
      <c r="K208" s="90" t="s">
        <v>4650</v>
      </c>
      <c r="L208" s="90"/>
      <c r="M208" s="112">
        <f>IFERROR(IF(COUNTIFS(S208:AB208,清算项目基本情况表!$D$6)&gt;=1,IF(L208="占地面积法",ROUND(SUM('附表4-项目间分摊信息采集表'!$E$5)/SUMPRODUCT(SUMIFS('附表4-项目间分摊信息采集表'!$E:$E,'附表4-项目间分摊信息采集表'!$B:$B,S208:AB208)),20),IF(L208="测绘总建筑面积法",ROUND(SUM('附表4-项目间分摊信息采集表'!$F$5)/SUMPRODUCT(SUMIFS('附表4-项目间分摊信息采集表'!$F:$F,'附表4-项目间分摊信息采集表'!$B:$B,S208:AB208)),20),IF(L208="可售建筑面积法",ROUND(SUM('附表4-项目间分摊信息采集表'!$G$5)/SUMPRODUCT(SUMIFS('附表4-项目间分摊信息采集表'!$G:$G,'附表4-项目间分摊信息采集表'!$B:$B,S208:AB208)),20),IF(L208="其他分摊方法",ROUND(SUM('附表4-项目间分摊信息采集表'!$H$5)/SUMPRODUCT(SUMIFS('附表4-项目间分摊信息采集表'!$H:$H,'附表4-项目间分摊信息采集表'!$B:$B,S208:AB208)),20),IF(L208="手工填写分摊比例","请填写分摊比例",100%))))),IF(COUNTA(S208:AB208)&gt;=1,0%,100%)),100%)</f>
        <v>1</v>
      </c>
      <c r="N208" s="97">
        <f>SUMIFS('附表7-扣除项目明细采集底稿'!$R:$R,'附表7-扣除项目明细采集底稿'!$G:$G,B208)</f>
        <v>297029.7</v>
      </c>
      <c r="O208" s="90" t="s">
        <v>4651</v>
      </c>
      <c r="P208" s="113">
        <f>SUMIFS('附表7-扣除项目明细采集底稿'!$T:$T,'附表7-扣除项目明细采集底稿'!$G:$G,$B208)</f>
        <v>297029.7</v>
      </c>
      <c r="Q208" s="117">
        <f t="shared" si="7"/>
        <v>0</v>
      </c>
      <c r="R208" s="118"/>
      <c r="S208" s="90"/>
      <c r="T208" s="90"/>
      <c r="U208" s="90"/>
      <c r="V208" s="90"/>
      <c r="W208" s="90"/>
      <c r="X208" s="90"/>
      <c r="Y208" s="90"/>
      <c r="Z208" s="90"/>
      <c r="AA208" s="90"/>
      <c r="AB208" s="90"/>
    </row>
    <row r="209" s="80" customFormat="1" ht="15.05" spans="1:28">
      <c r="A209" s="90">
        <v>175</v>
      </c>
      <c r="B209" s="91" t="s">
        <v>4482</v>
      </c>
      <c r="C209" s="100" t="s">
        <v>4914</v>
      </c>
      <c r="D209" s="93" t="s">
        <v>4655</v>
      </c>
      <c r="E209" s="99" t="s">
        <v>4915</v>
      </c>
      <c r="F209" s="95">
        <v>44414</v>
      </c>
      <c r="G209" s="96">
        <v>45000</v>
      </c>
      <c r="H209" s="97">
        <v>0</v>
      </c>
      <c r="I209" s="96" t="s">
        <v>4650</v>
      </c>
      <c r="J209" s="90" t="s">
        <v>4650</v>
      </c>
      <c r="K209" s="90" t="s">
        <v>4650</v>
      </c>
      <c r="L209" s="90"/>
      <c r="M209" s="112">
        <f>IFERROR(IF(COUNTIFS(S209:AB209,清算项目基本情况表!$D$6)&gt;=1,IF(L209="占地面积法",ROUND(SUM('附表4-项目间分摊信息采集表'!$E$5)/SUMPRODUCT(SUMIFS('附表4-项目间分摊信息采集表'!$E:$E,'附表4-项目间分摊信息采集表'!$B:$B,S209:AB209)),20),IF(L209="测绘总建筑面积法",ROUND(SUM('附表4-项目间分摊信息采集表'!$F$5)/SUMPRODUCT(SUMIFS('附表4-项目间分摊信息采集表'!$F:$F,'附表4-项目间分摊信息采集表'!$B:$B,S209:AB209)),20),IF(L209="可售建筑面积法",ROUND(SUM('附表4-项目间分摊信息采集表'!$G$5)/SUMPRODUCT(SUMIFS('附表4-项目间分摊信息采集表'!$G:$G,'附表4-项目间分摊信息采集表'!$B:$B,S209:AB209)),20),IF(L209="其他分摊方法",ROUND(SUM('附表4-项目间分摊信息采集表'!$H$5)/SUMPRODUCT(SUMIFS('附表4-项目间分摊信息采集表'!$H:$H,'附表4-项目间分摊信息采集表'!$B:$B,S209:AB209)),20),IF(L209="手工填写分摊比例","请填写分摊比例",100%))))),IF(COUNTA(S209:AB209)&gt;=1,0%,100%)),100%)</f>
        <v>1</v>
      </c>
      <c r="N209" s="97">
        <f>SUMIFS('附表7-扣除项目明细采集底稿'!$R:$R,'附表7-扣除项目明细采集底稿'!$G:$G,B209)</f>
        <v>44554.46</v>
      </c>
      <c r="O209" s="90" t="s">
        <v>4651</v>
      </c>
      <c r="P209" s="113">
        <f>SUMIFS('附表7-扣除项目明细采集底稿'!$T:$T,'附表7-扣除项目明细采集底稿'!$G:$G,$B209)</f>
        <v>44554.46</v>
      </c>
      <c r="Q209" s="117">
        <f t="shared" si="7"/>
        <v>0</v>
      </c>
      <c r="R209" s="118"/>
      <c r="S209" s="90"/>
      <c r="T209" s="90"/>
      <c r="U209" s="90"/>
      <c r="V209" s="90"/>
      <c r="W209" s="90"/>
      <c r="X209" s="90"/>
      <c r="Y209" s="90"/>
      <c r="Z209" s="90"/>
      <c r="AA209" s="90"/>
      <c r="AB209" s="90"/>
    </row>
    <row r="210" s="80" customFormat="1" ht="15.05" spans="1:28">
      <c r="A210" s="90">
        <v>177</v>
      </c>
      <c r="B210" s="91" t="s">
        <v>2577</v>
      </c>
      <c r="C210" s="100" t="s">
        <v>4916</v>
      </c>
      <c r="D210" s="93" t="s">
        <v>4807</v>
      </c>
      <c r="E210" s="94" t="s">
        <v>2578</v>
      </c>
      <c r="F210" s="107" t="s">
        <v>4689</v>
      </c>
      <c r="G210" s="96">
        <v>142673</v>
      </c>
      <c r="H210" s="97">
        <v>0</v>
      </c>
      <c r="I210" s="96" t="s">
        <v>4650</v>
      </c>
      <c r="J210" s="90" t="s">
        <v>4650</v>
      </c>
      <c r="K210" s="90" t="s">
        <v>4650</v>
      </c>
      <c r="L210" s="90"/>
      <c r="M210" s="112">
        <f>IFERROR(IF(COUNTIFS(S210:AB210,清算项目基本情况表!$D$6)&gt;=1,IF(L210="占地面积法",ROUND(SUM('附表4-项目间分摊信息采集表'!$E$5)/SUMPRODUCT(SUMIFS('附表4-项目间分摊信息采集表'!$E:$E,'附表4-项目间分摊信息采集表'!$B:$B,S210:AB210)),20),IF(L210="测绘总建筑面积法",ROUND(SUM('附表4-项目间分摊信息采集表'!$F$5)/SUMPRODUCT(SUMIFS('附表4-项目间分摊信息采集表'!$F:$F,'附表4-项目间分摊信息采集表'!$B:$B,S210:AB210)),20),IF(L210="可售建筑面积法",ROUND(SUM('附表4-项目间分摊信息采集表'!$G$5)/SUMPRODUCT(SUMIFS('附表4-项目间分摊信息采集表'!$G:$G,'附表4-项目间分摊信息采集表'!$B:$B,S210:AB210)),20),IF(L210="其他分摊方法",ROUND(SUM('附表4-项目间分摊信息采集表'!$H$5)/SUMPRODUCT(SUMIFS('附表4-项目间分摊信息采集表'!$H:$H,'附表4-项目间分摊信息采集表'!$B:$B,S210:AB210)),20),IF(L210="手工填写分摊比例","请填写分摊比例",100%))))),IF(COUNTA(S210:AB210)&gt;=1,0%,100%)),100%)</f>
        <v>1</v>
      </c>
      <c r="N210" s="97">
        <f>SUMIFS('附表7-扣除项目明细采集底稿'!$R:$R,'附表7-扣除项目明细采集底稿'!$G:$G,B210)</f>
        <v>130892.66</v>
      </c>
      <c r="O210" s="90" t="s">
        <v>4651</v>
      </c>
      <c r="P210" s="113">
        <f>SUMIFS('附表7-扣除项目明细采集底稿'!$T:$T,'附表7-扣除项目明细采集底稿'!$G:$G,$B210)</f>
        <v>130892.66</v>
      </c>
      <c r="Q210" s="117">
        <f t="shared" si="7"/>
        <v>0</v>
      </c>
      <c r="R210" s="118"/>
      <c r="S210" s="90"/>
      <c r="T210" s="90"/>
      <c r="U210" s="90"/>
      <c r="V210" s="90"/>
      <c r="W210" s="90"/>
      <c r="X210" s="90"/>
      <c r="Y210" s="90"/>
      <c r="Z210" s="90"/>
      <c r="AA210" s="90"/>
      <c r="AB210" s="90"/>
    </row>
    <row r="211" s="80" customFormat="1" ht="30.05" spans="1:28">
      <c r="A211" s="90">
        <v>185</v>
      </c>
      <c r="B211" s="91" t="s">
        <v>3230</v>
      </c>
      <c r="C211" s="98" t="s">
        <v>4917</v>
      </c>
      <c r="D211" s="93" t="s">
        <v>4648</v>
      </c>
      <c r="E211" s="94" t="s">
        <v>4700</v>
      </c>
      <c r="F211" s="95">
        <v>44086</v>
      </c>
      <c r="G211" s="96">
        <v>953414.65</v>
      </c>
      <c r="H211" s="97">
        <v>0</v>
      </c>
      <c r="I211" s="96" t="s">
        <v>4650</v>
      </c>
      <c r="J211" s="90" t="s">
        <v>4650</v>
      </c>
      <c r="K211" s="90" t="s">
        <v>4650</v>
      </c>
      <c r="L211" s="90"/>
      <c r="M211" s="112">
        <f>IFERROR(IF(COUNTIFS(S211:AB211,清算项目基本情况表!$D$6)&gt;=1,IF(L211="占地面积法",ROUND(SUM('附表4-项目间分摊信息采集表'!$E$5)/SUMPRODUCT(SUMIFS('附表4-项目间分摊信息采集表'!$E:$E,'附表4-项目间分摊信息采集表'!$B:$B,S211:AB211)),20),IF(L211="测绘总建筑面积法",ROUND(SUM('附表4-项目间分摊信息采集表'!$F$5)/SUMPRODUCT(SUMIFS('附表4-项目间分摊信息采集表'!$F:$F,'附表4-项目间分摊信息采集表'!$B:$B,S211:AB211)),20),IF(L211="可售建筑面积法",ROUND(SUM('附表4-项目间分摊信息采集表'!$G$5)/SUMPRODUCT(SUMIFS('附表4-项目间分摊信息采集表'!$G:$G,'附表4-项目间分摊信息采集表'!$B:$B,S211:AB211)),20),IF(L211="其他分摊方法",ROUND(SUM('附表4-项目间分摊信息采集表'!$H$5)/SUMPRODUCT(SUMIFS('附表4-项目间分摊信息采集表'!$H:$H,'附表4-项目间分摊信息采集表'!$B:$B,S211:AB211)),20),IF(L211="手工填写分摊比例","请填写分摊比例",100%))))),IF(COUNTA(S211:AB211)&gt;=1,0%,100%)),100%)</f>
        <v>1</v>
      </c>
      <c r="N211" s="97">
        <f>SUMIFS('附表7-扣除项目明细采集底稿'!$R:$R,'附表7-扣除项目明细采集底稿'!$G:$G,B211)</f>
        <v>874692.37</v>
      </c>
      <c r="O211" s="90" t="s">
        <v>4651</v>
      </c>
      <c r="P211" s="113">
        <f>SUMIFS('附表7-扣除项目明细采集底稿'!$T:$T,'附表7-扣除项目明细采集底稿'!$G:$G,$B211)</f>
        <v>874692.37</v>
      </c>
      <c r="Q211" s="117">
        <f t="shared" si="7"/>
        <v>0</v>
      </c>
      <c r="R211" s="118"/>
      <c r="S211" s="90"/>
      <c r="T211" s="90"/>
      <c r="U211" s="90"/>
      <c r="V211" s="90"/>
      <c r="W211" s="90"/>
      <c r="X211" s="90"/>
      <c r="Y211" s="90"/>
      <c r="Z211" s="90"/>
      <c r="AA211" s="90"/>
      <c r="AB211" s="90"/>
    </row>
    <row r="212" s="80" customFormat="1" ht="15.05" spans="1:28">
      <c r="A212" s="90">
        <v>190</v>
      </c>
      <c r="B212" s="91" t="s">
        <v>2931</v>
      </c>
      <c r="C212" s="100" t="s">
        <v>4918</v>
      </c>
      <c r="D212" s="93" t="s">
        <v>4655</v>
      </c>
      <c r="E212" s="94" t="s">
        <v>2529</v>
      </c>
      <c r="F212" s="107" t="s">
        <v>4689</v>
      </c>
      <c r="G212" s="96">
        <v>60657.71</v>
      </c>
      <c r="H212" s="97">
        <v>0</v>
      </c>
      <c r="I212" s="96" t="s">
        <v>4650</v>
      </c>
      <c r="J212" s="90" t="s">
        <v>4650</v>
      </c>
      <c r="K212" s="90" t="s">
        <v>4650</v>
      </c>
      <c r="L212" s="90"/>
      <c r="M212" s="112">
        <f>IFERROR(IF(COUNTIFS(S212:AB212,清算项目基本情况表!$D$6)&gt;=1,IF(L212="占地面积法",ROUND(SUM('附表4-项目间分摊信息采集表'!$E$5)/SUMPRODUCT(SUMIFS('附表4-项目间分摊信息采集表'!$E:$E,'附表4-项目间分摊信息采集表'!$B:$B,S212:AB212)),20),IF(L212="测绘总建筑面积法",ROUND(SUM('附表4-项目间分摊信息采集表'!$F$5)/SUMPRODUCT(SUMIFS('附表4-项目间分摊信息采集表'!$F:$F,'附表4-项目间分摊信息采集表'!$B:$B,S212:AB212)),20),IF(L212="可售建筑面积法",ROUND(SUM('附表4-项目间分摊信息采集表'!$G$5)/SUMPRODUCT(SUMIFS('附表4-项目间分摊信息采集表'!$G:$G,'附表4-项目间分摊信息采集表'!$B:$B,S212:AB212)),20),IF(L212="其他分摊方法",ROUND(SUM('附表4-项目间分摊信息采集表'!$H$5)/SUMPRODUCT(SUMIFS('附表4-项目间分摊信息采集表'!$H:$H,'附表4-项目间分摊信息采集表'!$B:$B,S212:AB212)),20),IF(L212="手工填写分摊比例","请填写分摊比例",100%))))),IF(COUNTA(S212:AB212)&gt;=1,0%,100%)),100%)</f>
        <v>1</v>
      </c>
      <c r="N212" s="97">
        <f>SUMIFS('附表7-扣除项目明细采集底稿'!$R:$R,'附表7-扣除项目明细采集底稿'!$G:$G,B212)</f>
        <v>53679.39</v>
      </c>
      <c r="O212" s="90" t="s">
        <v>4651</v>
      </c>
      <c r="P212" s="113">
        <f>SUMIFS('附表7-扣除项目明细采集底稿'!$T:$T,'附表7-扣除项目明细采集底稿'!$G:$G,$B212)</f>
        <v>53679.39</v>
      </c>
      <c r="Q212" s="117">
        <f t="shared" si="7"/>
        <v>0</v>
      </c>
      <c r="R212" s="118"/>
      <c r="S212" s="90"/>
      <c r="T212" s="90"/>
      <c r="U212" s="90"/>
      <c r="V212" s="90"/>
      <c r="W212" s="90"/>
      <c r="X212" s="90"/>
      <c r="Y212" s="90"/>
      <c r="Z212" s="90"/>
      <c r="AA212" s="90"/>
      <c r="AB212" s="90"/>
    </row>
    <row r="213" s="80" customFormat="1" ht="15.05" spans="1:28">
      <c r="A213" s="90">
        <v>192</v>
      </c>
      <c r="B213" s="91" t="s">
        <v>3146</v>
      </c>
      <c r="C213" s="100" t="s">
        <v>4919</v>
      </c>
      <c r="D213" s="93" t="s">
        <v>4655</v>
      </c>
      <c r="E213" s="100" t="s">
        <v>4920</v>
      </c>
      <c r="F213" s="107" t="s">
        <v>4689</v>
      </c>
      <c r="G213" s="96">
        <v>13000</v>
      </c>
      <c r="H213" s="97">
        <v>0</v>
      </c>
      <c r="I213" s="96" t="s">
        <v>4650</v>
      </c>
      <c r="J213" s="90" t="s">
        <v>4650</v>
      </c>
      <c r="K213" s="90" t="s">
        <v>4650</v>
      </c>
      <c r="L213" s="90"/>
      <c r="M213" s="112">
        <f>IFERROR(IF(COUNTIFS(S213:AB213,清算项目基本情况表!$D$6)&gt;=1,IF(L213="占地面积法",ROUND(SUM('附表4-项目间分摊信息采集表'!$E$5)/SUMPRODUCT(SUMIFS('附表4-项目间分摊信息采集表'!$E:$E,'附表4-项目间分摊信息采集表'!$B:$B,S213:AB213)),20),IF(L213="测绘总建筑面积法",ROUND(SUM('附表4-项目间分摊信息采集表'!$F$5)/SUMPRODUCT(SUMIFS('附表4-项目间分摊信息采集表'!$F:$F,'附表4-项目间分摊信息采集表'!$B:$B,S213:AB213)),20),IF(L213="可售建筑面积法",ROUND(SUM('附表4-项目间分摊信息采集表'!$G$5)/SUMPRODUCT(SUMIFS('附表4-项目间分摊信息采集表'!$G:$G,'附表4-项目间分摊信息采集表'!$B:$B,S213:AB213)),20),IF(L213="其他分摊方法",ROUND(SUM('附表4-项目间分摊信息采集表'!$H$5)/SUMPRODUCT(SUMIFS('附表4-项目间分摊信息采集表'!$H:$H,'附表4-项目间分摊信息采集表'!$B:$B,S213:AB213)),20),IF(L213="手工填写分摊比例","请填写分摊比例",100%))))),IF(COUNTA(S213:AB213)&gt;=1,0%,100%)),100%)</f>
        <v>1</v>
      </c>
      <c r="N213" s="97">
        <f>SUMIFS('附表7-扣除项目明细采集底稿'!$R:$R,'附表7-扣除项目明细采集底稿'!$G:$G,B213)</f>
        <v>13000</v>
      </c>
      <c r="O213" s="90" t="s">
        <v>4651</v>
      </c>
      <c r="P213" s="113">
        <f>SUMIFS('附表7-扣除项目明细采集底稿'!$T:$T,'附表7-扣除项目明细采集底稿'!$G:$G,$B213)</f>
        <v>13000</v>
      </c>
      <c r="Q213" s="117">
        <f t="shared" si="7"/>
        <v>0</v>
      </c>
      <c r="R213" s="118"/>
      <c r="S213" s="90"/>
      <c r="T213" s="90"/>
      <c r="U213" s="90"/>
      <c r="V213" s="90"/>
      <c r="W213" s="90"/>
      <c r="X213" s="90"/>
      <c r="Y213" s="90"/>
      <c r="Z213" s="90"/>
      <c r="AA213" s="90"/>
      <c r="AB213" s="90"/>
    </row>
    <row r="214" s="80" customFormat="1" ht="15.05" spans="1:28">
      <c r="A214" s="90">
        <v>194</v>
      </c>
      <c r="B214" s="91" t="s">
        <v>2411</v>
      </c>
      <c r="C214" s="100" t="s">
        <v>4921</v>
      </c>
      <c r="D214" s="93" t="s">
        <v>4659</v>
      </c>
      <c r="E214" s="94" t="s">
        <v>4688</v>
      </c>
      <c r="F214" s="107" t="s">
        <v>4689</v>
      </c>
      <c r="G214" s="96">
        <v>115587</v>
      </c>
      <c r="H214" s="97">
        <v>0</v>
      </c>
      <c r="I214" s="96" t="s">
        <v>4650</v>
      </c>
      <c r="J214" s="90" t="s">
        <v>4650</v>
      </c>
      <c r="K214" s="90" t="s">
        <v>4650</v>
      </c>
      <c r="L214" s="90"/>
      <c r="M214" s="112">
        <f>IFERROR(IF(COUNTIFS(S214:AB214,清算项目基本情况表!$D$6)&gt;=1,IF(L214="占地面积法",ROUND(SUM('附表4-项目间分摊信息采集表'!$E$5)/SUMPRODUCT(SUMIFS('附表4-项目间分摊信息采集表'!$E:$E,'附表4-项目间分摊信息采集表'!$B:$B,S214:AB214)),20),IF(L214="测绘总建筑面积法",ROUND(SUM('附表4-项目间分摊信息采集表'!$F$5)/SUMPRODUCT(SUMIFS('附表4-项目间分摊信息采集表'!$F:$F,'附表4-项目间分摊信息采集表'!$B:$B,S214:AB214)),20),IF(L214="可售建筑面积法",ROUND(SUM('附表4-项目间分摊信息采集表'!$G$5)/SUMPRODUCT(SUMIFS('附表4-项目间分摊信息采集表'!$G:$G,'附表4-项目间分摊信息采集表'!$B:$B,S214:AB214)),20),IF(L214="其他分摊方法",ROUND(SUM('附表4-项目间分摊信息采集表'!$H$5)/SUMPRODUCT(SUMIFS('附表4-项目间分摊信息采集表'!$H:$H,'附表4-项目间分摊信息采集表'!$B:$B,S214:AB214)),20),IF(L214="手工填写分摊比例","请填写分摊比例",100%))))),IF(COUNTA(S214:AB214)&gt;=1,0%,100%)),100%)</f>
        <v>1</v>
      </c>
      <c r="N214" s="97">
        <f>SUMIFS('附表7-扣除项目明细采集底稿'!$R:$R,'附表7-扣除项目明细采集底稿'!$G:$G,B214)</f>
        <v>109044.34</v>
      </c>
      <c r="O214" s="90" t="s">
        <v>4651</v>
      </c>
      <c r="P214" s="113">
        <f>SUMIFS('附表7-扣除项目明细采集底稿'!$T:$T,'附表7-扣除项目明细采集底稿'!$G:$G,$B214)</f>
        <v>109044.34</v>
      </c>
      <c r="Q214" s="117">
        <f t="shared" si="7"/>
        <v>0</v>
      </c>
      <c r="R214" s="118"/>
      <c r="S214" s="90"/>
      <c r="T214" s="90"/>
      <c r="U214" s="90"/>
      <c r="V214" s="90"/>
      <c r="W214" s="90"/>
      <c r="X214" s="90"/>
      <c r="Y214" s="90"/>
      <c r="Z214" s="90"/>
      <c r="AA214" s="90"/>
      <c r="AB214" s="90"/>
    </row>
    <row r="215" s="80" customFormat="1" ht="15.05" spans="1:28">
      <c r="A215" s="90">
        <v>195</v>
      </c>
      <c r="B215" s="91" t="s">
        <v>4122</v>
      </c>
      <c r="C215" s="100" t="s">
        <v>4922</v>
      </c>
      <c r="D215" s="93" t="s">
        <v>4675</v>
      </c>
      <c r="E215" s="94" t="s">
        <v>4688</v>
      </c>
      <c r="F215" s="107" t="s">
        <v>4689</v>
      </c>
      <c r="G215" s="96">
        <v>2849</v>
      </c>
      <c r="H215" s="97">
        <v>2687.74</v>
      </c>
      <c r="I215" s="96" t="s">
        <v>4650</v>
      </c>
      <c r="J215" s="90" t="s">
        <v>4650</v>
      </c>
      <c r="K215" s="90" t="s">
        <v>15</v>
      </c>
      <c r="L215" s="90" t="s">
        <v>351</v>
      </c>
      <c r="M215" s="112">
        <f>IFERROR(IF(COUNTIFS(S215:AB215,清算项目基本情况表!$D$6)&gt;=1,IF(L215="占地面积法",ROUND(SUM('附表4-项目间分摊信息采集表'!$E$5)/SUMPRODUCT(SUMIFS('附表4-项目间分摊信息采集表'!$E:$E,'附表4-项目间分摊信息采集表'!$B:$B,S215:AB215)),20),IF(L215="测绘总建筑面积法",ROUND(SUM('附表4-项目间分摊信息采集表'!$F$5)/SUMPRODUCT(SUMIFS('附表4-项目间分摊信息采集表'!$F:$F,'附表4-项目间分摊信息采集表'!$B:$B,S215:AB215)),20),IF(L215="可售建筑面积法",ROUND(SUM('附表4-项目间分摊信息采集表'!$G$5)/SUMPRODUCT(SUMIFS('附表4-项目间分摊信息采集表'!$G:$G,'附表4-项目间分摊信息采集表'!$B:$B,S215:AB215)),20),IF(L215="其他分摊方法",ROUND(SUM('附表4-项目间分摊信息采集表'!$H$5)/SUMPRODUCT(SUMIFS('附表4-项目间分摊信息采集表'!$H:$H,'附表4-项目间分摊信息采集表'!$B:$B,S215:AB215)),20),IF(L215="手工填写分摊比例","请填写分摊比例",100%))))),IF(COUNTA(S215:AB215)&gt;=1,0%,100%)),100%)</f>
        <v>0.338555832480367</v>
      </c>
      <c r="N215" s="97">
        <f>SUMIFS('附表7-扣除项目明细采集底稿'!$R:$R,'附表7-扣除项目明细采集底稿'!$G:$G,B215)</f>
        <v>2687.74</v>
      </c>
      <c r="O215" s="90" t="s">
        <v>4651</v>
      </c>
      <c r="P215" s="113">
        <f>SUMIFS('附表7-扣除项目明细采集底稿'!$T:$T,'附表7-扣除项目明细采集底稿'!$G:$G,$B215)</f>
        <v>909.95</v>
      </c>
      <c r="Q215" s="117">
        <f t="shared" si="7"/>
        <v>1777.79</v>
      </c>
      <c r="R215" s="118"/>
      <c r="S215" s="90" t="s">
        <v>11</v>
      </c>
      <c r="T215" s="90" t="s">
        <v>46</v>
      </c>
      <c r="U215" s="90" t="s">
        <v>371</v>
      </c>
      <c r="V215" s="90"/>
      <c r="W215" s="90"/>
      <c r="X215" s="90"/>
      <c r="Y215" s="90"/>
      <c r="Z215" s="90"/>
      <c r="AA215" s="90"/>
      <c r="AB215" s="90"/>
    </row>
    <row r="216" s="80" customFormat="1" ht="15.05" spans="1:28">
      <c r="A216" s="90">
        <v>196</v>
      </c>
      <c r="B216" s="91" t="s">
        <v>3424</v>
      </c>
      <c r="C216" s="99" t="s">
        <v>4923</v>
      </c>
      <c r="D216" s="93" t="s">
        <v>4655</v>
      </c>
      <c r="E216" s="99" t="s">
        <v>4924</v>
      </c>
      <c r="F216" s="107" t="s">
        <v>4689</v>
      </c>
      <c r="G216" s="96">
        <v>1950000</v>
      </c>
      <c r="H216" s="97">
        <v>0</v>
      </c>
      <c r="I216" s="96" t="s">
        <v>4650</v>
      </c>
      <c r="J216" s="90" t="s">
        <v>4650</v>
      </c>
      <c r="K216" s="90" t="s">
        <v>4650</v>
      </c>
      <c r="L216" s="90"/>
      <c r="M216" s="112">
        <f>IFERROR(IF(COUNTIFS(S216:AB216,清算项目基本情况表!$D$6)&gt;=1,IF(L216="占地面积法",ROUND(SUM('附表4-项目间分摊信息采集表'!$E$5)/SUMPRODUCT(SUMIFS('附表4-项目间分摊信息采集表'!$E:$E,'附表4-项目间分摊信息采集表'!$B:$B,S216:AB216)),20),IF(L216="测绘总建筑面积法",ROUND(SUM('附表4-项目间分摊信息采集表'!$F$5)/SUMPRODUCT(SUMIFS('附表4-项目间分摊信息采集表'!$F:$F,'附表4-项目间分摊信息采集表'!$B:$B,S216:AB216)),20),IF(L216="可售建筑面积法",ROUND(SUM('附表4-项目间分摊信息采集表'!$G$5)/SUMPRODUCT(SUMIFS('附表4-项目间分摊信息采集表'!$G:$G,'附表4-项目间分摊信息采集表'!$B:$B,S216:AB216)),20),IF(L216="其他分摊方法",ROUND(SUM('附表4-项目间分摊信息采集表'!$H$5)/SUMPRODUCT(SUMIFS('附表4-项目间分摊信息采集表'!$H:$H,'附表4-项目间分摊信息采集表'!$B:$B,S216:AB216)),20),IF(L216="手工填写分摊比例","请填写分摊比例",100%))))),IF(COUNTA(S216:AB216)&gt;=1,0%,100%)),100%)</f>
        <v>1</v>
      </c>
      <c r="N216" s="97">
        <f>SUMIFS('附表7-扣除项目明细采集底稿'!$R:$R,'附表7-扣除项目明细采集底稿'!$G:$G,B216)</f>
        <v>1950000</v>
      </c>
      <c r="O216" s="90" t="s">
        <v>4651</v>
      </c>
      <c r="P216" s="113">
        <f>SUMIFS('附表7-扣除项目明细采集底稿'!$T:$T,'附表7-扣除项目明细采集底稿'!$G:$G,$B216)</f>
        <v>1950000</v>
      </c>
      <c r="Q216" s="117">
        <f t="shared" si="7"/>
        <v>0</v>
      </c>
      <c r="R216" s="118"/>
      <c r="S216" s="90"/>
      <c r="T216" s="90"/>
      <c r="U216" s="90"/>
      <c r="V216" s="90"/>
      <c r="W216" s="90"/>
      <c r="X216" s="90"/>
      <c r="Y216" s="90"/>
      <c r="Z216" s="90"/>
      <c r="AA216" s="90"/>
      <c r="AB216" s="90"/>
    </row>
    <row r="217" s="80" customFormat="1" ht="15.05" spans="1:28">
      <c r="A217" s="90">
        <v>197</v>
      </c>
      <c r="B217" s="91" t="s">
        <v>2737</v>
      </c>
      <c r="C217" s="100" t="s">
        <v>4925</v>
      </c>
      <c r="D217" s="93" t="s">
        <v>4675</v>
      </c>
      <c r="E217" s="94" t="s">
        <v>2432</v>
      </c>
      <c r="F217" s="95">
        <v>43582</v>
      </c>
      <c r="G217" s="96">
        <v>33000</v>
      </c>
      <c r="H217" s="97">
        <v>0</v>
      </c>
      <c r="I217" s="96" t="s">
        <v>4650</v>
      </c>
      <c r="J217" s="90" t="s">
        <v>4650</v>
      </c>
      <c r="K217" s="90" t="s">
        <v>4650</v>
      </c>
      <c r="L217" s="90"/>
      <c r="M217" s="112">
        <f>IFERROR(IF(COUNTIFS(S217:AB217,清算项目基本情况表!$D$6)&gt;=1,IF(L217="占地面积法",ROUND(SUM('附表4-项目间分摊信息采集表'!$E$5)/SUMPRODUCT(SUMIFS('附表4-项目间分摊信息采集表'!$E:$E,'附表4-项目间分摊信息采集表'!$B:$B,S217:AB217)),20),IF(L217="测绘总建筑面积法",ROUND(SUM('附表4-项目间分摊信息采集表'!$F$5)/SUMPRODUCT(SUMIFS('附表4-项目间分摊信息采集表'!$F:$F,'附表4-项目间分摊信息采集表'!$B:$B,S217:AB217)),20),IF(L217="可售建筑面积法",ROUND(SUM('附表4-项目间分摊信息采集表'!$G$5)/SUMPRODUCT(SUMIFS('附表4-项目间分摊信息采集表'!$G:$G,'附表4-项目间分摊信息采集表'!$B:$B,S217:AB217)),20),IF(L217="其他分摊方法",ROUND(SUM('附表4-项目间分摊信息采集表'!$H$5)/SUMPRODUCT(SUMIFS('附表4-项目间分摊信息采集表'!$H:$H,'附表4-项目间分摊信息采集表'!$B:$B,S217:AB217)),20),IF(L217="手工填写分摊比例","请填写分摊比例",100%))))),IF(COUNTA(S217:AB217)&gt;=1,0%,100%)),100%)</f>
        <v>1</v>
      </c>
      <c r="N217" s="97">
        <f>SUMIFS('附表7-扣除项目明细采集底稿'!$R:$R,'附表7-扣除项目明细采集底稿'!$G:$G,B217)</f>
        <v>28301.89</v>
      </c>
      <c r="O217" s="90" t="s">
        <v>4651</v>
      </c>
      <c r="P217" s="113">
        <f>SUMIFS('附表7-扣除项目明细采集底稿'!$T:$T,'附表7-扣除项目明细采集底稿'!$G:$G,$B217)</f>
        <v>28301.89</v>
      </c>
      <c r="Q217" s="117">
        <f t="shared" si="7"/>
        <v>0</v>
      </c>
      <c r="R217" s="118"/>
      <c r="S217" s="90"/>
      <c r="T217" s="90"/>
      <c r="U217" s="90"/>
      <c r="V217" s="90"/>
      <c r="W217" s="90"/>
      <c r="X217" s="90"/>
      <c r="Y217" s="90"/>
      <c r="Z217" s="90"/>
      <c r="AA217" s="90"/>
      <c r="AB217" s="90"/>
    </row>
    <row r="218" s="80" customFormat="1" ht="15.05" spans="1:28">
      <c r="A218" s="90">
        <v>198</v>
      </c>
      <c r="B218" s="91" t="s">
        <v>4513</v>
      </c>
      <c r="C218" s="100" t="s">
        <v>4926</v>
      </c>
      <c r="D218" s="93" t="s">
        <v>4675</v>
      </c>
      <c r="E218" s="94" t="s">
        <v>2432</v>
      </c>
      <c r="F218" s="95">
        <v>43582</v>
      </c>
      <c r="G218" s="96">
        <v>5649</v>
      </c>
      <c r="H218" s="97">
        <v>0</v>
      </c>
      <c r="I218" s="96" t="s">
        <v>4650</v>
      </c>
      <c r="J218" s="90" t="s">
        <v>4650</v>
      </c>
      <c r="K218" s="90" t="s">
        <v>4650</v>
      </c>
      <c r="L218" s="90"/>
      <c r="M218" s="112">
        <f>IFERROR(IF(COUNTIFS(S218:AB218,清算项目基本情况表!$D$6)&gt;=1,IF(L218="占地面积法",ROUND(SUM('附表4-项目间分摊信息采集表'!$E$5)/SUMPRODUCT(SUMIFS('附表4-项目间分摊信息采集表'!$E:$E,'附表4-项目间分摊信息采集表'!$B:$B,S218:AB218)),20),IF(L218="测绘总建筑面积法",ROUND(SUM('附表4-项目间分摊信息采集表'!$F$5)/SUMPRODUCT(SUMIFS('附表4-项目间分摊信息采集表'!$F:$F,'附表4-项目间分摊信息采集表'!$B:$B,S218:AB218)),20),IF(L218="可售建筑面积法",ROUND(SUM('附表4-项目间分摊信息采集表'!$G$5)/SUMPRODUCT(SUMIFS('附表4-项目间分摊信息采集表'!$G:$G,'附表4-项目间分摊信息采集表'!$B:$B,S218:AB218)),20),IF(L218="其他分摊方法",ROUND(SUM('附表4-项目间分摊信息采集表'!$H$5)/SUMPRODUCT(SUMIFS('附表4-项目间分摊信息采集表'!$H:$H,'附表4-项目间分摊信息采集表'!$B:$B,S218:AB218)),20),IF(L218="手工填写分摊比例","请填写分摊比例",100%))))),IF(COUNTA(S218:AB218)&gt;=1,0%,100%)),100%)</f>
        <v>1</v>
      </c>
      <c r="N218" s="97">
        <f>SUMIFS('附表7-扣除项目明细采集底稿'!$R:$R,'附表7-扣除项目明细采集底稿'!$G:$G,B218)</f>
        <v>3993.4</v>
      </c>
      <c r="O218" s="90" t="s">
        <v>4651</v>
      </c>
      <c r="P218" s="113">
        <f>SUMIFS('附表7-扣除项目明细采集底稿'!$T:$T,'附表7-扣除项目明细采集底稿'!$G:$G,$B218)</f>
        <v>3993.4</v>
      </c>
      <c r="Q218" s="117">
        <f t="shared" si="7"/>
        <v>0</v>
      </c>
      <c r="R218" s="118"/>
      <c r="S218" s="90"/>
      <c r="T218" s="90"/>
      <c r="U218" s="90"/>
      <c r="V218" s="90"/>
      <c r="W218" s="90"/>
      <c r="X218" s="90"/>
      <c r="Y218" s="90"/>
      <c r="Z218" s="90"/>
      <c r="AA218" s="90"/>
      <c r="AB218" s="90"/>
    </row>
    <row r="219" s="80" customFormat="1" ht="15.05" spans="1:28">
      <c r="A219" s="90">
        <v>200</v>
      </c>
      <c r="B219" s="91" t="s">
        <v>3184</v>
      </c>
      <c r="C219" s="99" t="s">
        <v>4927</v>
      </c>
      <c r="D219" s="93" t="s">
        <v>4655</v>
      </c>
      <c r="E219" s="99" t="s">
        <v>3185</v>
      </c>
      <c r="F219" s="107" t="s">
        <v>4689</v>
      </c>
      <c r="G219" s="96">
        <v>18000</v>
      </c>
      <c r="H219" s="97">
        <v>0</v>
      </c>
      <c r="I219" s="96" t="s">
        <v>4650</v>
      </c>
      <c r="J219" s="90" t="s">
        <v>4650</v>
      </c>
      <c r="K219" s="90" t="s">
        <v>4650</v>
      </c>
      <c r="L219" s="90"/>
      <c r="M219" s="112">
        <f>IFERROR(IF(COUNTIFS(S219:AB219,清算项目基本情况表!$D$6)&gt;=1,IF(L219="占地面积法",ROUND(SUM('附表4-项目间分摊信息采集表'!$E$5)/SUMPRODUCT(SUMIFS('附表4-项目间分摊信息采集表'!$E:$E,'附表4-项目间分摊信息采集表'!$B:$B,S219:AB219)),20),IF(L219="测绘总建筑面积法",ROUND(SUM('附表4-项目间分摊信息采集表'!$F$5)/SUMPRODUCT(SUMIFS('附表4-项目间分摊信息采集表'!$F:$F,'附表4-项目间分摊信息采集表'!$B:$B,S219:AB219)),20),IF(L219="可售建筑面积法",ROUND(SUM('附表4-项目间分摊信息采集表'!$G$5)/SUMPRODUCT(SUMIFS('附表4-项目间分摊信息采集表'!$G:$G,'附表4-项目间分摊信息采集表'!$B:$B,S219:AB219)),20),IF(L219="其他分摊方法",ROUND(SUM('附表4-项目间分摊信息采集表'!$H$5)/SUMPRODUCT(SUMIFS('附表4-项目间分摊信息采集表'!$H:$H,'附表4-项目间分摊信息采集表'!$B:$B,S219:AB219)),20),IF(L219="手工填写分摊比例","请填写分摊比例",100%))))),IF(COUNTA(S219:AB219)&gt;=1,0%,100%)),100%)</f>
        <v>1</v>
      </c>
      <c r="N219" s="97">
        <f>SUMIFS('附表7-扣除项目明细采集底稿'!$R:$R,'附表7-扣除项目明细采集底稿'!$G:$G,B219)</f>
        <v>0</v>
      </c>
      <c r="O219" s="90" t="s">
        <v>4651</v>
      </c>
      <c r="P219" s="113">
        <f>SUMIFS('附表7-扣除项目明细采集底稿'!$T:$T,'附表7-扣除项目明细采集底稿'!$G:$G,$B219)</f>
        <v>0</v>
      </c>
      <c r="Q219" s="117">
        <f t="shared" si="7"/>
        <v>0</v>
      </c>
      <c r="R219" s="118"/>
      <c r="S219" s="90"/>
      <c r="T219" s="90"/>
      <c r="U219" s="90"/>
      <c r="V219" s="90"/>
      <c r="W219" s="90"/>
      <c r="X219" s="90"/>
      <c r="Y219" s="90"/>
      <c r="Z219" s="90"/>
      <c r="AA219" s="90"/>
      <c r="AB219" s="90"/>
    </row>
    <row r="220" s="80" customFormat="1" ht="15.05" spans="1:28">
      <c r="A220" s="90">
        <v>201</v>
      </c>
      <c r="B220" s="91" t="s">
        <v>3045</v>
      </c>
      <c r="C220" s="99" t="s">
        <v>4888</v>
      </c>
      <c r="D220" s="93" t="s">
        <v>4655</v>
      </c>
      <c r="E220" s="99" t="s">
        <v>4928</v>
      </c>
      <c r="F220" s="107" t="s">
        <v>4689</v>
      </c>
      <c r="G220" s="96">
        <v>33180</v>
      </c>
      <c r="H220" s="97">
        <v>0</v>
      </c>
      <c r="I220" s="96" t="s">
        <v>4650</v>
      </c>
      <c r="J220" s="90" t="s">
        <v>4650</v>
      </c>
      <c r="K220" s="90" t="s">
        <v>4650</v>
      </c>
      <c r="L220" s="90"/>
      <c r="M220" s="112">
        <f>IFERROR(IF(COUNTIFS(S220:AB220,清算项目基本情况表!$D$6)&gt;=1,IF(L220="占地面积法",ROUND(SUM('附表4-项目间分摊信息采集表'!$E$5)/SUMPRODUCT(SUMIFS('附表4-项目间分摊信息采集表'!$E:$E,'附表4-项目间分摊信息采集表'!$B:$B,S220:AB220)),20),IF(L220="测绘总建筑面积法",ROUND(SUM('附表4-项目间分摊信息采集表'!$F$5)/SUMPRODUCT(SUMIFS('附表4-项目间分摊信息采集表'!$F:$F,'附表4-项目间分摊信息采集表'!$B:$B,S220:AB220)),20),IF(L220="可售建筑面积法",ROUND(SUM('附表4-项目间分摊信息采集表'!$G$5)/SUMPRODUCT(SUMIFS('附表4-项目间分摊信息采集表'!$G:$G,'附表4-项目间分摊信息采集表'!$B:$B,S220:AB220)),20),IF(L220="其他分摊方法",ROUND(SUM('附表4-项目间分摊信息采集表'!$H$5)/SUMPRODUCT(SUMIFS('附表4-项目间分摊信息采集表'!$H:$H,'附表4-项目间分摊信息采集表'!$B:$B,S220:AB220)),20),IF(L220="手工填写分摊比例","请填写分摊比例",100%))))),IF(COUNTA(S220:AB220)&gt;=1,0%,100%)),100%)</f>
        <v>1</v>
      </c>
      <c r="N220" s="97">
        <f>SUMIFS('附表7-扣除项目明细采集底稿'!$R:$R,'附表7-扣除项目明细采集底稿'!$G:$G,B220)</f>
        <v>70300.88</v>
      </c>
      <c r="O220" s="90" t="s">
        <v>4651</v>
      </c>
      <c r="P220" s="113">
        <f>SUMIFS('附表7-扣除项目明细采集底稿'!$T:$T,'附表7-扣除项目明细采集底稿'!$G:$G,$B220)</f>
        <v>70300.88</v>
      </c>
      <c r="Q220" s="117">
        <f t="shared" si="7"/>
        <v>0</v>
      </c>
      <c r="R220" s="118"/>
      <c r="S220" s="90"/>
      <c r="T220" s="90"/>
      <c r="U220" s="90"/>
      <c r="V220" s="90"/>
      <c r="W220" s="90"/>
      <c r="X220" s="90"/>
      <c r="Y220" s="90"/>
      <c r="Z220" s="90"/>
      <c r="AA220" s="90"/>
      <c r="AB220" s="90"/>
    </row>
    <row r="221" s="80" customFormat="1" ht="15.05" spans="1:28">
      <c r="A221" s="90">
        <v>204</v>
      </c>
      <c r="B221" s="91" t="s">
        <v>4434</v>
      </c>
      <c r="C221" s="100" t="s">
        <v>4929</v>
      </c>
      <c r="D221" s="93" t="s">
        <v>4659</v>
      </c>
      <c r="E221" s="94" t="s">
        <v>3529</v>
      </c>
      <c r="F221" s="95">
        <v>44662</v>
      </c>
      <c r="G221" s="96">
        <v>2440</v>
      </c>
      <c r="H221" s="97">
        <v>2159.29</v>
      </c>
      <c r="I221" s="96" t="s">
        <v>4650</v>
      </c>
      <c r="J221" s="90" t="s">
        <v>4650</v>
      </c>
      <c r="K221" s="90" t="s">
        <v>15</v>
      </c>
      <c r="L221" s="90" t="s">
        <v>351</v>
      </c>
      <c r="M221" s="112">
        <f>IFERROR(IF(COUNTIFS(S221:AB221,清算项目基本情况表!$D$6)&gt;=1,IF(L221="占地面积法",ROUND(SUM('附表4-项目间分摊信息采集表'!$E$5)/SUMPRODUCT(SUMIFS('附表4-项目间分摊信息采集表'!$E:$E,'附表4-项目间分摊信息采集表'!$B:$B,S221:AB221)),20),IF(L221="测绘总建筑面积法",ROUND(SUM('附表4-项目间分摊信息采集表'!$F$5)/SUMPRODUCT(SUMIFS('附表4-项目间分摊信息采集表'!$F:$F,'附表4-项目间分摊信息采集表'!$B:$B,S221:AB221)),20),IF(L221="可售建筑面积法",ROUND(SUM('附表4-项目间分摊信息采集表'!$G$5)/SUMPRODUCT(SUMIFS('附表4-项目间分摊信息采集表'!$G:$G,'附表4-项目间分摊信息采集表'!$B:$B,S221:AB221)),20),IF(L221="其他分摊方法",ROUND(SUM('附表4-项目间分摊信息采集表'!$H$5)/SUMPRODUCT(SUMIFS('附表4-项目间分摊信息采集表'!$H:$H,'附表4-项目间分摊信息采集表'!$B:$B,S221:AB221)),20),IF(L221="手工填写分摊比例","请填写分摊比例",100%))))),IF(COUNTA(S221:AB221)&gt;=1,0%,100%)),100%)</f>
        <v>0.338555832480367</v>
      </c>
      <c r="N221" s="97">
        <f>SUMIFS('附表7-扣除项目明细采集底稿'!$R:$R,'附表7-扣除项目明细采集底稿'!$G:$G,B221)</f>
        <v>2159.29</v>
      </c>
      <c r="O221" s="90" t="s">
        <v>4651</v>
      </c>
      <c r="P221" s="113">
        <f>SUMIFS('附表7-扣除项目明细采集底稿'!$T:$T,'附表7-扣除项目明细采集底稿'!$G:$G,$B221)</f>
        <v>731.04</v>
      </c>
      <c r="Q221" s="117">
        <f t="shared" si="7"/>
        <v>1428.25</v>
      </c>
      <c r="R221" s="118"/>
      <c r="S221" s="90" t="s">
        <v>11</v>
      </c>
      <c r="T221" s="90" t="s">
        <v>46</v>
      </c>
      <c r="U221" s="90" t="s">
        <v>371</v>
      </c>
      <c r="V221" s="90"/>
      <c r="W221" s="90"/>
      <c r="X221" s="90"/>
      <c r="Y221" s="90"/>
      <c r="Z221" s="90"/>
      <c r="AA221" s="90"/>
      <c r="AB221" s="90"/>
    </row>
    <row r="222" s="80" customFormat="1" ht="15.05" spans="1:28">
      <c r="A222" s="90">
        <v>206</v>
      </c>
      <c r="B222" s="91" t="s">
        <v>3531</v>
      </c>
      <c r="C222" s="99" t="s">
        <v>4930</v>
      </c>
      <c r="D222" s="93" t="s">
        <v>4655</v>
      </c>
      <c r="E222" s="99" t="s">
        <v>3529</v>
      </c>
      <c r="F222" s="95">
        <v>44128</v>
      </c>
      <c r="G222" s="96">
        <v>74366.25</v>
      </c>
      <c r="H222" s="97">
        <v>65810.84</v>
      </c>
      <c r="I222" s="96" t="s">
        <v>4650</v>
      </c>
      <c r="J222" s="90" t="s">
        <v>4650</v>
      </c>
      <c r="K222" s="90" t="s">
        <v>4650</v>
      </c>
      <c r="L222" s="90"/>
      <c r="M222" s="112">
        <f>IFERROR(IF(COUNTIFS(S222:AB222,清算项目基本情况表!$D$6)&gt;=1,IF(L222="占地面积法",ROUND(SUM('附表4-项目间分摊信息采集表'!$E$5)/SUMPRODUCT(SUMIFS('附表4-项目间分摊信息采集表'!$E:$E,'附表4-项目间分摊信息采集表'!$B:$B,S222:AB222)),20),IF(L222="测绘总建筑面积法",ROUND(SUM('附表4-项目间分摊信息采集表'!$F$5)/SUMPRODUCT(SUMIFS('附表4-项目间分摊信息采集表'!$F:$F,'附表4-项目间分摊信息采集表'!$B:$B,S222:AB222)),20),IF(L222="可售建筑面积法",ROUND(SUM('附表4-项目间分摊信息采集表'!$G$5)/SUMPRODUCT(SUMIFS('附表4-项目间分摊信息采集表'!$G:$G,'附表4-项目间分摊信息采集表'!$B:$B,S222:AB222)),20),IF(L222="其他分摊方法",ROUND(SUM('附表4-项目间分摊信息采集表'!$H$5)/SUMPRODUCT(SUMIFS('附表4-项目间分摊信息采集表'!$H:$H,'附表4-项目间分摊信息采集表'!$B:$B,S222:AB222)),20),IF(L222="手工填写分摊比例","请填写分摊比例",100%))))),IF(COUNTA(S222:AB222)&gt;=1,0%,100%)),100%)</f>
        <v>1</v>
      </c>
      <c r="N222" s="97">
        <f>SUMIFS('附表7-扣除项目明细采集底稿'!$R:$R,'附表7-扣除项目明细采集底稿'!$G:$G,B222)</f>
        <v>58248.36</v>
      </c>
      <c r="O222" s="90" t="s">
        <v>4651</v>
      </c>
      <c r="P222" s="113">
        <f>SUMIFS('附表7-扣除项目明细采集底稿'!$T:$T,'附表7-扣除项目明细采集底稿'!$G:$G,$B222)</f>
        <v>58248.36</v>
      </c>
      <c r="Q222" s="117">
        <f t="shared" si="7"/>
        <v>0</v>
      </c>
      <c r="R222" s="118"/>
      <c r="S222" s="90"/>
      <c r="T222" s="90"/>
      <c r="U222" s="90"/>
      <c r="V222" s="90"/>
      <c r="W222" s="90"/>
      <c r="X222" s="90"/>
      <c r="Y222" s="90"/>
      <c r="Z222" s="90"/>
      <c r="AA222" s="90"/>
      <c r="AB222" s="90"/>
    </row>
    <row r="223" s="80" customFormat="1" ht="30.05" spans="1:28">
      <c r="A223" s="90">
        <v>207</v>
      </c>
      <c r="B223" s="91" t="s">
        <v>4044</v>
      </c>
      <c r="C223" s="100" t="s">
        <v>4931</v>
      </c>
      <c r="D223" s="93" t="s">
        <v>4648</v>
      </c>
      <c r="E223" s="94" t="s">
        <v>4932</v>
      </c>
      <c r="F223" s="95">
        <v>44454</v>
      </c>
      <c r="G223" s="96">
        <v>61000</v>
      </c>
      <c r="H223" s="97">
        <v>0</v>
      </c>
      <c r="I223" s="96" t="s">
        <v>4650</v>
      </c>
      <c r="J223" s="90" t="s">
        <v>4650</v>
      </c>
      <c r="K223" s="90" t="s">
        <v>4650</v>
      </c>
      <c r="L223" s="90"/>
      <c r="M223" s="112">
        <f>IFERROR(IF(COUNTIFS(S223:AB223,清算项目基本情况表!$D$6)&gt;=1,IF(L223="占地面积法",ROUND(SUM('附表4-项目间分摊信息采集表'!$E$5)/SUMPRODUCT(SUMIFS('附表4-项目间分摊信息采集表'!$E:$E,'附表4-项目间分摊信息采集表'!$B:$B,S223:AB223)),20),IF(L223="测绘总建筑面积法",ROUND(SUM('附表4-项目间分摊信息采集表'!$F$5)/SUMPRODUCT(SUMIFS('附表4-项目间分摊信息采集表'!$F:$F,'附表4-项目间分摊信息采集表'!$B:$B,S223:AB223)),20),IF(L223="可售建筑面积法",ROUND(SUM('附表4-项目间分摊信息采集表'!$G$5)/SUMPRODUCT(SUMIFS('附表4-项目间分摊信息采集表'!$G:$G,'附表4-项目间分摊信息采集表'!$B:$B,S223:AB223)),20),IF(L223="其他分摊方法",ROUND(SUM('附表4-项目间分摊信息采集表'!$H$5)/SUMPRODUCT(SUMIFS('附表4-项目间分摊信息采集表'!$H:$H,'附表4-项目间分摊信息采集表'!$B:$B,S223:AB223)),20),IF(L223="手工填写分摊比例","请填写分摊比例",100%))))),IF(COUNTA(S223:AB223)&gt;=1,0%,100%)),100%)</f>
        <v>1</v>
      </c>
      <c r="N223" s="97">
        <f>SUMIFS('附表7-扣除项目明细采集底稿'!$R:$R,'附表7-扣除项目明细采集底稿'!$G:$G,B223)</f>
        <v>57376.24</v>
      </c>
      <c r="O223" s="90" t="s">
        <v>4651</v>
      </c>
      <c r="P223" s="113">
        <f>SUMIFS('附表7-扣除项目明细采集底稿'!$T:$T,'附表7-扣除项目明细采集底稿'!$G:$G,$B223)</f>
        <v>57376.24</v>
      </c>
      <c r="Q223" s="117">
        <f t="shared" si="7"/>
        <v>0</v>
      </c>
      <c r="R223" s="118"/>
      <c r="S223" s="90"/>
      <c r="T223" s="90"/>
      <c r="U223" s="90"/>
      <c r="V223" s="90"/>
      <c r="W223" s="90"/>
      <c r="X223" s="90"/>
      <c r="Y223" s="90"/>
      <c r="Z223" s="90"/>
      <c r="AA223" s="90"/>
      <c r="AB223" s="90"/>
    </row>
    <row r="224" s="80" customFormat="1" ht="30.05" spans="1:28">
      <c r="A224" s="90">
        <v>210</v>
      </c>
      <c r="B224" s="91" t="s">
        <v>4026</v>
      </c>
      <c r="C224" s="100" t="s">
        <v>4933</v>
      </c>
      <c r="D224" s="93" t="s">
        <v>4648</v>
      </c>
      <c r="E224" s="99" t="s">
        <v>4742</v>
      </c>
      <c r="F224" s="95">
        <v>44911</v>
      </c>
      <c r="G224" s="96">
        <v>24714</v>
      </c>
      <c r="H224" s="97">
        <v>0</v>
      </c>
      <c r="I224" s="96" t="s">
        <v>4650</v>
      </c>
      <c r="J224" s="90" t="s">
        <v>4650</v>
      </c>
      <c r="K224" s="90" t="s">
        <v>4650</v>
      </c>
      <c r="L224" s="90"/>
      <c r="M224" s="112">
        <f>IFERROR(IF(COUNTIFS(S224:AB224,清算项目基本情况表!$D$6)&gt;=1,IF(L224="占地面积法",ROUND(SUM('附表4-项目间分摊信息采集表'!$E$5)/SUMPRODUCT(SUMIFS('附表4-项目间分摊信息采集表'!$E:$E,'附表4-项目间分摊信息采集表'!$B:$B,S224:AB224)),20),IF(L224="测绘总建筑面积法",ROUND(SUM('附表4-项目间分摊信息采集表'!$F$5)/SUMPRODUCT(SUMIFS('附表4-项目间分摊信息采集表'!$F:$F,'附表4-项目间分摊信息采集表'!$B:$B,S224:AB224)),20),IF(L224="可售建筑面积法",ROUND(SUM('附表4-项目间分摊信息采集表'!$G$5)/SUMPRODUCT(SUMIFS('附表4-项目间分摊信息采集表'!$G:$G,'附表4-项目间分摊信息采集表'!$B:$B,S224:AB224)),20),IF(L224="其他分摊方法",ROUND(SUM('附表4-项目间分摊信息采集表'!$H$5)/SUMPRODUCT(SUMIFS('附表4-项目间分摊信息采集表'!$H:$H,'附表4-项目间分摊信息采集表'!$B:$B,S224:AB224)),20),IF(L224="手工填写分摊比例","请填写分摊比例",100%))))),IF(COUNTA(S224:AB224)&gt;=1,0%,100%)),100%)</f>
        <v>1</v>
      </c>
      <c r="N224" s="97">
        <f>SUMIFS('附表7-扣除项目明细采集底稿'!$R:$R,'附表7-扣除项目明细采集底稿'!$G:$G,B224)</f>
        <v>0</v>
      </c>
      <c r="O224" s="90" t="s">
        <v>4651</v>
      </c>
      <c r="P224" s="113">
        <f>SUMIFS('附表7-扣除项目明细采集底稿'!$T:$T,'附表7-扣除项目明细采集底稿'!$G:$G,$B224)</f>
        <v>0</v>
      </c>
      <c r="Q224" s="117">
        <f t="shared" si="7"/>
        <v>0</v>
      </c>
      <c r="R224" s="118"/>
      <c r="S224" s="90"/>
      <c r="T224" s="90"/>
      <c r="U224" s="90"/>
      <c r="V224" s="90"/>
      <c r="W224" s="90"/>
      <c r="X224" s="90"/>
      <c r="Y224" s="90"/>
      <c r="Z224" s="90"/>
      <c r="AA224" s="90"/>
      <c r="AB224" s="90"/>
    </row>
    <row r="225" s="80" customFormat="1" ht="15.05" spans="1:28">
      <c r="A225" s="90">
        <v>211</v>
      </c>
      <c r="B225" s="91" t="s">
        <v>4104</v>
      </c>
      <c r="C225" s="100" t="s">
        <v>4934</v>
      </c>
      <c r="D225" s="93" t="s">
        <v>4655</v>
      </c>
      <c r="E225" s="100" t="s">
        <v>4742</v>
      </c>
      <c r="F225" s="108">
        <v>44525</v>
      </c>
      <c r="G225" s="96">
        <v>998750</v>
      </c>
      <c r="H225" s="97">
        <v>0</v>
      </c>
      <c r="I225" s="96" t="s">
        <v>4650</v>
      </c>
      <c r="J225" s="90" t="s">
        <v>4650</v>
      </c>
      <c r="K225" s="90" t="s">
        <v>15</v>
      </c>
      <c r="L225" s="90" t="s">
        <v>351</v>
      </c>
      <c r="M225" s="112">
        <f>IFERROR(IF(COUNTIFS(S225:AB225,清算项目基本情况表!$D$6)&gt;=1,IF(L225="占地面积法",ROUND(SUM('附表4-项目间分摊信息采集表'!$E$5)/SUMPRODUCT(SUMIFS('附表4-项目间分摊信息采集表'!$E:$E,'附表4-项目间分摊信息采集表'!$B:$B,S225:AB225)),20),IF(L225="测绘总建筑面积法",ROUND(SUM('附表4-项目间分摊信息采集表'!$F$5)/SUMPRODUCT(SUMIFS('附表4-项目间分摊信息采集表'!$F:$F,'附表4-项目间分摊信息采集表'!$B:$B,S225:AB225)),20),IF(L225="可售建筑面积法",ROUND(SUM('附表4-项目间分摊信息采集表'!$G$5)/SUMPRODUCT(SUMIFS('附表4-项目间分摊信息采集表'!$G:$G,'附表4-项目间分摊信息采集表'!$B:$B,S225:AB225)),20),IF(L225="其他分摊方法",ROUND(SUM('附表4-项目间分摊信息采集表'!$H$5)/SUMPRODUCT(SUMIFS('附表4-项目间分摊信息采集表'!$H:$H,'附表4-项目间分摊信息采集表'!$B:$B,S225:AB225)),20),IF(L225="手工填写分摊比例","请填写分摊比例",100%))))),IF(COUNTA(S225:AB225)&gt;=1,0%,100%)),100%)</f>
        <v>0.338555832480367</v>
      </c>
      <c r="N225" s="97">
        <f>SUMIFS('附表7-扣除项目明细采集底稿'!$R:$R,'附表7-扣除项目明细采集底稿'!$G:$G,B225)</f>
        <v>91089.11</v>
      </c>
      <c r="O225" s="90" t="s">
        <v>4651</v>
      </c>
      <c r="P225" s="113">
        <f>SUMIFS('附表7-扣除项目明细采集底稿'!$T:$T,'附表7-扣除项目明细采集底稿'!$G:$G,$B225)</f>
        <v>30838.75</v>
      </c>
      <c r="Q225" s="117">
        <f t="shared" si="7"/>
        <v>60250.36</v>
      </c>
      <c r="R225" s="118"/>
      <c r="S225" s="90" t="s">
        <v>11</v>
      </c>
      <c r="T225" s="90" t="s">
        <v>46</v>
      </c>
      <c r="U225" s="90" t="s">
        <v>371</v>
      </c>
      <c r="V225" s="90"/>
      <c r="W225" s="90"/>
      <c r="X225" s="90"/>
      <c r="Y225" s="90"/>
      <c r="Z225" s="90"/>
      <c r="AA225" s="90"/>
      <c r="AB225" s="90"/>
    </row>
    <row r="226" s="80" customFormat="1" ht="15.05" spans="1:28">
      <c r="A226" s="90">
        <v>212</v>
      </c>
      <c r="B226" s="91" t="s">
        <v>4504</v>
      </c>
      <c r="C226" s="99" t="s">
        <v>4935</v>
      </c>
      <c r="D226" s="93" t="s">
        <v>4655</v>
      </c>
      <c r="E226" s="99" t="s">
        <v>4742</v>
      </c>
      <c r="F226" s="95">
        <v>44730</v>
      </c>
      <c r="G226" s="96">
        <v>13800</v>
      </c>
      <c r="H226" s="97">
        <v>0</v>
      </c>
      <c r="I226" s="96" t="s">
        <v>4650</v>
      </c>
      <c r="J226" s="90" t="s">
        <v>4650</v>
      </c>
      <c r="K226" s="90" t="s">
        <v>15</v>
      </c>
      <c r="L226" s="90" t="s">
        <v>351</v>
      </c>
      <c r="M226" s="112">
        <f>IFERROR(IF(COUNTIFS(S226:AB226,清算项目基本情况表!$D$6)&gt;=1,IF(L226="占地面积法",ROUND(SUM('附表4-项目间分摊信息采集表'!$E$5)/SUMPRODUCT(SUMIFS('附表4-项目间分摊信息采集表'!$E:$E,'附表4-项目间分摊信息采集表'!$B:$B,S226:AB226)),20),IF(L226="测绘总建筑面积法",ROUND(SUM('附表4-项目间分摊信息采集表'!$F$5)/SUMPRODUCT(SUMIFS('附表4-项目间分摊信息采集表'!$F:$F,'附表4-项目间分摊信息采集表'!$B:$B,S226:AB226)),20),IF(L226="可售建筑面积法",ROUND(SUM('附表4-项目间分摊信息采集表'!$G$5)/SUMPRODUCT(SUMIFS('附表4-项目间分摊信息采集表'!$G:$G,'附表4-项目间分摊信息采集表'!$B:$B,S226:AB226)),20),IF(L226="其他分摊方法",ROUND(SUM('附表4-项目间分摊信息采集表'!$H$5)/SUMPRODUCT(SUMIFS('附表4-项目间分摊信息采集表'!$H:$H,'附表4-项目间分摊信息采集表'!$B:$B,S226:AB226)),20),IF(L226="手工填写分摊比例","请填写分摊比例",100%))))),IF(COUNTA(S226:AB226)&gt;=1,0%,100%)),100%)</f>
        <v>0.338555832480367</v>
      </c>
      <c r="N226" s="97">
        <f>SUMIFS('附表7-扣除项目明细采集底稿'!$R:$R,'附表7-扣除项目明细采集底稿'!$G:$G,B226)</f>
        <v>12212.39</v>
      </c>
      <c r="O226" s="90" t="s">
        <v>4651</v>
      </c>
      <c r="P226" s="113">
        <f>SUMIFS('附表7-扣除项目明细采集底稿'!$T:$T,'附表7-扣除项目明细采集底稿'!$G:$G,$B226)</f>
        <v>4134.58</v>
      </c>
      <c r="Q226" s="117">
        <f t="shared" si="7"/>
        <v>8077.81</v>
      </c>
      <c r="R226" s="118"/>
      <c r="S226" s="90" t="s">
        <v>11</v>
      </c>
      <c r="T226" s="90" t="s">
        <v>46</v>
      </c>
      <c r="U226" s="90" t="s">
        <v>371</v>
      </c>
      <c r="V226" s="90"/>
      <c r="W226" s="90"/>
      <c r="X226" s="90"/>
      <c r="Y226" s="90"/>
      <c r="Z226" s="90"/>
      <c r="AA226" s="90"/>
      <c r="AB226" s="90"/>
    </row>
    <row r="227" s="80" customFormat="1" ht="15.05" spans="1:28">
      <c r="A227" s="90">
        <v>215</v>
      </c>
      <c r="B227" s="91" t="s">
        <v>4221</v>
      </c>
      <c r="C227" s="99" t="s">
        <v>4936</v>
      </c>
      <c r="D227" s="93" t="s">
        <v>4655</v>
      </c>
      <c r="E227" s="99" t="s">
        <v>3129</v>
      </c>
      <c r="F227" s="95">
        <v>44585</v>
      </c>
      <c r="G227" s="96">
        <v>77000</v>
      </c>
      <c r="H227" s="97">
        <v>0</v>
      </c>
      <c r="I227" s="96" t="s">
        <v>4650</v>
      </c>
      <c r="J227" s="90" t="s">
        <v>4650</v>
      </c>
      <c r="K227" s="90" t="s">
        <v>15</v>
      </c>
      <c r="L227" s="90" t="s">
        <v>351</v>
      </c>
      <c r="M227" s="112">
        <f>IFERROR(IF(COUNTIFS(S227:AB227,清算项目基本情况表!$D$6)&gt;=1,IF(L227="占地面积法",ROUND(SUM('附表4-项目间分摊信息采集表'!$E$5)/SUMPRODUCT(SUMIFS('附表4-项目间分摊信息采集表'!$E:$E,'附表4-项目间分摊信息采集表'!$B:$B,S227:AB227)),20),IF(L227="测绘总建筑面积法",ROUND(SUM('附表4-项目间分摊信息采集表'!$F$5)/SUMPRODUCT(SUMIFS('附表4-项目间分摊信息采集表'!$F:$F,'附表4-项目间分摊信息采集表'!$B:$B,S227:AB227)),20),IF(L227="可售建筑面积法",ROUND(SUM('附表4-项目间分摊信息采集表'!$G$5)/SUMPRODUCT(SUMIFS('附表4-项目间分摊信息采集表'!$G:$G,'附表4-项目间分摊信息采集表'!$B:$B,S227:AB227)),20),IF(L227="其他分摊方法",ROUND(SUM('附表4-项目间分摊信息采集表'!$H$5)/SUMPRODUCT(SUMIFS('附表4-项目间分摊信息采集表'!$H:$H,'附表4-项目间分摊信息采集表'!$B:$B,S227:AB227)),20),IF(L227="手工填写分摊比例","请填写分摊比例",100%))))),IF(COUNTA(S227:AB227)&gt;=1,0%,100%)),100%)</f>
        <v>0.338555832480367</v>
      </c>
      <c r="N227" s="97">
        <f>SUMIFS('附表7-扣除项目明细采集底稿'!$R:$R,'附表7-扣除项目明细采集底稿'!$G:$G,B227)</f>
        <v>0</v>
      </c>
      <c r="O227" s="90" t="s">
        <v>4651</v>
      </c>
      <c r="P227" s="113">
        <f>SUMIFS('附表7-扣除项目明细采集底稿'!$T:$T,'附表7-扣除项目明细采集底稿'!$G:$G,$B227)</f>
        <v>0</v>
      </c>
      <c r="Q227" s="117">
        <f t="shared" si="7"/>
        <v>0</v>
      </c>
      <c r="R227" s="118"/>
      <c r="S227" s="90" t="s">
        <v>11</v>
      </c>
      <c r="T227" s="90" t="s">
        <v>46</v>
      </c>
      <c r="U227" s="90" t="s">
        <v>371</v>
      </c>
      <c r="V227" s="90"/>
      <c r="W227" s="90"/>
      <c r="X227" s="90"/>
      <c r="Y227" s="90"/>
      <c r="Z227" s="90"/>
      <c r="AA227" s="90"/>
      <c r="AB227" s="90"/>
    </row>
    <row r="228" s="80" customFormat="1" ht="15.05" spans="1:28">
      <c r="A228" s="90">
        <v>216</v>
      </c>
      <c r="B228" s="91" t="s">
        <v>4937</v>
      </c>
      <c r="C228" s="99" t="s">
        <v>4938</v>
      </c>
      <c r="D228" s="93" t="s">
        <v>4655</v>
      </c>
      <c r="E228" s="99" t="s">
        <v>3129</v>
      </c>
      <c r="F228" s="95">
        <v>44572</v>
      </c>
      <c r="G228" s="96">
        <v>15000</v>
      </c>
      <c r="H228" s="97">
        <v>0</v>
      </c>
      <c r="I228" s="96" t="s">
        <v>4650</v>
      </c>
      <c r="J228" s="90" t="s">
        <v>4650</v>
      </c>
      <c r="K228" s="90" t="s">
        <v>15</v>
      </c>
      <c r="L228" s="90" t="s">
        <v>351</v>
      </c>
      <c r="M228" s="112">
        <f>IFERROR(IF(COUNTIFS(S228:AB228,清算项目基本情况表!$D$6)&gt;=1,IF(L228="占地面积法",ROUND(SUM('附表4-项目间分摊信息采集表'!$E$5)/SUMPRODUCT(SUMIFS('附表4-项目间分摊信息采集表'!$E:$E,'附表4-项目间分摊信息采集表'!$B:$B,S228:AB228)),20),IF(L228="测绘总建筑面积法",ROUND(SUM('附表4-项目间分摊信息采集表'!$F$5)/SUMPRODUCT(SUMIFS('附表4-项目间分摊信息采集表'!$F:$F,'附表4-项目间分摊信息采集表'!$B:$B,S228:AB228)),20),IF(L228="可售建筑面积法",ROUND(SUM('附表4-项目间分摊信息采集表'!$G$5)/SUMPRODUCT(SUMIFS('附表4-项目间分摊信息采集表'!$G:$G,'附表4-项目间分摊信息采集表'!$B:$B,S228:AB228)),20),IF(L228="其他分摊方法",ROUND(SUM('附表4-项目间分摊信息采集表'!$H$5)/SUMPRODUCT(SUMIFS('附表4-项目间分摊信息采集表'!$H:$H,'附表4-项目间分摊信息采集表'!$B:$B,S228:AB228)),20),IF(L228="手工填写分摊比例","请填写分摊比例",100%))))),IF(COUNTA(S228:AB228)&gt;=1,0%,100%)),100%)</f>
        <v>0.338555832480367</v>
      </c>
      <c r="N228" s="97">
        <f>SUMIFS('附表7-扣除项目明细采集底稿'!$R:$R,'附表7-扣除项目明细采集底稿'!$G:$G,B228)</f>
        <v>0</v>
      </c>
      <c r="O228" s="90" t="s">
        <v>4651</v>
      </c>
      <c r="P228" s="113">
        <f>SUMIFS('附表7-扣除项目明细采集底稿'!$T:$T,'附表7-扣除项目明细采集底稿'!$G:$G,$B228)</f>
        <v>0</v>
      </c>
      <c r="Q228" s="117">
        <f t="shared" si="7"/>
        <v>0</v>
      </c>
      <c r="R228" s="118"/>
      <c r="S228" s="90" t="s">
        <v>11</v>
      </c>
      <c r="T228" s="90" t="s">
        <v>46</v>
      </c>
      <c r="U228" s="90" t="s">
        <v>371</v>
      </c>
      <c r="V228" s="90"/>
      <c r="W228" s="90"/>
      <c r="X228" s="90"/>
      <c r="Y228" s="90"/>
      <c r="Z228" s="90"/>
      <c r="AA228" s="90"/>
      <c r="AB228" s="90"/>
    </row>
    <row r="229" s="80" customFormat="1" ht="15.05" spans="1:28">
      <c r="A229" s="90">
        <v>218</v>
      </c>
      <c r="B229" s="91" t="s">
        <v>2377</v>
      </c>
      <c r="C229" s="99" t="s">
        <v>4939</v>
      </c>
      <c r="D229" s="93" t="s">
        <v>4675</v>
      </c>
      <c r="E229" s="99" t="s">
        <v>2378</v>
      </c>
      <c r="F229" s="95">
        <v>43338</v>
      </c>
      <c r="G229" s="96">
        <v>50000</v>
      </c>
      <c r="H229" s="97">
        <v>0</v>
      </c>
      <c r="I229" s="96" t="s">
        <v>4650</v>
      </c>
      <c r="J229" s="90" t="s">
        <v>4650</v>
      </c>
      <c r="K229" s="90" t="s">
        <v>15</v>
      </c>
      <c r="L229" s="90" t="s">
        <v>351</v>
      </c>
      <c r="M229" s="112">
        <f>IFERROR(IF(COUNTIFS(S229:AB229,清算项目基本情况表!$D$6)&gt;=1,IF(L229="占地面积法",ROUND(SUM('附表4-项目间分摊信息采集表'!$E$5)/SUMPRODUCT(SUMIFS('附表4-项目间分摊信息采集表'!$E:$E,'附表4-项目间分摊信息采集表'!$B:$B,S229:AB229)),20),IF(L229="测绘总建筑面积法",ROUND(SUM('附表4-项目间分摊信息采集表'!$F$5)/SUMPRODUCT(SUMIFS('附表4-项目间分摊信息采集表'!$F:$F,'附表4-项目间分摊信息采集表'!$B:$B,S229:AB229)),20),IF(L229="可售建筑面积法",ROUND(SUM('附表4-项目间分摊信息采集表'!$G$5)/SUMPRODUCT(SUMIFS('附表4-项目间分摊信息采集表'!$G:$G,'附表4-项目间分摊信息采集表'!$B:$B,S229:AB229)),20),IF(L229="其他分摊方法",ROUND(SUM('附表4-项目间分摊信息采集表'!$H$5)/SUMPRODUCT(SUMIFS('附表4-项目间分摊信息采集表'!$H:$H,'附表4-项目间分摊信息采集表'!$B:$B,S229:AB229)),20),IF(L229="手工填写分摊比例","请填写分摊比例",100%))))),IF(COUNTA(S229:AB229)&gt;=1,0%,100%)),100%)</f>
        <v>0.338555832480367</v>
      </c>
      <c r="N229" s="97">
        <f>SUMIFS('附表7-扣除项目明细采集底稿'!$R:$R,'附表7-扣除项目明细采集底稿'!$G:$G,B229)</f>
        <v>0</v>
      </c>
      <c r="O229" s="90" t="s">
        <v>4651</v>
      </c>
      <c r="P229" s="113">
        <f>SUMIFS('附表7-扣除项目明细采集底稿'!$T:$T,'附表7-扣除项目明细采集底稿'!$G:$G,$B229)</f>
        <v>0</v>
      </c>
      <c r="Q229" s="117">
        <f t="shared" si="7"/>
        <v>0</v>
      </c>
      <c r="R229" s="118"/>
      <c r="S229" s="90" t="s">
        <v>11</v>
      </c>
      <c r="T229" s="90" t="s">
        <v>46</v>
      </c>
      <c r="U229" s="90" t="s">
        <v>371</v>
      </c>
      <c r="V229" s="90"/>
      <c r="W229" s="90"/>
      <c r="X229" s="90"/>
      <c r="Y229" s="90"/>
      <c r="Z229" s="90"/>
      <c r="AA229" s="90"/>
      <c r="AB229" s="90"/>
    </row>
    <row r="230" s="80" customFormat="1" ht="15.05" spans="1:28">
      <c r="A230" s="90">
        <v>222</v>
      </c>
      <c r="B230" s="91" t="s">
        <v>3224</v>
      </c>
      <c r="C230" s="99" t="s">
        <v>4940</v>
      </c>
      <c r="D230" s="93" t="s">
        <v>4675</v>
      </c>
      <c r="E230" s="94" t="s">
        <v>3225</v>
      </c>
      <c r="F230" s="95">
        <v>44117</v>
      </c>
      <c r="G230" s="96">
        <v>11432</v>
      </c>
      <c r="H230" s="97">
        <v>0</v>
      </c>
      <c r="I230" s="96" t="s">
        <v>4650</v>
      </c>
      <c r="J230" s="90" t="s">
        <v>4650</v>
      </c>
      <c r="K230" s="90" t="s">
        <v>4650</v>
      </c>
      <c r="L230" s="90"/>
      <c r="M230" s="112">
        <f>IFERROR(IF(COUNTIFS(S230:AB230,清算项目基本情况表!$D$6)&gt;=1,IF(L230="占地面积法",ROUND(SUM('附表4-项目间分摊信息采集表'!$E$5)/SUMPRODUCT(SUMIFS('附表4-项目间分摊信息采集表'!$E:$E,'附表4-项目间分摊信息采集表'!$B:$B,S230:AB230)),20),IF(L230="测绘总建筑面积法",ROUND(SUM('附表4-项目间分摊信息采集表'!$F$5)/SUMPRODUCT(SUMIFS('附表4-项目间分摊信息采集表'!$F:$F,'附表4-项目间分摊信息采集表'!$B:$B,S230:AB230)),20),IF(L230="可售建筑面积法",ROUND(SUM('附表4-项目间分摊信息采集表'!$G$5)/SUMPRODUCT(SUMIFS('附表4-项目间分摊信息采集表'!$G:$G,'附表4-项目间分摊信息采集表'!$B:$B,S230:AB230)),20),IF(L230="其他分摊方法",ROUND(SUM('附表4-项目间分摊信息采集表'!$H$5)/SUMPRODUCT(SUMIFS('附表4-项目间分摊信息采集表'!$H:$H,'附表4-项目间分摊信息采集表'!$B:$B,S230:AB230)),20),IF(L230="手工填写分摊比例","请填写分摊比例",100%))))),IF(COUNTA(S230:AB230)&gt;=1,0%,100%)),100%)</f>
        <v>1</v>
      </c>
      <c r="N230" s="97">
        <f>SUMIFS('附表7-扣除项目明细采集底稿'!$R:$R,'附表7-扣除项目明细采集底稿'!$G:$G,B230)</f>
        <v>11318.81</v>
      </c>
      <c r="O230" s="90" t="s">
        <v>4651</v>
      </c>
      <c r="P230" s="113">
        <f>SUMIFS('附表7-扣除项目明细采集底稿'!$T:$T,'附表7-扣除项目明细采集底稿'!$G:$G,$B230)</f>
        <v>11318.81</v>
      </c>
      <c r="Q230" s="117"/>
      <c r="R230" s="118"/>
      <c r="S230" s="90"/>
      <c r="T230" s="90"/>
      <c r="U230" s="90"/>
      <c r="V230" s="90"/>
      <c r="W230" s="90"/>
      <c r="X230" s="90"/>
      <c r="Y230" s="90"/>
      <c r="Z230" s="90"/>
      <c r="AA230" s="90"/>
      <c r="AB230" s="90"/>
    </row>
    <row r="231" s="80" customFormat="1" ht="15.05" spans="1:28">
      <c r="A231" s="90">
        <v>223</v>
      </c>
      <c r="B231" s="91" t="s">
        <v>3435</v>
      </c>
      <c r="C231" s="99" t="s">
        <v>4940</v>
      </c>
      <c r="D231" s="93" t="s">
        <v>4675</v>
      </c>
      <c r="E231" s="94" t="s">
        <v>3225</v>
      </c>
      <c r="F231" s="95">
        <v>44117</v>
      </c>
      <c r="G231" s="96">
        <v>18846</v>
      </c>
      <c r="H231" s="97">
        <v>0</v>
      </c>
      <c r="I231" s="96" t="s">
        <v>4650</v>
      </c>
      <c r="J231" s="90" t="s">
        <v>4650</v>
      </c>
      <c r="K231" s="90" t="s">
        <v>4650</v>
      </c>
      <c r="L231" s="90"/>
      <c r="M231" s="112">
        <f>IFERROR(IF(COUNTIFS(S231:AB231,清算项目基本情况表!$D$6)&gt;=1,IF(L231="占地面积法",ROUND(SUM('附表4-项目间分摊信息采集表'!$E$5)/SUMPRODUCT(SUMIFS('附表4-项目间分摊信息采集表'!$E:$E,'附表4-项目间分摊信息采集表'!$B:$B,S231:AB231)),20),IF(L231="测绘总建筑面积法",ROUND(SUM('附表4-项目间分摊信息采集表'!$F$5)/SUMPRODUCT(SUMIFS('附表4-项目间分摊信息采集表'!$F:$F,'附表4-项目间分摊信息采集表'!$B:$B,S231:AB231)),20),IF(L231="可售建筑面积法",ROUND(SUM('附表4-项目间分摊信息采集表'!$G$5)/SUMPRODUCT(SUMIFS('附表4-项目间分摊信息采集表'!$G:$G,'附表4-项目间分摊信息采集表'!$B:$B,S231:AB231)),20),IF(L231="其他分摊方法",ROUND(SUM('附表4-项目间分摊信息采集表'!$H$5)/SUMPRODUCT(SUMIFS('附表4-项目间分摊信息采集表'!$H:$H,'附表4-项目间分摊信息采集表'!$B:$B,S231:AB231)),20),IF(L231="手工填写分摊比例","请填写分摊比例",100%))))),IF(COUNTA(S231:AB231)&gt;=1,0%,100%)),100%)</f>
        <v>1</v>
      </c>
      <c r="N231" s="97">
        <f>SUMIFS('附表7-扣除项目明细采集底稿'!$R:$R,'附表7-扣除项目明细采集底稿'!$G:$G,B231)</f>
        <v>18659.41</v>
      </c>
      <c r="O231" s="90" t="s">
        <v>4651</v>
      </c>
      <c r="P231" s="113">
        <f>SUMIFS('附表7-扣除项目明细采集底稿'!$T:$T,'附表7-扣除项目明细采集底稿'!$G:$G,$B231)</f>
        <v>18659.41</v>
      </c>
      <c r="Q231" s="117"/>
      <c r="R231" s="118"/>
      <c r="S231" s="90"/>
      <c r="T231" s="90"/>
      <c r="U231" s="90"/>
      <c r="V231" s="90"/>
      <c r="W231" s="90"/>
      <c r="X231" s="90"/>
      <c r="Y231" s="90"/>
      <c r="Z231" s="90"/>
      <c r="AA231" s="90"/>
      <c r="AB231" s="90"/>
    </row>
    <row r="232" s="80" customFormat="1" ht="15.05" spans="1:28">
      <c r="A232" s="90">
        <v>224</v>
      </c>
      <c r="B232" s="91" t="s">
        <v>4478</v>
      </c>
      <c r="C232" s="99" t="s">
        <v>4941</v>
      </c>
      <c r="D232" s="93" t="s">
        <v>4675</v>
      </c>
      <c r="E232" s="94" t="s">
        <v>3225</v>
      </c>
      <c r="F232" s="95">
        <v>44117</v>
      </c>
      <c r="G232" s="96">
        <v>33500</v>
      </c>
      <c r="H232" s="97">
        <v>0</v>
      </c>
      <c r="I232" s="96" t="s">
        <v>4650</v>
      </c>
      <c r="J232" s="90" t="s">
        <v>4650</v>
      </c>
      <c r="K232" s="90" t="s">
        <v>4650</v>
      </c>
      <c r="L232" s="90"/>
      <c r="M232" s="112">
        <f>IFERROR(IF(COUNTIFS(S232:AB232,清算项目基本情况表!$D$6)&gt;=1,IF(L232="占地面积法",ROUND(SUM('附表4-项目间分摊信息采集表'!$E$5)/SUMPRODUCT(SUMIFS('附表4-项目间分摊信息采集表'!$E:$E,'附表4-项目间分摊信息采集表'!$B:$B,S232:AB232)),20),IF(L232="测绘总建筑面积法",ROUND(SUM('附表4-项目间分摊信息采集表'!$F$5)/SUMPRODUCT(SUMIFS('附表4-项目间分摊信息采集表'!$F:$F,'附表4-项目间分摊信息采集表'!$B:$B,S232:AB232)),20),IF(L232="可售建筑面积法",ROUND(SUM('附表4-项目间分摊信息采集表'!$G$5)/SUMPRODUCT(SUMIFS('附表4-项目间分摊信息采集表'!$G:$G,'附表4-项目间分摊信息采集表'!$B:$B,S232:AB232)),20),IF(L232="其他分摊方法",ROUND(SUM('附表4-项目间分摊信息采集表'!$H$5)/SUMPRODUCT(SUMIFS('附表4-项目间分摊信息采集表'!$H:$H,'附表4-项目间分摊信息采集表'!$B:$B,S232:AB232)),20),IF(L232="手工填写分摊比例","请填写分摊比例",100%))))),IF(COUNTA(S232:AB232)&gt;=1,0%,100%)),100%)</f>
        <v>1</v>
      </c>
      <c r="N232" s="97">
        <f>SUMIFS('附表7-扣除项目明细采集底稿'!$R:$R,'附表7-扣除项目明细采集底稿'!$G:$G,B232)</f>
        <v>8570.5050617421</v>
      </c>
      <c r="O232" s="90" t="s">
        <v>4651</v>
      </c>
      <c r="P232" s="113">
        <f>SUMIFS('附表7-扣除项目明细采集底稿'!$T:$T,'附表7-扣除项目明细采集底稿'!$G:$G,$B232)</f>
        <v>8570.51</v>
      </c>
      <c r="Q232" s="117"/>
      <c r="R232" s="118"/>
      <c r="S232" s="90"/>
      <c r="T232" s="90"/>
      <c r="U232" s="90"/>
      <c r="V232" s="90"/>
      <c r="W232" s="90"/>
      <c r="X232" s="90"/>
      <c r="Y232" s="90"/>
      <c r="Z232" s="90"/>
      <c r="AA232" s="90"/>
      <c r="AB232" s="90"/>
    </row>
    <row r="233" s="80" customFormat="1" ht="15.05" spans="1:28">
      <c r="A233" s="90">
        <v>226</v>
      </c>
      <c r="B233" s="91" t="s">
        <v>4557</v>
      </c>
      <c r="C233" s="99" t="s">
        <v>4942</v>
      </c>
      <c r="D233" s="93" t="s">
        <v>4659</v>
      </c>
      <c r="E233" s="99" t="s">
        <v>3495</v>
      </c>
      <c r="F233" s="95">
        <v>45356</v>
      </c>
      <c r="G233" s="96">
        <v>44660</v>
      </c>
      <c r="H233" s="97">
        <v>0</v>
      </c>
      <c r="I233" s="96" t="s">
        <v>4650</v>
      </c>
      <c r="J233" s="90" t="s">
        <v>4650</v>
      </c>
      <c r="K233" s="90" t="s">
        <v>15</v>
      </c>
      <c r="L233" s="90" t="s">
        <v>351</v>
      </c>
      <c r="M233" s="112">
        <f>IFERROR(IF(COUNTIFS(S233:AB233,清算项目基本情况表!$D$6)&gt;=1,IF(L233="占地面积法",ROUND(SUM('附表4-项目间分摊信息采集表'!$E$5)/SUMPRODUCT(SUMIFS('附表4-项目间分摊信息采集表'!$E:$E,'附表4-项目间分摊信息采集表'!$B:$B,S233:AB233)),20),IF(L233="测绘总建筑面积法",ROUND(SUM('附表4-项目间分摊信息采集表'!$F$5)/SUMPRODUCT(SUMIFS('附表4-项目间分摊信息采集表'!$F:$F,'附表4-项目间分摊信息采集表'!$B:$B,S233:AB233)),20),IF(L233="可售建筑面积法",ROUND(SUM('附表4-项目间分摊信息采集表'!$G$5)/SUMPRODUCT(SUMIFS('附表4-项目间分摊信息采集表'!$G:$G,'附表4-项目间分摊信息采集表'!$B:$B,S233:AB233)),20),IF(L233="其他分摊方法",ROUND(SUM('附表4-项目间分摊信息采集表'!$H$5)/SUMPRODUCT(SUMIFS('附表4-项目间分摊信息采集表'!$H:$H,'附表4-项目间分摊信息采集表'!$B:$B,S233:AB233)),20),IF(L233="手工填写分摊比例","请填写分摊比例",100%))))),IF(COUNTA(S233:AB233)&gt;=1,0%,100%)),100%)</f>
        <v>0.338555832480367</v>
      </c>
      <c r="N233" s="97">
        <f>SUMIFS('附表7-扣除项目明细采集底稿'!$R:$R,'附表7-扣除项目明细采集底稿'!$G:$G,B233)</f>
        <v>0</v>
      </c>
      <c r="O233" s="90" t="s">
        <v>4651</v>
      </c>
      <c r="P233" s="113">
        <f>SUMIFS('附表7-扣除项目明细采集底稿'!$T:$T,'附表7-扣除项目明细采集底稿'!$G:$G,$B233)</f>
        <v>0</v>
      </c>
      <c r="Q233" s="117"/>
      <c r="R233" s="118"/>
      <c r="S233" s="90" t="s">
        <v>11</v>
      </c>
      <c r="T233" s="90" t="s">
        <v>46</v>
      </c>
      <c r="U233" s="90" t="s">
        <v>371</v>
      </c>
      <c r="V233" s="90"/>
      <c r="W233" s="90"/>
      <c r="X233" s="90"/>
      <c r="Y233" s="90"/>
      <c r="Z233" s="90"/>
      <c r="AA233" s="90"/>
      <c r="AB233" s="90"/>
    </row>
    <row r="234" s="80" customFormat="1" ht="30.05" spans="1:28">
      <c r="A234" s="90">
        <v>228</v>
      </c>
      <c r="B234" s="91" t="s">
        <v>2315</v>
      </c>
      <c r="C234" s="99" t="s">
        <v>4943</v>
      </c>
      <c r="D234" s="93" t="s">
        <v>4944</v>
      </c>
      <c r="E234" s="99" t="s">
        <v>4943</v>
      </c>
      <c r="F234" s="95">
        <v>41703</v>
      </c>
      <c r="G234" s="96">
        <v>6200000</v>
      </c>
      <c r="H234" s="97">
        <v>4078800</v>
      </c>
      <c r="I234" s="96" t="s">
        <v>4650</v>
      </c>
      <c r="J234" s="90" t="s">
        <v>4650</v>
      </c>
      <c r="K234" s="90" t="s">
        <v>15</v>
      </c>
      <c r="L234" s="90" t="s">
        <v>351</v>
      </c>
      <c r="M234" s="112">
        <f t="array" ref="M234">IFERROR(IF(COUNTIFS(S234:AB234,清算项目基本情况表!$D$6)&gt;=1,IF(L234="占地面积法",ROUND(SUM('附表4-项目间分摊信息采集表'!$E$5)/SUMPRODUCT(SUMIFS('附表4-项目间分摊信息采集表'!$E:$E,'附表4-项目间分摊信息采集表'!$B:$B,S234:AB234)),20),IF(L234="测绘总建筑面积法",ROUND(SUM('附表4-项目间分摊信息采集表'!$F$5)/SUMPRODUCT(SUMIFS('附表4-项目间分摊信息采集表'!$F:$F,'附表4-项目间分摊信息采集表'!$B:$B,S234:AB234)),20),IF(L234="可售建筑面积法",ROUND(SUM('附表4-项目间分摊信息采集表'!$G$5)/SUMPRODUCT(SUMIFS('附表4-项目间分摊信息采集表'!$G:$G,'附表4-项目间分摊信息采集表'!$B:$B,S234:AB234)),20),IF(L234="其他分摊方法",ROUND(SUM('附表4-项目间分摊信息采集表'!$H$5)/SUMPRODUCT(SUMIFS('附表4-项目间分摊信息采集表'!$H:$H,'附表4-项目间分摊信息采集表'!$B:$B,S234:AB234)),20),IF(L234="手工填写分摊比例","请填写分摊比例",100%))))),IF(COUNTA(S234:AB234)&gt;=1,0%,100%)),100%)</f>
        <v>0.338555832480367</v>
      </c>
      <c r="N234" s="97">
        <f>SUMIFS('附表7-扣除项目明细采集底稿'!$R:$R,'附表7-扣除项目明细采集底稿'!$G:$G,B234)</f>
        <v>4078800</v>
      </c>
      <c r="O234" s="90" t="s">
        <v>4651</v>
      </c>
      <c r="P234" s="113">
        <f>SUMIFS('附表7-扣除项目明细采集底稿'!$T:$T,'附表7-扣除项目明细采集底稿'!$G:$G,$B234)</f>
        <v>1380901.53</v>
      </c>
      <c r="Q234" s="117">
        <f>ROUND(SUM(N234)-SUM(O234)-SUM(P234),2)</f>
        <v>2697898.47</v>
      </c>
      <c r="R234" s="118"/>
      <c r="S234" s="90" t="s">
        <v>11</v>
      </c>
      <c r="T234" s="90" t="s">
        <v>46</v>
      </c>
      <c r="U234" s="90" t="s">
        <v>371</v>
      </c>
      <c r="V234" s="90"/>
      <c r="W234" s="90"/>
      <c r="X234" s="90"/>
      <c r="Y234" s="90"/>
      <c r="Z234" s="90"/>
      <c r="AA234" s="90"/>
      <c r="AB234" s="90"/>
    </row>
    <row r="235" s="80" customFormat="1" ht="30.05" spans="1:28">
      <c r="A235" s="90">
        <v>230</v>
      </c>
      <c r="B235" s="91" t="s">
        <v>4545</v>
      </c>
      <c r="C235" s="99" t="s">
        <v>4945</v>
      </c>
      <c r="D235" s="93" t="s">
        <v>4648</v>
      </c>
      <c r="E235" s="94" t="s">
        <v>4657</v>
      </c>
      <c r="F235" s="95">
        <v>44900</v>
      </c>
      <c r="G235" s="96">
        <v>23072.67</v>
      </c>
      <c r="H235" s="97">
        <v>22844.23</v>
      </c>
      <c r="I235" s="96" t="s">
        <v>4650</v>
      </c>
      <c r="J235" s="90" t="s">
        <v>4650</v>
      </c>
      <c r="K235" s="90" t="s">
        <v>4650</v>
      </c>
      <c r="L235" s="90"/>
      <c r="M235" s="112">
        <f>IFERROR(IF(COUNTIFS(S235:AB235,清算项目基本情况表!$D$6)&gt;=1,IF(L235="占地面积法",ROUND(SUM('附表4-项目间分摊信息采集表'!$E$5)/SUMPRODUCT(SUMIFS('附表4-项目间分摊信息采集表'!$E:$E,'附表4-项目间分摊信息采集表'!$B:$B,S235:AB235)),20),IF(L235="测绘总建筑面积法",ROUND(SUM('附表4-项目间分摊信息采集表'!$F$5)/SUMPRODUCT(SUMIFS('附表4-项目间分摊信息采集表'!$F:$F,'附表4-项目间分摊信息采集表'!$B:$B,S235:AB235)),20),IF(L235="可售建筑面积法",ROUND(SUM('附表4-项目间分摊信息采集表'!$G$5)/SUMPRODUCT(SUMIFS('附表4-项目间分摊信息采集表'!$G:$G,'附表4-项目间分摊信息采集表'!$B:$B,S235:AB235)),20),IF(L235="其他分摊方法",ROUND(SUM('附表4-项目间分摊信息采集表'!$H$5)/SUMPRODUCT(SUMIFS('附表4-项目间分摊信息采集表'!$H:$H,'附表4-项目间分摊信息采集表'!$B:$B,S235:AB235)),20),IF(L235="手工填写分摊比例","请填写分摊比例",100%))))),IF(COUNTA(S235:AB235)&gt;=1,0%,100%)),100%)</f>
        <v>1</v>
      </c>
      <c r="N235" s="97">
        <f>SUMIFS('附表7-扣除项目明细采集底稿'!$R:$R,'附表7-扣除项目明细采集底稿'!$G:$G,B235)</f>
        <v>22158.9</v>
      </c>
      <c r="O235" s="90" t="s">
        <v>4651</v>
      </c>
      <c r="P235" s="113">
        <f>SUMIFS('附表7-扣除项目明细采集底稿'!$T:$T,'附表7-扣除项目明细采集底稿'!$G:$G,$B235)</f>
        <v>22158.9</v>
      </c>
      <c r="Q235" s="117"/>
      <c r="R235" s="118"/>
      <c r="S235" s="90"/>
      <c r="T235" s="90"/>
      <c r="U235" s="90"/>
      <c r="V235" s="90"/>
      <c r="W235" s="90"/>
      <c r="X235" s="90"/>
      <c r="Y235" s="90"/>
      <c r="Z235" s="90"/>
      <c r="AA235" s="90"/>
      <c r="AB235" s="90"/>
    </row>
    <row r="236" ht="30.05" spans="1:28">
      <c r="A236" s="90">
        <v>231</v>
      </c>
      <c r="B236" s="91" t="s">
        <v>4550</v>
      </c>
      <c r="C236" s="100" t="s">
        <v>4946</v>
      </c>
      <c r="D236" s="93" t="s">
        <v>4648</v>
      </c>
      <c r="E236" s="94" t="s">
        <v>4045</v>
      </c>
      <c r="F236" s="95">
        <v>45089</v>
      </c>
      <c r="G236" s="96">
        <v>110000</v>
      </c>
      <c r="H236" s="97">
        <v>108910.89</v>
      </c>
      <c r="I236" s="96" t="s">
        <v>4650</v>
      </c>
      <c r="J236" s="90" t="s">
        <v>4650</v>
      </c>
      <c r="K236" s="90" t="s">
        <v>4650</v>
      </c>
      <c r="L236" s="90"/>
      <c r="M236" s="112">
        <f>IFERROR(IF(COUNTIFS(S236:AB236,清算项目基本情况表!$D$6)&gt;=1,IF(L236="占地面积法",ROUND(SUM('附表4-项目间分摊信息采集表'!$E$5)/SUMPRODUCT(SUMIFS('附表4-项目间分摊信息采集表'!$E:$E,'附表4-项目间分摊信息采集表'!$B:$B,S236:AB236)),20),IF(L236="测绘总建筑面积法",ROUND(SUM('附表4-项目间分摊信息采集表'!$F$5)/SUMPRODUCT(SUMIFS('附表4-项目间分摊信息采集表'!$F:$F,'附表4-项目间分摊信息采集表'!$B:$B,S236:AB236)),20),IF(L236="可售建筑面积法",ROUND(SUM('附表4-项目间分摊信息采集表'!$G$5)/SUMPRODUCT(SUMIFS('附表4-项目间分摊信息采集表'!$G:$G,'附表4-项目间分摊信息采集表'!$B:$B,S236:AB236)),20),IF(L236="其他分摊方法",ROUND(SUM('附表4-项目间分摊信息采集表'!$H$5)/SUMPRODUCT(SUMIFS('附表4-项目间分摊信息采集表'!$H:$H,'附表4-项目间分摊信息采集表'!$B:$B,S236:AB236)),20),IF(L236="手工填写分摊比例","请填写分摊比例",100%))))),IF(COUNTA(S236:AB236)&gt;=1,0%,100%)),100%)</f>
        <v>1</v>
      </c>
      <c r="N236" s="97">
        <f>SUMIFS('附表7-扣除项目明细采集底稿'!$R:$R,'附表7-扣除项目明细采集底稿'!$G:$G,B236)</f>
        <v>87128.72</v>
      </c>
      <c r="O236" s="90" t="s">
        <v>4651</v>
      </c>
      <c r="P236" s="113">
        <f>SUMIFS('附表7-扣除项目明细采集底稿'!$T:$T,'附表7-扣除项目明细采集底稿'!$G:$G,$B236)</f>
        <v>87128.72</v>
      </c>
      <c r="Q236" s="117"/>
      <c r="R236" s="118"/>
      <c r="S236" s="90"/>
      <c r="T236" s="90"/>
      <c r="U236" s="90"/>
      <c r="V236" s="90"/>
      <c r="W236" s="90"/>
      <c r="X236" s="90"/>
      <c r="Y236" s="90"/>
      <c r="Z236" s="90"/>
      <c r="AA236" s="90"/>
      <c r="AB236" s="90"/>
    </row>
    <row r="237" spans="2:2">
      <c r="B237" s="127" t="s">
        <v>3113</v>
      </c>
    </row>
    <row r="238" spans="2:2">
      <c r="B238" s="127" t="s">
        <v>3310</v>
      </c>
    </row>
    <row r="239" spans="2:2">
      <c r="B239" s="127" t="s">
        <v>3113</v>
      </c>
    </row>
    <row r="240" spans="2:2">
      <c r="B240" s="127" t="s">
        <v>3724</v>
      </c>
    </row>
    <row r="241" spans="2:2">
      <c r="B241" s="127" t="s">
        <v>4162</v>
      </c>
    </row>
    <row r="242" spans="2:2">
      <c r="B242" s="127" t="s">
        <v>3724</v>
      </c>
    </row>
    <row r="243" spans="2:2">
      <c r="B243" s="127" t="s">
        <v>4162</v>
      </c>
    </row>
    <row r="244" spans="2:2">
      <c r="B244" s="127" t="s">
        <v>4162</v>
      </c>
    </row>
    <row r="245" spans="2:2">
      <c r="B245" s="127" t="s">
        <v>4162</v>
      </c>
    </row>
    <row r="246" spans="2:2">
      <c r="B246" s="127" t="s">
        <v>4162</v>
      </c>
    </row>
    <row r="247" spans="2:2">
      <c r="B247" s="127" t="s">
        <v>4231</v>
      </c>
    </row>
    <row r="248" spans="2:2">
      <c r="B248" s="127" t="s">
        <v>4162</v>
      </c>
    </row>
    <row r="249" spans="2:2">
      <c r="B249" s="127" t="s">
        <v>4231</v>
      </c>
    </row>
    <row r="250" spans="2:2">
      <c r="B250" s="127" t="s">
        <v>4231</v>
      </c>
    </row>
    <row r="251" spans="2:2">
      <c r="B251" s="127" t="s">
        <v>4322</v>
      </c>
    </row>
    <row r="252" spans="2:2">
      <c r="B252" s="127" t="s">
        <v>3724</v>
      </c>
    </row>
    <row r="253" spans="2:2">
      <c r="B253" s="127" t="s">
        <v>4337</v>
      </c>
    </row>
    <row r="254" spans="2:2">
      <c r="B254" s="127" t="s">
        <v>4342</v>
      </c>
    </row>
    <row r="255" spans="2:2">
      <c r="B255" s="127" t="s">
        <v>3724</v>
      </c>
    </row>
    <row r="256" spans="2:2">
      <c r="B256" s="127" t="s">
        <v>3724</v>
      </c>
    </row>
    <row r="257" spans="2:2">
      <c r="B257" s="127" t="s">
        <v>3113</v>
      </c>
    </row>
    <row r="258" spans="2:2">
      <c r="B258" s="127" t="s">
        <v>4337</v>
      </c>
    </row>
    <row r="259" spans="2:2">
      <c r="B259" s="127" t="s">
        <v>3724</v>
      </c>
    </row>
    <row r="260" spans="2:2">
      <c r="B260" s="127" t="s">
        <v>3724</v>
      </c>
    </row>
    <row r="261" spans="2:2">
      <c r="B261" s="127" t="s">
        <v>4379</v>
      </c>
    </row>
    <row r="262" spans="2:2">
      <c r="B262" s="127" t="s">
        <v>3113</v>
      </c>
    </row>
    <row r="263" spans="2:2">
      <c r="B263" s="127" t="s">
        <v>4414</v>
      </c>
    </row>
    <row r="264" spans="2:2">
      <c r="B264" s="127" t="s">
        <v>4342</v>
      </c>
    </row>
    <row r="265" ht="23.8" spans="2:2">
      <c r="B265" s="127" t="s">
        <v>4947</v>
      </c>
    </row>
    <row r="266" spans="2:2">
      <c r="B266" s="127" t="s">
        <v>4948</v>
      </c>
    </row>
    <row r="267" spans="2:2">
      <c r="B267" s="127" t="s">
        <v>4949</v>
      </c>
    </row>
    <row r="268" spans="2:2">
      <c r="B268" s="127" t="s">
        <v>4478</v>
      </c>
    </row>
    <row r="269" spans="2:2">
      <c r="B269" s="127" t="s">
        <v>4950</v>
      </c>
    </row>
    <row r="270" spans="2:2">
      <c r="B270" s="127" t="s">
        <v>4951</v>
      </c>
    </row>
    <row r="271" spans="2:2">
      <c r="B271" s="127" t="s">
        <v>4289</v>
      </c>
    </row>
    <row r="272" spans="2:2">
      <c r="B272" s="127" t="s">
        <v>4949</v>
      </c>
    </row>
    <row r="273" spans="2:2">
      <c r="B273" s="127" t="s">
        <v>4949</v>
      </c>
    </row>
    <row r="274" spans="2:2">
      <c r="B274" s="127" t="s">
        <v>4952</v>
      </c>
    </row>
    <row r="275" spans="2:2">
      <c r="B275" s="127" t="s">
        <v>4289</v>
      </c>
    </row>
  </sheetData>
  <mergeCells count="15">
    <mergeCell ref="A1:AB1"/>
    <mergeCell ref="A2:AB2"/>
    <mergeCell ref="L3:AB3"/>
    <mergeCell ref="S4:AB4"/>
    <mergeCell ref="A3:A5"/>
    <mergeCell ref="B3:B4"/>
    <mergeCell ref="C3:C4"/>
    <mergeCell ref="D3:D4"/>
    <mergeCell ref="E3:E4"/>
    <mergeCell ref="F3:F4"/>
    <mergeCell ref="G3:G4"/>
    <mergeCell ref="H3:H4"/>
    <mergeCell ref="I3:I4"/>
    <mergeCell ref="J3:J4"/>
    <mergeCell ref="K3:K4"/>
  </mergeCells>
  <conditionalFormatting sqref="M9">
    <cfRule type="expression" dxfId="1" priority="353">
      <formula>OR($K9="否",$K9="")</formula>
    </cfRule>
  </conditionalFormatting>
  <conditionalFormatting sqref="L14">
    <cfRule type="expression" dxfId="1" priority="125">
      <formula>OR($K14="否",$K14="")</formula>
    </cfRule>
  </conditionalFormatting>
  <conditionalFormatting sqref="M14">
    <cfRule type="expression" dxfId="1" priority="124">
      <formula>OR($K14="否",$K14="")</formula>
    </cfRule>
  </conditionalFormatting>
  <conditionalFormatting sqref="S14">
    <cfRule type="expression" dxfId="1" priority="421">
      <formula>OR($K14="否",$K14="")</formula>
    </cfRule>
  </conditionalFormatting>
  <conditionalFormatting sqref="T14">
    <cfRule type="expression" dxfId="1" priority="399">
      <formula>OR($K14="否",$K14="")</formula>
    </cfRule>
  </conditionalFormatting>
  <conditionalFormatting sqref="U14">
    <cfRule type="expression" dxfId="1" priority="377">
      <formula>OR($K14="否",$K14="")</formula>
    </cfRule>
  </conditionalFormatting>
  <conditionalFormatting sqref="L16">
    <cfRule type="expression" dxfId="1" priority="123">
      <formula>OR($K16="否",$K16="")</formula>
    </cfRule>
  </conditionalFormatting>
  <conditionalFormatting sqref="M16">
    <cfRule type="expression" dxfId="1" priority="122">
      <formula>OR($K16="否",$K16="")</formula>
    </cfRule>
  </conditionalFormatting>
  <conditionalFormatting sqref="S16">
    <cfRule type="expression" dxfId="1" priority="420">
      <formula>OR($K16="否",$K16="")</formula>
    </cfRule>
  </conditionalFormatting>
  <conditionalFormatting sqref="T16">
    <cfRule type="expression" dxfId="1" priority="398">
      <formula>OR($K16="否",$K16="")</formula>
    </cfRule>
  </conditionalFormatting>
  <conditionalFormatting sqref="U16">
    <cfRule type="expression" dxfId="1" priority="376">
      <formula>OR($K16="否",$K16="")</formula>
    </cfRule>
  </conditionalFormatting>
  <conditionalFormatting sqref="L17:AB17">
    <cfRule type="expression" dxfId="1" priority="822">
      <formula>OR($K17="否",$K17="")</formula>
    </cfRule>
  </conditionalFormatting>
  <conditionalFormatting sqref="L18:AB18">
    <cfRule type="expression" dxfId="1" priority="821">
      <formula>OR($K18="否",$K18="")</formula>
    </cfRule>
  </conditionalFormatting>
  <conditionalFormatting sqref="L19:AB19">
    <cfRule type="expression" dxfId="1" priority="820">
      <formula>OR($K19="否",$K19="")</formula>
    </cfRule>
  </conditionalFormatting>
  <conditionalFormatting sqref="L20:AB20">
    <cfRule type="expression" dxfId="1" priority="819">
      <formula>OR($K20="否",$K20="")</formula>
    </cfRule>
  </conditionalFormatting>
  <conditionalFormatting sqref="L21">
    <cfRule type="expression" dxfId="1" priority="121">
      <formula>OR($K21="否",$K21="")</formula>
    </cfRule>
  </conditionalFormatting>
  <conditionalFormatting sqref="M21">
    <cfRule type="expression" dxfId="1" priority="120">
      <formula>OR($K21="否",$K21="")</formula>
    </cfRule>
  </conditionalFormatting>
  <conditionalFormatting sqref="Q21">
    <cfRule type="expression" dxfId="1" priority="330">
      <formula>OR($K21="否",$K21="")</formula>
    </cfRule>
  </conditionalFormatting>
  <conditionalFormatting sqref="M22">
    <cfRule type="expression" dxfId="1" priority="584">
      <formula>OR($K22="否",$K22="")</formula>
    </cfRule>
  </conditionalFormatting>
  <conditionalFormatting sqref="M23">
    <cfRule type="expression" dxfId="1" priority="252">
      <formula>OR($K23="否",$K23="")</formula>
    </cfRule>
  </conditionalFormatting>
  <conditionalFormatting sqref="L24:AB24">
    <cfRule type="expression" dxfId="1" priority="815">
      <formula>OR($K24="否",$K24="")</formula>
    </cfRule>
  </conditionalFormatting>
  <conditionalFormatting sqref="L27:AB27">
    <cfRule type="expression" dxfId="1" priority="811">
      <formula>OR($K27="否",$K27="")</formula>
    </cfRule>
  </conditionalFormatting>
  <conditionalFormatting sqref="M28">
    <cfRule type="expression" dxfId="1" priority="605">
      <formula>OR($K28="否",$K28="")</formula>
    </cfRule>
  </conditionalFormatting>
  <conditionalFormatting sqref="L29:AB29">
    <cfRule type="expression" dxfId="1" priority="809">
      <formula>OR($K29="否",$K29="")</formula>
    </cfRule>
  </conditionalFormatting>
  <conditionalFormatting sqref="L30:AB30">
    <cfRule type="expression" dxfId="1" priority="808">
      <formula>OR($K30="否",$K30="")</formula>
    </cfRule>
  </conditionalFormatting>
  <conditionalFormatting sqref="L31:AB31">
    <cfRule type="expression" dxfId="1" priority="807">
      <formula>OR($K31="否",$K31="")</formula>
    </cfRule>
  </conditionalFormatting>
  <conditionalFormatting sqref="L32">
    <cfRule type="expression" dxfId="1" priority="119">
      <formula>OR($K32="否",$K32="")</formula>
    </cfRule>
  </conditionalFormatting>
  <conditionalFormatting sqref="M32">
    <cfRule type="expression" dxfId="1" priority="118">
      <formula>OR($K32="否",$K32="")</formula>
    </cfRule>
  </conditionalFormatting>
  <conditionalFormatting sqref="S32">
    <cfRule type="expression" dxfId="1" priority="419">
      <formula>OR($K32="否",$K32="")</formula>
    </cfRule>
  </conditionalFormatting>
  <conditionalFormatting sqref="T32">
    <cfRule type="expression" dxfId="1" priority="397">
      <formula>OR($K32="否",$K32="")</formula>
    </cfRule>
  </conditionalFormatting>
  <conditionalFormatting sqref="U32">
    <cfRule type="expression" dxfId="1" priority="375">
      <formula>OR($K32="否",$K32="")</formula>
    </cfRule>
  </conditionalFormatting>
  <conditionalFormatting sqref="L33:AB33">
    <cfRule type="expression" dxfId="1" priority="805">
      <formula>OR($K33="否",$K33="")</formula>
    </cfRule>
  </conditionalFormatting>
  <conditionalFormatting sqref="L34:AB34">
    <cfRule type="expression" dxfId="1" priority="804">
      <formula>OR($K34="否",$K34="")</formula>
    </cfRule>
  </conditionalFormatting>
  <conditionalFormatting sqref="L35:AB35">
    <cfRule type="expression" dxfId="1" priority="803">
      <formula>OR($K35="否",$K35="")</formula>
    </cfRule>
  </conditionalFormatting>
  <conditionalFormatting sqref="H36">
    <cfRule type="expression" dxfId="1" priority="460">
      <formula>OR($K36="否",$K36="")</formula>
    </cfRule>
  </conditionalFormatting>
  <conditionalFormatting sqref="L36:AB36">
    <cfRule type="expression" dxfId="1" priority="802">
      <formula>OR($K36="否",$K36="")</formula>
    </cfRule>
  </conditionalFormatting>
  <conditionalFormatting sqref="H37">
    <cfRule type="expression" dxfId="1" priority="459">
      <formula>OR($K37="否",$K37="")</formula>
    </cfRule>
  </conditionalFormatting>
  <conditionalFormatting sqref="L37:AB37">
    <cfRule type="expression" dxfId="1" priority="801">
      <formula>OR($K37="否",$K37="")</formula>
    </cfRule>
  </conditionalFormatting>
  <conditionalFormatting sqref="M38">
    <cfRule type="expression" dxfId="1" priority="582">
      <formula>OR($K38="否",$K38="")</formula>
    </cfRule>
  </conditionalFormatting>
  <conditionalFormatting sqref="L39:AB39">
    <cfRule type="expression" dxfId="1" priority="799">
      <formula>OR($K39="否",$K39="")</formula>
    </cfRule>
  </conditionalFormatting>
  <conditionalFormatting sqref="L40:AB40">
    <cfRule type="expression" dxfId="1" priority="798">
      <formula>OR($K40="否",$K40="")</formula>
    </cfRule>
  </conditionalFormatting>
  <conditionalFormatting sqref="M41">
    <cfRule type="expression" dxfId="1" priority="581">
      <formula>OR($K41="否",$K41="")</formula>
    </cfRule>
  </conditionalFormatting>
  <conditionalFormatting sqref="L42:AB42">
    <cfRule type="expression" dxfId="1" priority="796">
      <formula>OR($K42="否",$K42="")</formula>
    </cfRule>
  </conditionalFormatting>
  <conditionalFormatting sqref="M43">
    <cfRule type="expression" dxfId="1" priority="580">
      <formula>OR($K43="否",$K43="")</formula>
    </cfRule>
  </conditionalFormatting>
  <conditionalFormatting sqref="L44:AB44">
    <cfRule type="expression" dxfId="1" priority="794">
      <formula>OR($K44="否",$K44="")</formula>
    </cfRule>
  </conditionalFormatting>
  <conditionalFormatting sqref="M45">
    <cfRule type="expression" dxfId="1" priority="579">
      <formula>OR($K45="否",$K45="")</formula>
    </cfRule>
  </conditionalFormatting>
  <conditionalFormatting sqref="L46">
    <cfRule type="expression" dxfId="1" priority="117">
      <formula>OR($K46="否",$K46="")</formula>
    </cfRule>
  </conditionalFormatting>
  <conditionalFormatting sqref="M46">
    <cfRule type="expression" dxfId="1" priority="116">
      <formula>OR($K46="否",$K46="")</formula>
    </cfRule>
  </conditionalFormatting>
  <conditionalFormatting sqref="S46">
    <cfRule type="expression" dxfId="1" priority="418">
      <formula>OR($K46="否",$K46="")</formula>
    </cfRule>
  </conditionalFormatting>
  <conditionalFormatting sqref="T46">
    <cfRule type="expression" dxfId="1" priority="396">
      <formula>OR($K46="否",$K46="")</formula>
    </cfRule>
  </conditionalFormatting>
  <conditionalFormatting sqref="U46">
    <cfRule type="expression" dxfId="1" priority="374">
      <formula>OR($K46="否",$K46="")</formula>
    </cfRule>
  </conditionalFormatting>
  <conditionalFormatting sqref="M47">
    <cfRule type="expression" dxfId="1" priority="578">
      <formula>OR($K47="否",$K47="")</formula>
    </cfRule>
  </conditionalFormatting>
  <conditionalFormatting sqref="M48">
    <cfRule type="expression" dxfId="1" priority="604">
      <formula>OR($K48="否",$K48="")</formula>
    </cfRule>
  </conditionalFormatting>
  <conditionalFormatting sqref="L49:AB49">
    <cfRule type="expression" dxfId="1" priority="789">
      <formula>OR($K49="否",$K49="")</formula>
    </cfRule>
  </conditionalFormatting>
  <conditionalFormatting sqref="L50:AB50">
    <cfRule type="expression" dxfId="1" priority="788">
      <formula>OR($K50="否",$K50="")</formula>
    </cfRule>
  </conditionalFormatting>
  <conditionalFormatting sqref="L51:AB51">
    <cfRule type="expression" dxfId="1" priority="787">
      <formula>OR($K51="否",$K51="")</formula>
    </cfRule>
  </conditionalFormatting>
  <conditionalFormatting sqref="S52">
    <cfRule type="expression" dxfId="1" priority="249">
      <formula>OR($K52="否",$K52="")</formula>
    </cfRule>
  </conditionalFormatting>
  <conditionalFormatting sqref="T52">
    <cfRule type="expression" dxfId="1" priority="246">
      <formula>OR($K52="否",$K52="")</formula>
    </cfRule>
  </conditionalFormatting>
  <conditionalFormatting sqref="U52">
    <cfRule type="expression" dxfId="1" priority="243">
      <formula>OR($K52="否",$K52="")</formula>
    </cfRule>
  </conditionalFormatting>
  <conditionalFormatting sqref="S53">
    <cfRule type="expression" dxfId="1" priority="248">
      <formula>OR($K53="否",$K53="")</formula>
    </cfRule>
  </conditionalFormatting>
  <conditionalFormatting sqref="T53">
    <cfRule type="expression" dxfId="1" priority="245">
      <formula>OR($K53="否",$K53="")</formula>
    </cfRule>
  </conditionalFormatting>
  <conditionalFormatting sqref="U53">
    <cfRule type="expression" dxfId="1" priority="242">
      <formula>OR($K53="否",$K53="")</formula>
    </cfRule>
  </conditionalFormatting>
  <conditionalFormatting sqref="S54">
    <cfRule type="expression" dxfId="1" priority="247">
      <formula>OR($K54="否",$K54="")</formula>
    </cfRule>
  </conditionalFormatting>
  <conditionalFormatting sqref="T54">
    <cfRule type="expression" dxfId="1" priority="244">
      <formula>OR($K54="否",$K54="")</formula>
    </cfRule>
  </conditionalFormatting>
  <conditionalFormatting sqref="U54">
    <cfRule type="expression" dxfId="1" priority="241">
      <formula>OR($K54="否",$K54="")</formula>
    </cfRule>
  </conditionalFormatting>
  <conditionalFormatting sqref="L55">
    <cfRule type="expression" dxfId="1" priority="115">
      <formula>OR($K55="否",$K55="")</formula>
    </cfRule>
  </conditionalFormatting>
  <conditionalFormatting sqref="M55">
    <cfRule type="expression" dxfId="1" priority="113">
      <formula>OR($K55="否",$K55="")</formula>
    </cfRule>
  </conditionalFormatting>
  <conditionalFormatting sqref="L56">
    <cfRule type="expression" dxfId="1" priority="114">
      <formula>OR($K56="否",$K56="")</formula>
    </cfRule>
  </conditionalFormatting>
  <conditionalFormatting sqref="M56">
    <cfRule type="expression" dxfId="1" priority="112">
      <formula>OR($K56="否",$K56="")</formula>
    </cfRule>
  </conditionalFormatting>
  <conditionalFormatting sqref="L57:AB57">
    <cfRule type="expression" dxfId="1" priority="781">
      <formula>OR($K57="否",$K57="")</formula>
    </cfRule>
  </conditionalFormatting>
  <conditionalFormatting sqref="L58:AB58">
    <cfRule type="expression" dxfId="1" priority="780">
      <formula>OR($K58="否",$K58="")</formula>
    </cfRule>
  </conditionalFormatting>
  <conditionalFormatting sqref="L59:AB59">
    <cfRule type="expression" dxfId="1" priority="779">
      <formula>OR($K59="否",$K59="")</formula>
    </cfRule>
  </conditionalFormatting>
  <conditionalFormatting sqref="L60:AB60">
    <cfRule type="expression" dxfId="1" priority="778">
      <formula>OR($K60="否",$K60="")</formula>
    </cfRule>
  </conditionalFormatting>
  <conditionalFormatting sqref="L61:AB61">
    <cfRule type="expression" dxfId="1" priority="777">
      <formula>OR($K61="否",$K61="")</formula>
    </cfRule>
  </conditionalFormatting>
  <conditionalFormatting sqref="L62:AB62">
    <cfRule type="expression" dxfId="1" priority="776">
      <formula>OR($K62="否",$K62="")</formula>
    </cfRule>
  </conditionalFormatting>
  <conditionalFormatting sqref="L63:AB63">
    <cfRule type="expression" dxfId="1" priority="775">
      <formula>OR($K63="否",$K63="")</formula>
    </cfRule>
  </conditionalFormatting>
  <conditionalFormatting sqref="L64:AB64">
    <cfRule type="expression" dxfId="1" priority="774">
      <formula>OR($K64="否",$K64="")</formula>
    </cfRule>
  </conditionalFormatting>
  <conditionalFormatting sqref="M65">
    <cfRule type="expression" dxfId="1" priority="575">
      <formula>OR($K65="否",$K65="")</formula>
    </cfRule>
  </conditionalFormatting>
  <conditionalFormatting sqref="M66">
    <cfRule type="expression" dxfId="1" priority="574">
      <formula>OR($K66="否",$K66="")</formula>
    </cfRule>
  </conditionalFormatting>
  <conditionalFormatting sqref="M67">
    <cfRule type="expression" dxfId="1" priority="603">
      <formula>OR($K67="否",$K67="")</formula>
    </cfRule>
  </conditionalFormatting>
  <conditionalFormatting sqref="L68">
    <cfRule type="expression" dxfId="1" priority="111">
      <formula>OR($K68="否",$K68="")</formula>
    </cfRule>
  </conditionalFormatting>
  <conditionalFormatting sqref="M68">
    <cfRule type="expression" dxfId="1" priority="110">
      <formula>OR($K68="否",$K68="")</formula>
    </cfRule>
  </conditionalFormatting>
  <conditionalFormatting sqref="N68:AB68">
    <cfRule type="expression" dxfId="1" priority="768">
      <formula>OR($K68="否",$K68="")</formula>
    </cfRule>
  </conditionalFormatting>
  <conditionalFormatting sqref="L69:AB69">
    <cfRule type="expression" dxfId="1" priority="767">
      <formula>OR($K69="否",$K69="")</formula>
    </cfRule>
  </conditionalFormatting>
  <conditionalFormatting sqref="M70">
    <cfRule type="expression" dxfId="1" priority="573">
      <formula>OR($K70="否",$K70="")</formula>
    </cfRule>
  </conditionalFormatting>
  <conditionalFormatting sqref="M71">
    <cfRule type="expression" dxfId="1" priority="602">
      <formula>OR($K71="否",$K71="")</formula>
    </cfRule>
  </conditionalFormatting>
  <conditionalFormatting sqref="L72">
    <cfRule type="expression" dxfId="1" priority="109">
      <formula>OR($K72="否",$K72="")</formula>
    </cfRule>
  </conditionalFormatting>
  <conditionalFormatting sqref="M72">
    <cfRule type="expression" dxfId="1" priority="103">
      <formula>OR($K72="否",$K72="")</formula>
    </cfRule>
  </conditionalFormatting>
  <conditionalFormatting sqref="S72">
    <cfRule type="expression" dxfId="1" priority="416">
      <formula>OR($K72="否",$K72="")</formula>
    </cfRule>
  </conditionalFormatting>
  <conditionalFormatting sqref="T72">
    <cfRule type="expression" dxfId="1" priority="394">
      <formula>OR($K72="否",$K72="")</formula>
    </cfRule>
  </conditionalFormatting>
  <conditionalFormatting sqref="U72">
    <cfRule type="expression" dxfId="1" priority="372">
      <formula>OR($K72="否",$K72="")</formula>
    </cfRule>
  </conditionalFormatting>
  <conditionalFormatting sqref="H73">
    <cfRule type="expression" dxfId="1" priority="458">
      <formula>OR($K73="否",$K73="")</formula>
    </cfRule>
  </conditionalFormatting>
  <conditionalFormatting sqref="L73">
    <cfRule type="expression" dxfId="1" priority="108">
      <formula>OR($K73="否",$K73="")</formula>
    </cfRule>
  </conditionalFormatting>
  <conditionalFormatting sqref="M73">
    <cfRule type="expression" dxfId="1" priority="102">
      <formula>OR($K73="否",$K73="")</formula>
    </cfRule>
  </conditionalFormatting>
  <conditionalFormatting sqref="N73:AB73">
    <cfRule type="expression" dxfId="1" priority="763">
      <formula>OR($K73="否",$K73="")</formula>
    </cfRule>
  </conditionalFormatting>
  <conditionalFormatting sqref="H74">
    <cfRule type="expression" dxfId="1" priority="469">
      <formula>OR($K74="否",$K74="")</formula>
    </cfRule>
  </conditionalFormatting>
  <conditionalFormatting sqref="L74">
    <cfRule type="expression" dxfId="1" priority="107">
      <formula>OR($K74="否",$K74="")</formula>
    </cfRule>
  </conditionalFormatting>
  <conditionalFormatting sqref="M74">
    <cfRule type="expression" dxfId="1" priority="101">
      <formula>OR($K74="否",$K74="")</formula>
    </cfRule>
  </conditionalFormatting>
  <conditionalFormatting sqref="H75">
    <cfRule type="expression" dxfId="1" priority="468">
      <formula>OR($K75="否",$K75="")</formula>
    </cfRule>
  </conditionalFormatting>
  <conditionalFormatting sqref="L75">
    <cfRule type="expression" dxfId="1" priority="106">
      <formula>OR($K75="否",$K75="")</formula>
    </cfRule>
  </conditionalFormatting>
  <conditionalFormatting sqref="M75">
    <cfRule type="expression" dxfId="1" priority="100">
      <formula>OR($K75="否",$K75="")</formula>
    </cfRule>
  </conditionalFormatting>
  <conditionalFormatting sqref="H76">
    <cfRule type="expression" dxfId="1" priority="467">
      <formula>OR($K76="否",$K76="")</formula>
    </cfRule>
  </conditionalFormatting>
  <conditionalFormatting sqref="L76">
    <cfRule type="expression" dxfId="1" priority="105">
      <formula>OR($K76="否",$K76="")</formula>
    </cfRule>
  </conditionalFormatting>
  <conditionalFormatting sqref="M76">
    <cfRule type="expression" dxfId="1" priority="99">
      <formula>OR($K76="否",$K76="")</formula>
    </cfRule>
  </conditionalFormatting>
  <conditionalFormatting sqref="N76:AB76">
    <cfRule type="expression" dxfId="1" priority="760">
      <formula>OR($K76="否",$K76="")</formula>
    </cfRule>
  </conditionalFormatting>
  <conditionalFormatting sqref="H77">
    <cfRule type="expression" dxfId="1" priority="466">
      <formula>OR($K77="否",$K77="")</formula>
    </cfRule>
  </conditionalFormatting>
  <conditionalFormatting sqref="L77">
    <cfRule type="expression" dxfId="1" priority="104">
      <formula>OR($K77="否",$K77="")</formula>
    </cfRule>
  </conditionalFormatting>
  <conditionalFormatting sqref="M77">
    <cfRule type="expression" dxfId="1" priority="98">
      <formula>OR($K77="否",$K77="")</formula>
    </cfRule>
  </conditionalFormatting>
  <conditionalFormatting sqref="S77">
    <cfRule type="expression" dxfId="1" priority="240">
      <formula>OR($K77="否",$K77="")</formula>
    </cfRule>
  </conditionalFormatting>
  <conditionalFormatting sqref="T77">
    <cfRule type="expression" dxfId="1" priority="239">
      <formula>OR($K77="否",$K77="")</formula>
    </cfRule>
  </conditionalFormatting>
  <conditionalFormatting sqref="U77">
    <cfRule type="expression" dxfId="1" priority="238">
      <formula>OR($K77="否",$K77="")</formula>
    </cfRule>
  </conditionalFormatting>
  <conditionalFormatting sqref="L78:AB78">
    <cfRule type="expression" dxfId="1" priority="758">
      <formula>OR($K78="否",$K78="")</formula>
    </cfRule>
  </conditionalFormatting>
  <conditionalFormatting sqref="L79:AB79">
    <cfRule type="expression" dxfId="1" priority="757">
      <formula>OR($K79="否",$K79="")</formula>
    </cfRule>
  </conditionalFormatting>
  <conditionalFormatting sqref="H80">
    <cfRule type="expression" dxfId="1" priority="463">
      <formula>OR($K80="否",$K80="")</formula>
    </cfRule>
  </conditionalFormatting>
  <conditionalFormatting sqref="L80">
    <cfRule type="expression" dxfId="1" priority="97">
      <formula>OR($K80="否",$K80="")</formula>
    </cfRule>
  </conditionalFormatting>
  <conditionalFormatting sqref="M80">
    <cfRule type="expression" dxfId="1" priority="95">
      <formula>OR($K80="否",$K80="")</formula>
    </cfRule>
  </conditionalFormatting>
  <conditionalFormatting sqref="N80:T80">
    <cfRule type="expression" dxfId="1" priority="452">
      <formula>OR($K80="否",$K80="")</formula>
    </cfRule>
  </conditionalFormatting>
  <conditionalFormatting sqref="U80:AB80">
    <cfRule type="expression" dxfId="1" priority="756">
      <formula>OR($K80="否",$K80="")</formula>
    </cfRule>
  </conditionalFormatting>
  <conditionalFormatting sqref="H81">
    <cfRule type="expression" dxfId="1" priority="462">
      <formula>OR($K81="否",$K81="")</formula>
    </cfRule>
  </conditionalFormatting>
  <conditionalFormatting sqref="L81">
    <cfRule type="expression" dxfId="1" priority="96">
      <formula>OR($K81="否",$K81="")</formula>
    </cfRule>
  </conditionalFormatting>
  <conditionalFormatting sqref="M81">
    <cfRule type="expression" dxfId="1" priority="94">
      <formula>OR($K81="否",$K81="")</formula>
    </cfRule>
  </conditionalFormatting>
  <conditionalFormatting sqref="Q81">
    <cfRule type="expression" dxfId="1" priority="329">
      <formula>OR($K81="否",$K81="")</formula>
    </cfRule>
  </conditionalFormatting>
  <conditionalFormatting sqref="S81">
    <cfRule type="expression" dxfId="1" priority="237">
      <formula>OR($K81="否",$K81="")</formula>
    </cfRule>
  </conditionalFormatting>
  <conditionalFormatting sqref="T81">
    <cfRule type="expression" dxfId="1" priority="235">
      <formula>OR($K81="否",$K81="")</formula>
    </cfRule>
  </conditionalFormatting>
  <conditionalFormatting sqref="U81">
    <cfRule type="expression" dxfId="1" priority="233">
      <formula>OR($K81="否",$K81="")</formula>
    </cfRule>
  </conditionalFormatting>
  <conditionalFormatting sqref="L82">
    <cfRule type="expression" dxfId="1" priority="143">
      <formula>OR($K82="否",$K82="")</formula>
    </cfRule>
  </conditionalFormatting>
  <conditionalFormatting sqref="M82">
    <cfRule type="expression" dxfId="1" priority="134">
      <formula>OR($K82="否",$K82="")</formula>
    </cfRule>
  </conditionalFormatting>
  <conditionalFormatting sqref="S82">
    <cfRule type="expression" dxfId="1" priority="236">
      <formula>OR($K82="否",$K82="")</formula>
    </cfRule>
  </conditionalFormatting>
  <conditionalFormatting sqref="T82">
    <cfRule type="expression" dxfId="1" priority="234">
      <formula>OR($K82="否",$K82="")</formula>
    </cfRule>
  </conditionalFormatting>
  <conditionalFormatting sqref="U82">
    <cfRule type="expression" dxfId="1" priority="232">
      <formula>OR($K82="否",$K82="")</formula>
    </cfRule>
  </conditionalFormatting>
  <conditionalFormatting sqref="L83">
    <cfRule type="expression" dxfId="1" priority="93">
      <formula>OR($K83="否",$K83="")</formula>
    </cfRule>
  </conditionalFormatting>
  <conditionalFormatting sqref="M83">
    <cfRule type="expression" dxfId="1" priority="91">
      <formula>OR($K83="否",$K83="")</formula>
    </cfRule>
  </conditionalFormatting>
  <conditionalFormatting sqref="Q83">
    <cfRule type="expression" dxfId="1" priority="328">
      <formula>OR($K83="否",$K83="")</formula>
    </cfRule>
  </conditionalFormatting>
  <conditionalFormatting sqref="L84">
    <cfRule type="expression" dxfId="1" priority="92">
      <formula>OR($K84="否",$K84="")</formula>
    </cfRule>
  </conditionalFormatting>
  <conditionalFormatting sqref="M84">
    <cfRule type="expression" dxfId="1" priority="90">
      <formula>OR($K84="否",$K84="")</formula>
    </cfRule>
  </conditionalFormatting>
  <conditionalFormatting sqref="S84">
    <cfRule type="expression" dxfId="1" priority="231">
      <formula>OR($K84="否",$K84="")</formula>
    </cfRule>
  </conditionalFormatting>
  <conditionalFormatting sqref="T84">
    <cfRule type="expression" dxfId="1" priority="230">
      <formula>OR($K84="否",$K84="")</formula>
    </cfRule>
  </conditionalFormatting>
  <conditionalFormatting sqref="U84">
    <cfRule type="expression" dxfId="1" priority="229">
      <formula>OR($K84="否",$K84="")</formula>
    </cfRule>
  </conditionalFormatting>
  <conditionalFormatting sqref="L85:AB85">
    <cfRule type="expression" dxfId="1" priority="751">
      <formula>OR($K85="否",$K85="")</formula>
    </cfRule>
  </conditionalFormatting>
  <conditionalFormatting sqref="L86:AB86">
    <cfRule type="expression" dxfId="1" priority="750">
      <formula>OR($K86="否",$K86="")</formula>
    </cfRule>
  </conditionalFormatting>
  <conditionalFormatting sqref="M87">
    <cfRule type="expression" dxfId="1" priority="600">
      <formula>OR($K87="否",$K87="")</formula>
    </cfRule>
  </conditionalFormatting>
  <conditionalFormatting sqref="L88:AB88">
    <cfRule type="expression" dxfId="1" priority="748">
      <formula>OR($K88="否",$K88="")</formula>
    </cfRule>
  </conditionalFormatting>
  <conditionalFormatting sqref="L89:AB89">
    <cfRule type="expression" dxfId="1" priority="747">
      <formula>OR($K89="否",$K89="")</formula>
    </cfRule>
  </conditionalFormatting>
  <conditionalFormatting sqref="L90">
    <cfRule type="expression" dxfId="1" priority="89">
      <formula>OR($K90="否",$K90="")</formula>
    </cfRule>
  </conditionalFormatting>
  <conditionalFormatting sqref="M90">
    <cfRule type="expression" dxfId="1" priority="86">
      <formula>OR($K90="否",$K90="")</formula>
    </cfRule>
  </conditionalFormatting>
  <conditionalFormatting sqref="S90">
    <cfRule type="expression" dxfId="1" priority="228">
      <formula>OR($K90="否",$K90="")</formula>
    </cfRule>
  </conditionalFormatting>
  <conditionalFormatting sqref="T90">
    <cfRule type="expression" dxfId="1" priority="225">
      <formula>OR($K90="否",$K90="")</formula>
    </cfRule>
  </conditionalFormatting>
  <conditionalFormatting sqref="U90">
    <cfRule type="expression" dxfId="1" priority="222">
      <formula>OR($K90="否",$K90="")</formula>
    </cfRule>
  </conditionalFormatting>
  <conditionalFormatting sqref="L91">
    <cfRule type="expression" dxfId="1" priority="88">
      <formula>OR($K91="否",$K91="")</formula>
    </cfRule>
  </conditionalFormatting>
  <conditionalFormatting sqref="M91">
    <cfRule type="expression" dxfId="1" priority="85">
      <formula>OR($K91="否",$K91="")</formula>
    </cfRule>
  </conditionalFormatting>
  <conditionalFormatting sqref="S91">
    <cfRule type="expression" dxfId="1" priority="227">
      <formula>OR($K91="否",$K91="")</formula>
    </cfRule>
  </conditionalFormatting>
  <conditionalFormatting sqref="T91">
    <cfRule type="expression" dxfId="1" priority="224">
      <formula>OR($K91="否",$K91="")</formula>
    </cfRule>
  </conditionalFormatting>
  <conditionalFormatting sqref="U91">
    <cfRule type="expression" dxfId="1" priority="221">
      <formula>OR($K91="否",$K91="")</formula>
    </cfRule>
  </conditionalFormatting>
  <conditionalFormatting sqref="L92">
    <cfRule type="expression" dxfId="1" priority="87">
      <formula>OR($K92="否",$K92="")</formula>
    </cfRule>
  </conditionalFormatting>
  <conditionalFormatting sqref="M92">
    <cfRule type="expression" dxfId="1" priority="84">
      <formula>OR($K92="否",$K92="")</formula>
    </cfRule>
  </conditionalFormatting>
  <conditionalFormatting sqref="S92">
    <cfRule type="expression" dxfId="1" priority="226">
      <formula>OR($K92="否",$K92="")</formula>
    </cfRule>
  </conditionalFormatting>
  <conditionalFormatting sqref="T92">
    <cfRule type="expression" dxfId="1" priority="223">
      <formula>OR($K92="否",$K92="")</formula>
    </cfRule>
  </conditionalFormatting>
  <conditionalFormatting sqref="U92">
    <cfRule type="expression" dxfId="1" priority="220">
      <formula>OR($K92="否",$K92="")</formula>
    </cfRule>
  </conditionalFormatting>
  <conditionalFormatting sqref="L95:AB95">
    <cfRule type="expression" dxfId="1" priority="741">
      <formula>OR($K95="否",$K95="")</formula>
    </cfRule>
  </conditionalFormatting>
  <conditionalFormatting sqref="L96:AB96">
    <cfRule type="expression" dxfId="1" priority="740">
      <formula>OR($K96="否",$K96="")</formula>
    </cfRule>
  </conditionalFormatting>
  <conditionalFormatting sqref="H97">
    <cfRule type="expression" dxfId="1" priority="453">
      <formula>OR($K97="否",$K97="")</formula>
    </cfRule>
  </conditionalFormatting>
  <conditionalFormatting sqref="L97">
    <cfRule type="expression" dxfId="1" priority="83">
      <formula>OR($K97="否",$K97="")</formula>
    </cfRule>
  </conditionalFormatting>
  <conditionalFormatting sqref="M97">
    <cfRule type="expression" dxfId="1" priority="82">
      <formula>OR($K97="否",$K97="")</formula>
    </cfRule>
  </conditionalFormatting>
  <conditionalFormatting sqref="S97">
    <cfRule type="expression" dxfId="1" priority="414">
      <formula>OR($K97="否",$K97="")</formula>
    </cfRule>
  </conditionalFormatting>
  <conditionalFormatting sqref="T97">
    <cfRule type="expression" dxfId="1" priority="392">
      <formula>OR($K97="否",$K97="")</formula>
    </cfRule>
  </conditionalFormatting>
  <conditionalFormatting sqref="U97">
    <cfRule type="expression" dxfId="1" priority="370">
      <formula>OR($K97="否",$K97="")</formula>
    </cfRule>
  </conditionalFormatting>
  <conditionalFormatting sqref="L98:AB98">
    <cfRule type="expression" dxfId="1" priority="738">
      <formula>OR($K98="否",$K98="")</formula>
    </cfRule>
  </conditionalFormatting>
  <conditionalFormatting sqref="L99:AB99">
    <cfRule type="expression" dxfId="1" priority="736">
      <formula>OR($K99="否",$K99="")</formula>
    </cfRule>
  </conditionalFormatting>
  <conditionalFormatting sqref="M100">
    <cfRule type="expression" dxfId="1" priority="598">
      <formula>OR($K100="否",$K100="")</formula>
    </cfRule>
  </conditionalFormatting>
  <conditionalFormatting sqref="L101:AB101">
    <cfRule type="expression" dxfId="1" priority="734">
      <formula>OR($K101="否",$K101="")</formula>
    </cfRule>
  </conditionalFormatting>
  <conditionalFormatting sqref="L102">
    <cfRule type="expression" dxfId="1" priority="81">
      <formula>OR($K102="否",$K102="")</formula>
    </cfRule>
  </conditionalFormatting>
  <conditionalFormatting sqref="M102">
    <cfRule type="expression" dxfId="1" priority="80">
      <formula>OR($K102="否",$K102="")</formula>
    </cfRule>
  </conditionalFormatting>
  <conditionalFormatting sqref="N102:T102">
    <cfRule type="expression" dxfId="1" priority="449">
      <formula>OR($K102="否",$K102="")</formula>
    </cfRule>
  </conditionalFormatting>
  <conditionalFormatting sqref="U102">
    <cfRule type="expression" dxfId="1" priority="450">
      <formula>OR($K102="否",$K102="")</formula>
    </cfRule>
  </conditionalFormatting>
  <conditionalFormatting sqref="V102:AB102">
    <cfRule type="expression" dxfId="1" priority="733">
      <formula>OR($K102="否",$K102="")</formula>
    </cfRule>
  </conditionalFormatting>
  <conditionalFormatting sqref="M103">
    <cfRule type="expression" dxfId="1" priority="597">
      <formula>OR($K103="否",$K103="")</formula>
    </cfRule>
  </conditionalFormatting>
  <conditionalFormatting sqref="L104">
    <cfRule type="expression" dxfId="1" priority="79">
      <formula>OR($K104="否",$K104="")</formula>
    </cfRule>
  </conditionalFormatting>
  <conditionalFormatting sqref="M104">
    <cfRule type="expression" dxfId="1" priority="78">
      <formula>OR($K104="否",$K104="")</formula>
    </cfRule>
  </conditionalFormatting>
  <conditionalFormatting sqref="S104">
    <cfRule type="expression" dxfId="1" priority="219">
      <formula>OR($K104="否",$K104="")</formula>
    </cfRule>
  </conditionalFormatting>
  <conditionalFormatting sqref="T104">
    <cfRule type="expression" dxfId="1" priority="218">
      <formula>OR($K104="否",$K104="")</formula>
    </cfRule>
  </conditionalFormatting>
  <conditionalFormatting sqref="U104">
    <cfRule type="expression" dxfId="1" priority="217">
      <formula>OR($K104="否",$K104="")</formula>
    </cfRule>
  </conditionalFormatting>
  <conditionalFormatting sqref="L105:AB105">
    <cfRule type="expression" dxfId="1" priority="730">
      <formula>OR($K105="否",$K105="")</formula>
    </cfRule>
  </conditionalFormatting>
  <conditionalFormatting sqref="L106:AB106">
    <cfRule type="expression" dxfId="1" priority="729">
      <formula>OR($K106="否",$K106="")</formula>
    </cfRule>
  </conditionalFormatting>
  <conditionalFormatting sqref="L107:AB107">
    <cfRule type="expression" dxfId="1" priority="728">
      <formula>OR($K107="否",$K107="")</formula>
    </cfRule>
  </conditionalFormatting>
  <conditionalFormatting sqref="L108">
    <cfRule type="expression" dxfId="1" priority="77">
      <formula>OR($K108="否",$K108="")</formula>
    </cfRule>
  </conditionalFormatting>
  <conditionalFormatting sqref="M108">
    <cfRule type="expression" dxfId="1" priority="75">
      <formula>OR($K108="否",$K108="")</formula>
    </cfRule>
  </conditionalFormatting>
  <conditionalFormatting sqref="S108">
    <cfRule type="expression" dxfId="1" priority="216">
      <formula>OR($K108="否",$K108="")</formula>
    </cfRule>
  </conditionalFormatting>
  <conditionalFormatting sqref="T108">
    <cfRule type="expression" dxfId="1" priority="215">
      <formula>OR($K108="否",$K108="")</formula>
    </cfRule>
  </conditionalFormatting>
  <conditionalFormatting sqref="U108">
    <cfRule type="expression" dxfId="1" priority="214">
      <formula>OR($K108="否",$K108="")</formula>
    </cfRule>
  </conditionalFormatting>
  <conditionalFormatting sqref="L109">
    <cfRule type="expression" dxfId="1" priority="76">
      <formula>OR($K109="否",$K109="")</formula>
    </cfRule>
  </conditionalFormatting>
  <conditionalFormatting sqref="M109">
    <cfRule type="expression" dxfId="1" priority="74">
      <formula>OR($K109="否",$K109="")</formula>
    </cfRule>
  </conditionalFormatting>
  <conditionalFormatting sqref="S109">
    <cfRule type="expression" dxfId="1" priority="213">
      <formula>OR($K109="否",$K109="")</formula>
    </cfRule>
  </conditionalFormatting>
  <conditionalFormatting sqref="T109">
    <cfRule type="expression" dxfId="1" priority="212">
      <formula>OR($K109="否",$K109="")</formula>
    </cfRule>
  </conditionalFormatting>
  <conditionalFormatting sqref="U109">
    <cfRule type="expression" dxfId="1" priority="211">
      <formula>OR($K109="否",$K109="")</formula>
    </cfRule>
  </conditionalFormatting>
  <conditionalFormatting sqref="L110:AB110">
    <cfRule type="expression" dxfId="1" priority="722">
      <formula>OR($K110="否",$K110="")</formula>
    </cfRule>
  </conditionalFormatting>
  <conditionalFormatting sqref="L111:AB111">
    <cfRule type="expression" dxfId="1" priority="721">
      <formula>OR($K111="否",$K111="")</formula>
    </cfRule>
  </conditionalFormatting>
  <conditionalFormatting sqref="L112">
    <cfRule type="expression" dxfId="1" priority="73">
      <formula>OR($K112="否",$K112="")</formula>
    </cfRule>
  </conditionalFormatting>
  <conditionalFormatting sqref="M112">
    <cfRule type="expression" dxfId="1" priority="71">
      <formula>OR($K112="否",$K112="")</formula>
    </cfRule>
  </conditionalFormatting>
  <conditionalFormatting sqref="L113">
    <cfRule type="expression" dxfId="1" priority="72">
      <formula>OR($K113="否",$K113="")</formula>
    </cfRule>
  </conditionalFormatting>
  <conditionalFormatting sqref="M113">
    <cfRule type="expression" dxfId="1" priority="70">
      <formula>OR($K113="否",$K113="")</formula>
    </cfRule>
  </conditionalFormatting>
  <conditionalFormatting sqref="L114">
    <cfRule type="expression" dxfId="1" priority="142">
      <formula>OR($K114="否",$K114="")</formula>
    </cfRule>
  </conditionalFormatting>
  <conditionalFormatting sqref="M114">
    <cfRule type="expression" dxfId="1" priority="133">
      <formula>OR($K114="否",$K114="")</formula>
    </cfRule>
  </conditionalFormatting>
  <conditionalFormatting sqref="S114">
    <cfRule type="expression" dxfId="1" priority="210">
      <formula>OR($K114="否",$K114="")</formula>
    </cfRule>
  </conditionalFormatting>
  <conditionalFormatting sqref="T114">
    <cfRule type="expression" dxfId="1" priority="208">
      <formula>OR($K114="否",$K114="")</formula>
    </cfRule>
  </conditionalFormatting>
  <conditionalFormatting sqref="U114">
    <cfRule type="expression" dxfId="1" priority="206">
      <formula>OR($K114="否",$K114="")</formula>
    </cfRule>
  </conditionalFormatting>
  <conditionalFormatting sqref="L115">
    <cfRule type="expression" dxfId="1" priority="69">
      <formula>OR($K115="否",$K115="")</formula>
    </cfRule>
  </conditionalFormatting>
  <conditionalFormatting sqref="M115">
    <cfRule type="expression" dxfId="1" priority="68">
      <formula>OR($K115="否",$K115="")</formula>
    </cfRule>
  </conditionalFormatting>
  <conditionalFormatting sqref="S115">
    <cfRule type="expression" dxfId="1" priority="209">
      <formula>OR($K115="否",$K115="")</formula>
    </cfRule>
  </conditionalFormatting>
  <conditionalFormatting sqref="T115">
    <cfRule type="expression" dxfId="1" priority="207">
      <formula>OR($K115="否",$K115="")</formula>
    </cfRule>
  </conditionalFormatting>
  <conditionalFormatting sqref="U115">
    <cfRule type="expression" dxfId="1" priority="205">
      <formula>OR($K115="否",$K115="")</formula>
    </cfRule>
  </conditionalFormatting>
  <conditionalFormatting sqref="L116:AB116">
    <cfRule type="expression" dxfId="1" priority="716">
      <formula>OR($K116="否",$K116="")</formula>
    </cfRule>
  </conditionalFormatting>
  <conditionalFormatting sqref="L117:AB117">
    <cfRule type="expression" dxfId="1" priority="715">
      <formula>OR($K117="否",$K117="")</formula>
    </cfRule>
  </conditionalFormatting>
  <conditionalFormatting sqref="L118">
    <cfRule type="expression" dxfId="1" priority="67">
      <formula>OR($K118="否",$K118="")</formula>
    </cfRule>
  </conditionalFormatting>
  <conditionalFormatting sqref="M118">
    <cfRule type="expression" dxfId="1" priority="66">
      <formula>OR($K118="否",$K118="")</formula>
    </cfRule>
  </conditionalFormatting>
  <conditionalFormatting sqref="S118">
    <cfRule type="expression" dxfId="1" priority="204">
      <formula>OR($K118="否",$K118="")</formula>
    </cfRule>
  </conditionalFormatting>
  <conditionalFormatting sqref="T118">
    <cfRule type="expression" dxfId="1" priority="203">
      <formula>OR($K118="否",$K118="")</formula>
    </cfRule>
  </conditionalFormatting>
  <conditionalFormatting sqref="U118">
    <cfRule type="expression" dxfId="1" priority="202">
      <formula>OR($K118="否",$K118="")</formula>
    </cfRule>
  </conditionalFormatting>
  <conditionalFormatting sqref="L119:AB119">
    <cfRule type="expression" dxfId="1" priority="713">
      <formula>OR($K119="否",$K119="")</formula>
    </cfRule>
  </conditionalFormatting>
  <conditionalFormatting sqref="L120:AB120">
    <cfRule type="expression" dxfId="1" priority="712">
      <formula>OR($K120="否",$K120="")</formula>
    </cfRule>
  </conditionalFormatting>
  <conditionalFormatting sqref="L121:AB121">
    <cfRule type="expression" dxfId="1" priority="711">
      <formula>OR($K121="否",$K121="")</formula>
    </cfRule>
  </conditionalFormatting>
  <conditionalFormatting sqref="L122">
    <cfRule type="expression" dxfId="1" priority="65">
      <formula>OR($K122="否",$K122="")</formula>
    </cfRule>
  </conditionalFormatting>
  <conditionalFormatting sqref="M122">
    <cfRule type="expression" dxfId="1" priority="60">
      <formula>OR($K122="否",$K122="")</formula>
    </cfRule>
  </conditionalFormatting>
  <conditionalFormatting sqref="S122">
    <cfRule type="expression" dxfId="1" priority="201">
      <formula>OR($K122="否",$K122="")</formula>
    </cfRule>
  </conditionalFormatting>
  <conditionalFormatting sqref="T122">
    <cfRule type="expression" dxfId="1" priority="197">
      <formula>OR($K122="否",$K122="")</formula>
    </cfRule>
  </conditionalFormatting>
  <conditionalFormatting sqref="U122">
    <cfRule type="expression" dxfId="1" priority="193">
      <formula>OR($K122="否",$K122="")</formula>
    </cfRule>
  </conditionalFormatting>
  <conditionalFormatting sqref="L123">
    <cfRule type="expression" dxfId="1" priority="64">
      <formula>OR($K123="否",$K123="")</formula>
    </cfRule>
  </conditionalFormatting>
  <conditionalFormatting sqref="M123">
    <cfRule type="expression" dxfId="1" priority="59">
      <formula>OR($K123="否",$K123="")</formula>
    </cfRule>
  </conditionalFormatting>
  <conditionalFormatting sqref="S123">
    <cfRule type="expression" dxfId="1" priority="200">
      <formula>OR($K123="否",$K123="")</formula>
    </cfRule>
  </conditionalFormatting>
  <conditionalFormatting sqref="T123">
    <cfRule type="expression" dxfId="1" priority="196">
      <formula>OR($K123="否",$K123="")</formula>
    </cfRule>
  </conditionalFormatting>
  <conditionalFormatting sqref="U123">
    <cfRule type="expression" dxfId="1" priority="192">
      <formula>OR($K123="否",$K123="")</formula>
    </cfRule>
  </conditionalFormatting>
  <conditionalFormatting sqref="L124">
    <cfRule type="expression" dxfId="1" priority="63">
      <formula>OR($K124="否",$K124="")</formula>
    </cfRule>
  </conditionalFormatting>
  <conditionalFormatting sqref="M124">
    <cfRule type="expression" dxfId="1" priority="58">
      <formula>OR($K124="否",$K124="")</formula>
    </cfRule>
  </conditionalFormatting>
  <conditionalFormatting sqref="S124">
    <cfRule type="expression" dxfId="1" priority="199">
      <formula>OR($K124="否",$K124="")</formula>
    </cfRule>
  </conditionalFormatting>
  <conditionalFormatting sqref="T124">
    <cfRule type="expression" dxfId="1" priority="195">
      <formula>OR($K124="否",$K124="")</formula>
    </cfRule>
  </conditionalFormatting>
  <conditionalFormatting sqref="U124">
    <cfRule type="expression" dxfId="1" priority="191">
      <formula>OR($K124="否",$K124="")</formula>
    </cfRule>
  </conditionalFormatting>
  <conditionalFormatting sqref="L125">
    <cfRule type="expression" dxfId="1" priority="62">
      <formula>OR($K125="否",$K125="")</formula>
    </cfRule>
  </conditionalFormatting>
  <conditionalFormatting sqref="M125">
    <cfRule type="expression" dxfId="1" priority="57">
      <formula>OR($K125="否",$K125="")</formula>
    </cfRule>
  </conditionalFormatting>
  <conditionalFormatting sqref="S125">
    <cfRule type="expression" dxfId="1" priority="198">
      <formula>OR($K125="否",$K125="")</formula>
    </cfRule>
  </conditionalFormatting>
  <conditionalFormatting sqref="T125">
    <cfRule type="expression" dxfId="1" priority="194">
      <formula>OR($K125="否",$K125="")</formula>
    </cfRule>
  </conditionalFormatting>
  <conditionalFormatting sqref="U125">
    <cfRule type="expression" dxfId="1" priority="190">
      <formula>OR($K125="否",$K125="")</formula>
    </cfRule>
  </conditionalFormatting>
  <conditionalFormatting sqref="L126">
    <cfRule type="expression" dxfId="1" priority="61">
      <formula>OR($K126="否",$K126="")</formula>
    </cfRule>
  </conditionalFormatting>
  <conditionalFormatting sqref="M126">
    <cfRule type="expression" dxfId="1" priority="56">
      <formula>OR($K126="否",$K126="")</formula>
    </cfRule>
  </conditionalFormatting>
  <conditionalFormatting sqref="S126">
    <cfRule type="expression" dxfId="1" priority="412">
      <formula>OR($K126="否",$K126="")</formula>
    </cfRule>
  </conditionalFormatting>
  <conditionalFormatting sqref="T126">
    <cfRule type="expression" dxfId="1" priority="390">
      <formula>OR($K126="否",$K126="")</formula>
    </cfRule>
  </conditionalFormatting>
  <conditionalFormatting sqref="U126">
    <cfRule type="expression" dxfId="1" priority="368">
      <formula>OR($K126="否",$K126="")</formula>
    </cfRule>
  </conditionalFormatting>
  <conditionalFormatting sqref="L127:AB127">
    <cfRule type="expression" dxfId="1" priority="705">
      <formula>OR($K127="否",$K127="")</formula>
    </cfRule>
  </conditionalFormatting>
  <conditionalFormatting sqref="M128">
    <cfRule type="expression" dxfId="1" priority="568">
      <formula>OR($K128="否",$K128="")</formula>
    </cfRule>
  </conditionalFormatting>
  <conditionalFormatting sqref="L129:AB129">
    <cfRule type="expression" dxfId="1" priority="703">
      <formula>OR($K129="否",$K129="")</formula>
    </cfRule>
  </conditionalFormatting>
  <conditionalFormatting sqref="L130:AB130">
    <cfRule type="expression" dxfId="1" priority="702">
      <formula>OR($K130="否",$K130="")</formula>
    </cfRule>
  </conditionalFormatting>
  <conditionalFormatting sqref="M131">
    <cfRule type="expression" dxfId="1" priority="596">
      <formula>OR($K131="否",$K131="")</formula>
    </cfRule>
  </conditionalFormatting>
  <conditionalFormatting sqref="L132:AB132">
    <cfRule type="expression" dxfId="1" priority="700">
      <formula>OR($K132="否",$K132="")</formula>
    </cfRule>
  </conditionalFormatting>
  <conditionalFormatting sqref="L133:AB133">
    <cfRule type="expression" dxfId="1" priority="699">
      <formula>OR($K133="否",$K133="")</formula>
    </cfRule>
  </conditionalFormatting>
  <conditionalFormatting sqref="M134">
    <cfRule type="expression" dxfId="1" priority="567">
      <formula>OR($K134="否",$K134="")</formula>
    </cfRule>
  </conditionalFormatting>
  <conditionalFormatting sqref="M135">
    <cfRule type="expression" dxfId="1" priority="595">
      <formula>OR($K135="否",$K135="")</formula>
    </cfRule>
  </conditionalFormatting>
  <conditionalFormatting sqref="L136:AB136">
    <cfRule type="expression" dxfId="1" priority="696">
      <formula>OR($K136="否",$K136="")</formula>
    </cfRule>
  </conditionalFormatting>
  <conditionalFormatting sqref="L137:AB137">
    <cfRule type="expression" dxfId="1" priority="695">
      <formula>OR($K137="否",$K137="")</formula>
    </cfRule>
  </conditionalFormatting>
  <conditionalFormatting sqref="L138:AB138">
    <cfRule type="expression" dxfId="1" priority="694">
      <formula>OR($K138="否",$K138="")</formula>
    </cfRule>
  </conditionalFormatting>
  <conditionalFormatting sqref="M139">
    <cfRule type="expression" dxfId="1" priority="594">
      <formula>OR($K139="否",$K139="")</formula>
    </cfRule>
  </conditionalFormatting>
  <conditionalFormatting sqref="L140:AB140">
    <cfRule type="expression" dxfId="1" priority="692">
      <formula>OR($K140="否",$K140="")</formula>
    </cfRule>
  </conditionalFormatting>
  <conditionalFormatting sqref="L141:AB141">
    <cfRule type="expression" dxfId="1" priority="691">
      <formula>OR($K141="否",$K141="")</formula>
    </cfRule>
  </conditionalFormatting>
  <conditionalFormatting sqref="L142:AB142">
    <cfRule type="expression" dxfId="1" priority="689">
      <formula>OR($K142="否",$K142="")</formula>
    </cfRule>
  </conditionalFormatting>
  <conditionalFormatting sqref="L143:AB143">
    <cfRule type="expression" dxfId="1" priority="688">
      <formula>OR($K143="否",$K143="")</formula>
    </cfRule>
  </conditionalFormatting>
  <conditionalFormatting sqref="L144:AB144">
    <cfRule type="expression" dxfId="1" priority="687">
      <formula>OR($K144="否",$K144="")</formula>
    </cfRule>
  </conditionalFormatting>
  <conditionalFormatting sqref="L145">
    <cfRule type="expression" dxfId="1" priority="55">
      <formula>OR($K145="否",$K145="")</formula>
    </cfRule>
  </conditionalFormatting>
  <conditionalFormatting sqref="M145">
    <cfRule type="expression" dxfId="1" priority="54">
      <formula>OR($K145="否",$K145="")</formula>
    </cfRule>
  </conditionalFormatting>
  <conditionalFormatting sqref="S145">
    <cfRule type="expression" dxfId="1" priority="411">
      <formula>OR($K145="否",$K145="")</formula>
    </cfRule>
  </conditionalFormatting>
  <conditionalFormatting sqref="T145">
    <cfRule type="expression" dxfId="1" priority="389">
      <formula>OR($K145="否",$K145="")</formula>
    </cfRule>
  </conditionalFormatting>
  <conditionalFormatting sqref="U145">
    <cfRule type="expression" dxfId="1" priority="367">
      <formula>OR($K145="否",$K145="")</formula>
    </cfRule>
  </conditionalFormatting>
  <conditionalFormatting sqref="L146">
    <cfRule type="expression" dxfId="1" priority="141">
      <formula>OR($K146="否",$K146="")</formula>
    </cfRule>
  </conditionalFormatting>
  <conditionalFormatting sqref="M146">
    <cfRule type="expression" dxfId="1" priority="132">
      <formula>OR($K146="否",$K146="")</formula>
    </cfRule>
  </conditionalFormatting>
  <conditionalFormatting sqref="N146:AB146">
    <cfRule type="expression" dxfId="1" priority="685">
      <formula>OR($K146="否",$K146="")</formula>
    </cfRule>
  </conditionalFormatting>
  <conditionalFormatting sqref="L147">
    <cfRule type="expression" dxfId="1" priority="53">
      <formula>OR($K147="否",$K147="")</formula>
    </cfRule>
  </conditionalFormatting>
  <conditionalFormatting sqref="M147">
    <cfRule type="expression" dxfId="1" priority="51">
      <formula>OR($K147="否",$K147="")</formula>
    </cfRule>
  </conditionalFormatting>
  <conditionalFormatting sqref="L148">
    <cfRule type="expression" dxfId="1" priority="52">
      <formula>OR($K148="否",$K148="")</formula>
    </cfRule>
  </conditionalFormatting>
  <conditionalFormatting sqref="M148">
    <cfRule type="expression" dxfId="1" priority="50">
      <formula>OR($K148="否",$K148="")</formula>
    </cfRule>
  </conditionalFormatting>
  <conditionalFormatting sqref="M149">
    <cfRule type="expression" dxfId="1" priority="593">
      <formula>OR($K149="否",$K149="")</formula>
    </cfRule>
  </conditionalFormatting>
  <conditionalFormatting sqref="L150">
    <cfRule type="expression" dxfId="1" priority="49">
      <formula>OR($K150="否",$K150="")</formula>
    </cfRule>
  </conditionalFormatting>
  <conditionalFormatting sqref="M150">
    <cfRule type="expression" dxfId="1" priority="48">
      <formula>OR($K150="否",$K150="")</formula>
    </cfRule>
  </conditionalFormatting>
  <conditionalFormatting sqref="S150">
    <cfRule type="expression" dxfId="1" priority="409">
      <formula>OR($K150="否",$K150="")</formula>
    </cfRule>
  </conditionalFormatting>
  <conditionalFormatting sqref="T150">
    <cfRule type="expression" dxfId="1" priority="387">
      <formula>OR($K150="否",$K150="")</formula>
    </cfRule>
  </conditionalFormatting>
  <conditionalFormatting sqref="U150">
    <cfRule type="expression" dxfId="1" priority="365">
      <formula>OR($K150="否",$K150="")</formula>
    </cfRule>
  </conditionalFormatting>
  <conditionalFormatting sqref="L151">
    <cfRule type="expression" dxfId="1" priority="140">
      <formula>OR($K151="否",$K151="")</formula>
    </cfRule>
  </conditionalFormatting>
  <conditionalFormatting sqref="M151">
    <cfRule type="expression" dxfId="1" priority="131">
      <formula>OR($K151="否",$K151="")</formula>
    </cfRule>
  </conditionalFormatting>
  <conditionalFormatting sqref="S151">
    <cfRule type="expression" dxfId="1" priority="189">
      <formula>OR($K151="否",$K151="")</formula>
    </cfRule>
  </conditionalFormatting>
  <conditionalFormatting sqref="T151">
    <cfRule type="expression" dxfId="1" priority="188">
      <formula>OR($K151="否",$K151="")</formula>
    </cfRule>
  </conditionalFormatting>
  <conditionalFormatting sqref="U151">
    <cfRule type="expression" dxfId="1" priority="187">
      <formula>OR($K151="否",$K151="")</formula>
    </cfRule>
  </conditionalFormatting>
  <conditionalFormatting sqref="L152">
    <cfRule type="expression" dxfId="1" priority="47">
      <formula>OR($K152="否",$K152="")</formula>
    </cfRule>
  </conditionalFormatting>
  <conditionalFormatting sqref="M152">
    <cfRule type="expression" dxfId="1" priority="45">
      <formula>OR($K152="否",$K152="")</formula>
    </cfRule>
  </conditionalFormatting>
  <conditionalFormatting sqref="S152">
    <cfRule type="expression" dxfId="1" priority="186">
      <formula>OR($K152="否",$K152="")</formula>
    </cfRule>
  </conditionalFormatting>
  <conditionalFormatting sqref="T152">
    <cfRule type="expression" dxfId="1" priority="185">
      <formula>OR($K152="否",$K152="")</formula>
    </cfRule>
  </conditionalFormatting>
  <conditionalFormatting sqref="U152">
    <cfRule type="expression" dxfId="1" priority="184">
      <formula>OR($K152="否",$K152="")</formula>
    </cfRule>
  </conditionalFormatting>
  <conditionalFormatting sqref="L153">
    <cfRule type="expression" dxfId="1" priority="46">
      <formula>OR($K153="否",$K153="")</formula>
    </cfRule>
  </conditionalFormatting>
  <conditionalFormatting sqref="M153">
    <cfRule type="expression" dxfId="1" priority="44">
      <formula>OR($K153="否",$K153="")</formula>
    </cfRule>
  </conditionalFormatting>
  <conditionalFormatting sqref="S153">
    <cfRule type="expression" dxfId="1" priority="183">
      <formula>OR($K153="否",$K153="")</formula>
    </cfRule>
  </conditionalFormatting>
  <conditionalFormatting sqref="T153">
    <cfRule type="expression" dxfId="1" priority="182">
      <formula>OR($K153="否",$K153="")</formula>
    </cfRule>
  </conditionalFormatting>
  <conditionalFormatting sqref="U153">
    <cfRule type="expression" dxfId="1" priority="181">
      <formula>OR($K153="否",$K153="")</formula>
    </cfRule>
  </conditionalFormatting>
  <conditionalFormatting sqref="M154">
    <cfRule type="expression" dxfId="1" priority="592">
      <formula>OR($K154="否",$K154="")</formula>
    </cfRule>
  </conditionalFormatting>
  <conditionalFormatting sqref="L155:AB155">
    <cfRule type="expression" dxfId="1" priority="675">
      <formula>OR($K155="否",$K155="")</formula>
    </cfRule>
  </conditionalFormatting>
  <conditionalFormatting sqref="L156:AB156">
    <cfRule type="expression" dxfId="1" priority="674">
      <formula>OR($K156="否",$K156="")</formula>
    </cfRule>
  </conditionalFormatting>
  <conditionalFormatting sqref="L157">
    <cfRule type="expression" dxfId="1" priority="43">
      <formula>OR($K157="否",$K157="")</formula>
    </cfRule>
  </conditionalFormatting>
  <conditionalFormatting sqref="M157">
    <cfRule type="expression" dxfId="1" priority="42">
      <formula>OR($K157="否",$K157="")</formula>
    </cfRule>
  </conditionalFormatting>
  <conditionalFormatting sqref="S157">
    <cfRule type="expression" dxfId="1" priority="408">
      <formula>OR($K157="否",$K157="")</formula>
    </cfRule>
  </conditionalFormatting>
  <conditionalFormatting sqref="T157">
    <cfRule type="expression" dxfId="1" priority="386">
      <formula>OR($K157="否",$K157="")</formula>
    </cfRule>
  </conditionalFormatting>
  <conditionalFormatting sqref="U157">
    <cfRule type="expression" dxfId="1" priority="364">
      <formula>OR($K157="否",$K157="")</formula>
    </cfRule>
  </conditionalFormatting>
  <conditionalFormatting sqref="L158:AB158">
    <cfRule type="expression" dxfId="1" priority="672">
      <formula>OR($K158="否",$K158="")</formula>
    </cfRule>
  </conditionalFormatting>
  <conditionalFormatting sqref="L159">
    <cfRule type="expression" dxfId="1" priority="41">
      <formula>OR($K159="否",$K159="")</formula>
    </cfRule>
  </conditionalFormatting>
  <conditionalFormatting sqref="M159">
    <cfRule type="expression" dxfId="1" priority="40">
      <formula>OR($K159="否",$K159="")</formula>
    </cfRule>
  </conditionalFormatting>
  <conditionalFormatting sqref="S159">
    <cfRule type="expression" dxfId="1" priority="407">
      <formula>OR($K159="否",$K159="")</formula>
    </cfRule>
  </conditionalFormatting>
  <conditionalFormatting sqref="T159">
    <cfRule type="expression" dxfId="1" priority="385">
      <formula>OR($K159="否",$K159="")</formula>
    </cfRule>
  </conditionalFormatting>
  <conditionalFormatting sqref="U159">
    <cfRule type="expression" dxfId="1" priority="363">
      <formula>OR($K159="否",$K159="")</formula>
    </cfRule>
  </conditionalFormatting>
  <conditionalFormatting sqref="M160">
    <cfRule type="expression" dxfId="1" priority="591">
      <formula>OR($K160="否",$K160="")</formula>
    </cfRule>
  </conditionalFormatting>
  <conditionalFormatting sqref="L161:AB161">
    <cfRule type="expression" dxfId="1" priority="669">
      <formula>OR($K161="否",$K161="")</formula>
    </cfRule>
  </conditionalFormatting>
  <conditionalFormatting sqref="L162">
    <cfRule type="expression" dxfId="1" priority="139">
      <formula>OR($K162="否",$K162="")</formula>
    </cfRule>
  </conditionalFormatting>
  <conditionalFormatting sqref="M162">
    <cfRule type="expression" dxfId="1" priority="130">
      <formula>OR($K162="否",$K162="")</formula>
    </cfRule>
  </conditionalFormatting>
  <conditionalFormatting sqref="N162:AB162">
    <cfRule type="expression" dxfId="1" priority="668">
      <formula>OR($K162="否",$K162="")</formula>
    </cfRule>
  </conditionalFormatting>
  <conditionalFormatting sqref="L163:AB163">
    <cfRule type="expression" dxfId="1" priority="667">
      <formula>OR($K163="否",$K163="")</formula>
    </cfRule>
  </conditionalFormatting>
  <conditionalFormatting sqref="L164">
    <cfRule type="expression" dxfId="1" priority="39">
      <formula>OR($K164="否",$K164="")</formula>
    </cfRule>
  </conditionalFormatting>
  <conditionalFormatting sqref="M164">
    <cfRule type="expression" dxfId="1" priority="38">
      <formula>OR($K164="否",$K164="")</formula>
    </cfRule>
  </conditionalFormatting>
  <conditionalFormatting sqref="S164">
    <cfRule type="expression" dxfId="1" priority="406">
      <formula>OR($K164="否",$K164="")</formula>
    </cfRule>
  </conditionalFormatting>
  <conditionalFormatting sqref="T164">
    <cfRule type="expression" dxfId="1" priority="384">
      <formula>OR($K164="否",$K164="")</formula>
    </cfRule>
  </conditionalFormatting>
  <conditionalFormatting sqref="U164">
    <cfRule type="expression" dxfId="1" priority="362">
      <formula>OR($K164="否",$K164="")</formula>
    </cfRule>
  </conditionalFormatting>
  <conditionalFormatting sqref="L167">
    <cfRule type="expression" dxfId="1" priority="37">
      <formula>OR($K167="否",$K167="")</formula>
    </cfRule>
  </conditionalFormatting>
  <conditionalFormatting sqref="M167">
    <cfRule type="expression" dxfId="1" priority="36">
      <formula>OR($K167="否",$K167="")</formula>
    </cfRule>
  </conditionalFormatting>
  <conditionalFormatting sqref="S167">
    <cfRule type="expression" dxfId="1" priority="180">
      <formula>OR($K167="否",$K167="")</formula>
    </cfRule>
  </conditionalFormatting>
  <conditionalFormatting sqref="T167">
    <cfRule type="expression" dxfId="1" priority="179">
      <formula>OR($K167="否",$K167="")</formula>
    </cfRule>
  </conditionalFormatting>
  <conditionalFormatting sqref="U167">
    <cfRule type="expression" dxfId="1" priority="178">
      <formula>OR($K167="否",$K167="")</formula>
    </cfRule>
  </conditionalFormatting>
  <conditionalFormatting sqref="M168">
    <cfRule type="expression" dxfId="1" priority="565">
      <formula>OR($K168="否",$K168="")</formula>
    </cfRule>
  </conditionalFormatting>
  <conditionalFormatting sqref="L169:AB169">
    <cfRule type="expression" dxfId="1" priority="661">
      <formula>OR($K169="否",$K169="")</formula>
    </cfRule>
  </conditionalFormatting>
  <conditionalFormatting sqref="M170">
    <cfRule type="expression" dxfId="1" priority="564">
      <formula>OR($K170="否",$K170="")</formula>
    </cfRule>
  </conditionalFormatting>
  <conditionalFormatting sqref="L171">
    <cfRule type="expression" dxfId="1" priority="35">
      <formula>OR($K171="否",$K171="")</formula>
    </cfRule>
  </conditionalFormatting>
  <conditionalFormatting sqref="M171">
    <cfRule type="expression" dxfId="1" priority="34">
      <formula>OR($K171="否",$K171="")</formula>
    </cfRule>
  </conditionalFormatting>
  <conditionalFormatting sqref="S171">
    <cfRule type="expression" dxfId="1" priority="177">
      <formula>OR($K171="否",$K171="")</formula>
    </cfRule>
  </conditionalFormatting>
  <conditionalFormatting sqref="T171">
    <cfRule type="expression" dxfId="1" priority="175">
      <formula>OR($K171="否",$K171="")</formula>
    </cfRule>
  </conditionalFormatting>
  <conditionalFormatting sqref="U171">
    <cfRule type="expression" dxfId="1" priority="173">
      <formula>OR($K171="否",$K171="")</formula>
    </cfRule>
  </conditionalFormatting>
  <conditionalFormatting sqref="L172">
    <cfRule type="expression" dxfId="1" priority="138">
      <formula>OR($K172="否",$K172="")</formula>
    </cfRule>
  </conditionalFormatting>
  <conditionalFormatting sqref="M172">
    <cfRule type="expression" dxfId="1" priority="129">
      <formula>OR($K172="否",$K172="")</formula>
    </cfRule>
  </conditionalFormatting>
  <conditionalFormatting sqref="S172">
    <cfRule type="expression" dxfId="1" priority="176">
      <formula>OR($K172="否",$K172="")</formula>
    </cfRule>
  </conditionalFormatting>
  <conditionalFormatting sqref="T172">
    <cfRule type="expression" dxfId="1" priority="174">
      <formula>OR($K172="否",$K172="")</formula>
    </cfRule>
  </conditionalFormatting>
  <conditionalFormatting sqref="U172">
    <cfRule type="expression" dxfId="1" priority="172">
      <formula>OR($K172="否",$K172="")</formula>
    </cfRule>
  </conditionalFormatting>
  <conditionalFormatting sqref="L173">
    <cfRule type="expression" dxfId="1" priority="33">
      <formula>OR($K173="否",$K173="")</formula>
    </cfRule>
  </conditionalFormatting>
  <conditionalFormatting sqref="M173">
    <cfRule type="expression" dxfId="1" priority="32">
      <formula>OR($K173="否",$K173="")</formula>
    </cfRule>
  </conditionalFormatting>
  <conditionalFormatting sqref="S173">
    <cfRule type="expression" dxfId="1" priority="405">
      <formula>OR($K173="否",$K173="")</formula>
    </cfRule>
  </conditionalFormatting>
  <conditionalFormatting sqref="T173">
    <cfRule type="expression" dxfId="1" priority="383">
      <formula>OR($K173="否",$K173="")</formula>
    </cfRule>
  </conditionalFormatting>
  <conditionalFormatting sqref="U173">
    <cfRule type="expression" dxfId="1" priority="361">
      <formula>OR($K173="否",$K173="")</formula>
    </cfRule>
  </conditionalFormatting>
  <conditionalFormatting sqref="L174:AB174">
    <cfRule type="expression" dxfId="1" priority="655">
      <formula>OR($K174="否",$K174="")</formula>
    </cfRule>
  </conditionalFormatting>
  <conditionalFormatting sqref="L175:AB175">
    <cfRule type="expression" dxfId="1" priority="654">
      <formula>OR($K175="否",$K175="")</formula>
    </cfRule>
  </conditionalFormatting>
  <conditionalFormatting sqref="L176">
    <cfRule type="expression" dxfId="1" priority="31">
      <formula>OR($K176="否",$K176="")</formula>
    </cfRule>
  </conditionalFormatting>
  <conditionalFormatting sqref="M176">
    <cfRule type="expression" dxfId="1" priority="30">
      <formula>OR($K176="否",$K176="")</formula>
    </cfRule>
  </conditionalFormatting>
  <conditionalFormatting sqref="S176">
    <cfRule type="expression" dxfId="1" priority="171">
      <formula>OR($K176="否",$K176="")</formula>
    </cfRule>
  </conditionalFormatting>
  <conditionalFormatting sqref="T176">
    <cfRule type="expression" dxfId="1" priority="170">
      <formula>OR($K176="否",$K176="")</formula>
    </cfRule>
  </conditionalFormatting>
  <conditionalFormatting sqref="U176">
    <cfRule type="expression" dxfId="1" priority="169">
      <formula>OR($K176="否",$K176="")</formula>
    </cfRule>
  </conditionalFormatting>
  <conditionalFormatting sqref="L177:AB177">
    <cfRule type="expression" dxfId="1" priority="651">
      <formula>OR($K177="否",$K177="")</formula>
    </cfRule>
  </conditionalFormatting>
  <conditionalFormatting sqref="M178">
    <cfRule type="expression" dxfId="1" priority="562">
      <formula>OR($K178="否",$K178="")</formula>
    </cfRule>
  </conditionalFormatting>
  <conditionalFormatting sqref="L179:AB179">
    <cfRule type="expression" dxfId="1" priority="649">
      <formula>OR($K179="否",$K179="")</formula>
    </cfRule>
  </conditionalFormatting>
  <conditionalFormatting sqref="L180:AB180">
    <cfRule type="expression" dxfId="1" priority="648">
      <formula>OR($K180="否",$K180="")</formula>
    </cfRule>
  </conditionalFormatting>
  <conditionalFormatting sqref="L181:AB181">
    <cfRule type="expression" dxfId="1" priority="647">
      <formula>OR($K181="否",$K181="")</formula>
    </cfRule>
  </conditionalFormatting>
  <conditionalFormatting sqref="L182:AB182">
    <cfRule type="expression" dxfId="1" priority="646">
      <formula>OR($K182="否",$K182="")</formula>
    </cfRule>
  </conditionalFormatting>
  <conditionalFormatting sqref="L183:AB183">
    <cfRule type="expression" dxfId="1" priority="645">
      <formula>OR($K183="否",$K183="")</formula>
    </cfRule>
  </conditionalFormatting>
  <conditionalFormatting sqref="L184:AB184">
    <cfRule type="expression" dxfId="1" priority="644">
      <formula>OR($K184="否",$K184="")</formula>
    </cfRule>
  </conditionalFormatting>
  <conditionalFormatting sqref="L185:AB185">
    <cfRule type="expression" dxfId="1" priority="643">
      <formula>OR($K185="否",$K185="")</formula>
    </cfRule>
  </conditionalFormatting>
  <conditionalFormatting sqref="M186">
    <cfRule type="expression" dxfId="1" priority="561">
      <formula>OR($K186="否",$K186="")</formula>
    </cfRule>
  </conditionalFormatting>
  <conditionalFormatting sqref="L189">
    <cfRule type="expression" dxfId="1" priority="29">
      <formula>OR($K189="否",$K189="")</formula>
    </cfRule>
  </conditionalFormatting>
  <conditionalFormatting sqref="M189">
    <cfRule type="expression" dxfId="1" priority="28">
      <formula>OR($K189="否",$K189="")</formula>
    </cfRule>
  </conditionalFormatting>
  <conditionalFormatting sqref="S189">
    <cfRule type="expression" dxfId="1" priority="404">
      <formula>OR($K189="否",$K189="")</formula>
    </cfRule>
  </conditionalFormatting>
  <conditionalFormatting sqref="T189">
    <cfRule type="expression" dxfId="1" priority="382">
      <formula>OR($K189="否",$K189="")</formula>
    </cfRule>
  </conditionalFormatting>
  <conditionalFormatting sqref="U189">
    <cfRule type="expression" dxfId="1" priority="360">
      <formula>OR($K189="否",$K189="")</formula>
    </cfRule>
  </conditionalFormatting>
  <conditionalFormatting sqref="L190:AB190">
    <cfRule type="expression" dxfId="1" priority="638">
      <formula>OR($K190="否",$K190="")</formula>
    </cfRule>
  </conditionalFormatting>
  <conditionalFormatting sqref="L191">
    <cfRule type="expression" dxfId="1" priority="27">
      <formula>OR($K191="否",$K191="")</formula>
    </cfRule>
  </conditionalFormatting>
  <conditionalFormatting sqref="M191">
    <cfRule type="expression" dxfId="1" priority="25">
      <formula>OR($K191="否",$K191="")</formula>
    </cfRule>
  </conditionalFormatting>
  <conditionalFormatting sqref="S191">
    <cfRule type="expression" dxfId="1" priority="168">
      <formula>OR($K191="否",$K191="")</formula>
    </cfRule>
  </conditionalFormatting>
  <conditionalFormatting sqref="T191">
    <cfRule type="expression" dxfId="1" priority="166">
      <formula>OR($K191="否",$K191="")</formula>
    </cfRule>
  </conditionalFormatting>
  <conditionalFormatting sqref="U191">
    <cfRule type="expression" dxfId="1" priority="164">
      <formula>OR($K191="否",$K191="")</formula>
    </cfRule>
  </conditionalFormatting>
  <conditionalFormatting sqref="L192">
    <cfRule type="expression" dxfId="1" priority="26">
      <formula>OR($K192="否",$K192="")</formula>
    </cfRule>
  </conditionalFormatting>
  <conditionalFormatting sqref="M192">
    <cfRule type="expression" dxfId="1" priority="24">
      <formula>OR($K192="否",$K192="")</formula>
    </cfRule>
  </conditionalFormatting>
  <conditionalFormatting sqref="S192">
    <cfRule type="expression" dxfId="1" priority="167">
      <formula>OR($K192="否",$K192="")</formula>
    </cfRule>
  </conditionalFormatting>
  <conditionalFormatting sqref="T192">
    <cfRule type="expression" dxfId="1" priority="165">
      <formula>OR($K192="否",$K192="")</formula>
    </cfRule>
  </conditionalFormatting>
  <conditionalFormatting sqref="U192">
    <cfRule type="expression" dxfId="1" priority="163">
      <formula>OR($K192="否",$K192="")</formula>
    </cfRule>
  </conditionalFormatting>
  <conditionalFormatting sqref="L193:AB193">
    <cfRule type="expression" dxfId="1" priority="635">
      <formula>OR($K193="否",$K193="")</formula>
    </cfRule>
  </conditionalFormatting>
  <conditionalFormatting sqref="L194:AB194">
    <cfRule type="expression" dxfId="1" priority="634">
      <formula>OR($K194="否",$K194="")</formula>
    </cfRule>
  </conditionalFormatting>
  <conditionalFormatting sqref="L195">
    <cfRule type="expression" dxfId="1" priority="23">
      <formula>OR($K195="否",$K195="")</formula>
    </cfRule>
  </conditionalFormatting>
  <conditionalFormatting sqref="M195">
    <cfRule type="expression" dxfId="1" priority="22">
      <formula>OR($K195="否",$K195="")</formula>
    </cfRule>
  </conditionalFormatting>
  <conditionalFormatting sqref="S195">
    <cfRule type="expression" dxfId="1" priority="162">
      <formula>OR($K195="否",$K195="")</formula>
    </cfRule>
  </conditionalFormatting>
  <conditionalFormatting sqref="T195">
    <cfRule type="expression" dxfId="1" priority="161">
      <formula>OR($K195="否",$K195="")</formula>
    </cfRule>
  </conditionalFormatting>
  <conditionalFormatting sqref="U195">
    <cfRule type="expression" dxfId="1" priority="160">
      <formula>OR($K195="否",$K195="")</formula>
    </cfRule>
  </conditionalFormatting>
  <conditionalFormatting sqref="L196:AB196">
    <cfRule type="expression" dxfId="1" priority="632">
      <formula>OR($K196="否",$K196="")</formula>
    </cfRule>
  </conditionalFormatting>
  <conditionalFormatting sqref="L197:AB197">
    <cfRule type="expression" dxfId="1" priority="631">
      <formula>OR($K197="否",$K197="")</formula>
    </cfRule>
  </conditionalFormatting>
  <conditionalFormatting sqref="L198:AB198">
    <cfRule type="expression" dxfId="1" priority="630">
      <formula>OR($K198="否",$K198="")</formula>
    </cfRule>
  </conditionalFormatting>
  <conditionalFormatting sqref="M199">
    <cfRule type="expression" dxfId="1" priority="560">
      <formula>OR($K199="否",$K199="")</formula>
    </cfRule>
  </conditionalFormatting>
  <conditionalFormatting sqref="L200:AB200">
    <cfRule type="expression" dxfId="1" priority="628">
      <formula>OR($K200="否",$K200="")</formula>
    </cfRule>
  </conditionalFormatting>
  <conditionalFormatting sqref="L201:AB201">
    <cfRule type="expression" dxfId="1" priority="627">
      <formula>OR($K201="否",$K201="")</formula>
    </cfRule>
  </conditionalFormatting>
  <conditionalFormatting sqref="L202">
    <cfRule type="expression" dxfId="1" priority="21">
      <formula>OR($K202="否",$K202="")</formula>
    </cfRule>
  </conditionalFormatting>
  <conditionalFormatting sqref="M202">
    <cfRule type="expression" dxfId="1" priority="20">
      <formula>OR($K202="否",$K202="")</formula>
    </cfRule>
  </conditionalFormatting>
  <conditionalFormatting sqref="S202">
    <cfRule type="expression" dxfId="1" priority="403">
      <formula>OR($K202="否",$K202="")</formula>
    </cfRule>
  </conditionalFormatting>
  <conditionalFormatting sqref="T202">
    <cfRule type="expression" dxfId="1" priority="381">
      <formula>OR($K202="否",$K202="")</formula>
    </cfRule>
  </conditionalFormatting>
  <conditionalFormatting sqref="U202">
    <cfRule type="expression" dxfId="1" priority="359">
      <formula>OR($K202="否",$K202="")</formula>
    </cfRule>
  </conditionalFormatting>
  <conditionalFormatting sqref="L203">
    <cfRule type="expression" dxfId="1" priority="137">
      <formula>OR($K203="否",$K203="")</formula>
    </cfRule>
  </conditionalFormatting>
  <conditionalFormatting sqref="M203">
    <cfRule type="expression" dxfId="1" priority="128">
      <formula>OR($K203="否",$K203="")</formula>
    </cfRule>
  </conditionalFormatting>
  <conditionalFormatting sqref="S203">
    <cfRule type="expression" dxfId="1" priority="159">
      <formula>OR($K203="否",$K203="")</formula>
    </cfRule>
  </conditionalFormatting>
  <conditionalFormatting sqref="T203">
    <cfRule type="expression" dxfId="1" priority="157">
      <formula>OR($K203="否",$K203="")</formula>
    </cfRule>
  </conditionalFormatting>
  <conditionalFormatting sqref="U203">
    <cfRule type="expression" dxfId="1" priority="155">
      <formula>OR($K203="否",$K203="")</formula>
    </cfRule>
  </conditionalFormatting>
  <conditionalFormatting sqref="L204">
    <cfRule type="expression" dxfId="1" priority="19">
      <formula>OR($K204="否",$K204="")</formula>
    </cfRule>
  </conditionalFormatting>
  <conditionalFormatting sqref="M204">
    <cfRule type="expression" dxfId="1" priority="17">
      <formula>OR($K204="否",$K204="")</formula>
    </cfRule>
  </conditionalFormatting>
  <conditionalFormatting sqref="S204">
    <cfRule type="expression" dxfId="1" priority="158">
      <formula>OR($K204="否",$K204="")</formula>
    </cfRule>
  </conditionalFormatting>
  <conditionalFormatting sqref="T204">
    <cfRule type="expression" dxfId="1" priority="156">
      <formula>OR($K204="否",$K204="")</formula>
    </cfRule>
  </conditionalFormatting>
  <conditionalFormatting sqref="U204">
    <cfRule type="expression" dxfId="1" priority="154">
      <formula>OR($K204="否",$K204="")</formula>
    </cfRule>
  </conditionalFormatting>
  <conditionalFormatting sqref="L205">
    <cfRule type="expression" dxfId="1" priority="18">
      <formula>OR($K205="否",$K205="")</formula>
    </cfRule>
  </conditionalFormatting>
  <conditionalFormatting sqref="M205">
    <cfRule type="expression" dxfId="1" priority="16">
      <formula>OR($K205="否",$K205="")</formula>
    </cfRule>
  </conditionalFormatting>
  <conditionalFormatting sqref="S205">
    <cfRule type="expression" dxfId="1" priority="402">
      <formula>OR($K205="否",$K205="")</formula>
    </cfRule>
  </conditionalFormatting>
  <conditionalFormatting sqref="T205">
    <cfRule type="expression" dxfId="1" priority="380">
      <formula>OR($K205="否",$K205="")</formula>
    </cfRule>
  </conditionalFormatting>
  <conditionalFormatting sqref="U205">
    <cfRule type="expression" dxfId="1" priority="358">
      <formula>OR($K205="否",$K205="")</formula>
    </cfRule>
  </conditionalFormatting>
  <conditionalFormatting sqref="L206:AB206">
    <cfRule type="expression" dxfId="1" priority="622">
      <formula>OR($K206="否",$K206="")</formula>
    </cfRule>
  </conditionalFormatting>
  <conditionalFormatting sqref="L207:AB207">
    <cfRule type="expression" dxfId="1" priority="621">
      <formula>OR($K207="否",$K207="")</formula>
    </cfRule>
  </conditionalFormatting>
  <conditionalFormatting sqref="L210:AB210">
    <cfRule type="expression" dxfId="1" priority="618">
      <formula>OR($K210="否",$K210="")</formula>
    </cfRule>
  </conditionalFormatting>
  <conditionalFormatting sqref="L211:AB211">
    <cfRule type="expression" dxfId="1" priority="617">
      <formula>OR($K211="否",$K211="")</formula>
    </cfRule>
  </conditionalFormatting>
  <conditionalFormatting sqref="L212:AB212">
    <cfRule type="expression" dxfId="1" priority="616">
      <formula>OR($K212="否",$K212="")</formula>
    </cfRule>
  </conditionalFormatting>
  <conditionalFormatting sqref="L213:AB213">
    <cfRule type="expression" dxfId="1" priority="615">
      <formula>OR($K213="否",$K213="")</formula>
    </cfRule>
  </conditionalFormatting>
  <conditionalFormatting sqref="L214:AB214">
    <cfRule type="expression" dxfId="1" priority="614">
      <formula>OR($K214="否",$K214="")</formula>
    </cfRule>
  </conditionalFormatting>
  <conditionalFormatting sqref="L215">
    <cfRule type="expression" dxfId="1" priority="15">
      <formula>OR($K215="否",$K215="")</formula>
    </cfRule>
  </conditionalFormatting>
  <conditionalFormatting sqref="M215">
    <cfRule type="expression" dxfId="1" priority="14">
      <formula>OR($K215="否",$K215="")</formula>
    </cfRule>
  </conditionalFormatting>
  <conditionalFormatting sqref="S215">
    <cfRule type="expression" dxfId="1" priority="401">
      <formula>OR($K215="否",$K215="")</formula>
    </cfRule>
  </conditionalFormatting>
  <conditionalFormatting sqref="T215">
    <cfRule type="expression" dxfId="1" priority="379">
      <formula>OR($K215="否",$K215="")</formula>
    </cfRule>
  </conditionalFormatting>
  <conditionalFormatting sqref="U215">
    <cfRule type="expression" dxfId="1" priority="357">
      <formula>OR($K215="否",$K215="")</formula>
    </cfRule>
  </conditionalFormatting>
  <conditionalFormatting sqref="L216:AB216">
    <cfRule type="expression" dxfId="1" priority="612">
      <formula>OR($K216="否",$K216="")</formula>
    </cfRule>
  </conditionalFormatting>
  <conditionalFormatting sqref="L217:AB217">
    <cfRule type="expression" dxfId="1" priority="611">
      <formula>OR($K217="否",$K217="")</formula>
    </cfRule>
  </conditionalFormatting>
  <conditionalFormatting sqref="L218:AB218">
    <cfRule type="expression" dxfId="1" priority="610">
      <formula>OR($K218="否",$K218="")</formula>
    </cfRule>
  </conditionalFormatting>
  <conditionalFormatting sqref="L221">
    <cfRule type="expression" dxfId="1" priority="13">
      <formula>OR($K221="否",$K221="")</formula>
    </cfRule>
  </conditionalFormatting>
  <conditionalFormatting sqref="M221">
    <cfRule type="expression" dxfId="1" priority="12">
      <formula>OR($K221="否",$K221="")</formula>
    </cfRule>
  </conditionalFormatting>
  <conditionalFormatting sqref="S221">
    <cfRule type="expression" dxfId="1" priority="400">
      <formula>OR($K221="否",$K221="")</formula>
    </cfRule>
  </conditionalFormatting>
  <conditionalFormatting sqref="T221">
    <cfRule type="expression" dxfId="1" priority="378">
      <formula>OR($K221="否",$K221="")</formula>
    </cfRule>
  </conditionalFormatting>
  <conditionalFormatting sqref="U221">
    <cfRule type="expression" dxfId="1" priority="356">
      <formula>OR($K221="否",$K221="")</formula>
    </cfRule>
  </conditionalFormatting>
  <conditionalFormatting sqref="M222">
    <cfRule type="expression" dxfId="1" priority="516">
      <formula>OR($K222="否",$K222="")</formula>
    </cfRule>
  </conditionalFormatting>
  <conditionalFormatting sqref="M223">
    <cfRule type="expression" dxfId="1" priority="515">
      <formula>OR($K223="否",$K223="")</formula>
    </cfRule>
  </conditionalFormatting>
  <conditionalFormatting sqref="L225">
    <cfRule type="expression" dxfId="1" priority="11">
      <formula>OR($K225="否",$K225="")</formula>
    </cfRule>
  </conditionalFormatting>
  <conditionalFormatting sqref="M225">
    <cfRule type="expression" dxfId="1" priority="8">
      <formula>OR($K225="否",$K225="")</formula>
    </cfRule>
  </conditionalFormatting>
  <conditionalFormatting sqref="S225">
    <cfRule type="expression" dxfId="1" priority="153">
      <formula>OR($K225="否",$K225="")</formula>
    </cfRule>
  </conditionalFormatting>
  <conditionalFormatting sqref="T225">
    <cfRule type="expression" dxfId="1" priority="152">
      <formula>OR($K225="否",$K225="")</formula>
    </cfRule>
  </conditionalFormatting>
  <conditionalFormatting sqref="U225">
    <cfRule type="expression" dxfId="1" priority="151">
      <formula>OR($K225="否",$K225="")</formula>
    </cfRule>
  </conditionalFormatting>
  <conditionalFormatting sqref="L226">
    <cfRule type="expression" dxfId="1" priority="10">
      <formula>OR($K226="否",$K226="")</formula>
    </cfRule>
  </conditionalFormatting>
  <conditionalFormatting sqref="M226">
    <cfRule type="expression" dxfId="1" priority="7">
      <formula>OR($K226="否",$K226="")</formula>
    </cfRule>
  </conditionalFormatting>
  <conditionalFormatting sqref="Q226:AB226">
    <cfRule type="expression" dxfId="1" priority="553">
      <formula>OR($K226="否",$K226="")</formula>
    </cfRule>
  </conditionalFormatting>
  <conditionalFormatting sqref="L227">
    <cfRule type="expression" dxfId="1" priority="9">
      <formula>OR($K227="否",$K227="")</formula>
    </cfRule>
  </conditionalFormatting>
  <conditionalFormatting sqref="M227">
    <cfRule type="expression" dxfId="1" priority="6">
      <formula>OR($K227="否",$K227="")</formula>
    </cfRule>
  </conditionalFormatting>
  <conditionalFormatting sqref="S227">
    <cfRule type="expression" dxfId="1" priority="150">
      <formula>OR($K227="否",$K227="")</formula>
    </cfRule>
  </conditionalFormatting>
  <conditionalFormatting sqref="T227">
    <cfRule type="expression" dxfId="1" priority="149">
      <formula>OR($K227="否",$K227="")</formula>
    </cfRule>
  </conditionalFormatting>
  <conditionalFormatting sqref="U227">
    <cfRule type="expression" dxfId="1" priority="148">
      <formula>OR($K227="否",$K227="")</formula>
    </cfRule>
  </conditionalFormatting>
  <conditionalFormatting sqref="M228">
    <cfRule type="expression" dxfId="1" priority="3">
      <formula>OR($K228="否",$K228="")</formula>
    </cfRule>
  </conditionalFormatting>
  <conditionalFormatting sqref="S228:U228">
    <cfRule type="expression" dxfId="1" priority="2">
      <formula>OR($K228="否",$K228="")</formula>
    </cfRule>
  </conditionalFormatting>
  <conditionalFormatting sqref="L229">
    <cfRule type="expression" dxfId="1" priority="5">
      <formula>OR($K229="否",$K229="")</formula>
    </cfRule>
  </conditionalFormatting>
  <conditionalFormatting sqref="M229">
    <cfRule type="expression" dxfId="1" priority="4">
      <formula>OR($K229="否",$K229="")</formula>
    </cfRule>
  </conditionalFormatting>
  <conditionalFormatting sqref="S229">
    <cfRule type="expression" dxfId="1" priority="147">
      <formula>OR($K229="否",$K229="")</formula>
    </cfRule>
  </conditionalFormatting>
  <conditionalFormatting sqref="T229">
    <cfRule type="expression" dxfId="1" priority="146">
      <formula>OR($K229="否",$K229="")</formula>
    </cfRule>
  </conditionalFormatting>
  <conditionalFormatting sqref="U229">
    <cfRule type="expression" dxfId="1" priority="145">
      <formula>OR($K229="否",$K229="")</formula>
    </cfRule>
  </conditionalFormatting>
  <conditionalFormatting sqref="Q230:AB230">
    <cfRule type="expression" dxfId="1" priority="549">
      <formula>OR($K230="否",$K230="")</formula>
    </cfRule>
  </conditionalFormatting>
  <conditionalFormatting sqref="S233:U233">
    <cfRule type="expression" dxfId="1" priority="1">
      <formula>OR($K233="否",$K233="")</formula>
    </cfRule>
  </conditionalFormatting>
  <conditionalFormatting sqref="R234:AB234">
    <cfRule type="expression" dxfId="1" priority="542">
      <formula>OR($K234="否",$K234="")</formula>
    </cfRule>
  </conditionalFormatting>
  <conditionalFormatting sqref="Q235:AB235">
    <cfRule type="expression" dxfId="1" priority="541">
      <formula>OR($K235="否",$K235="")</formula>
    </cfRule>
  </conditionalFormatting>
  <conditionalFormatting sqref="Q236:AB236">
    <cfRule type="expression" dxfId="1" priority="540">
      <formula>OR($K236="否",$K236="")</formula>
    </cfRule>
  </conditionalFormatting>
  <conditionalFormatting sqref="B6:B275">
    <cfRule type="duplicateValues" dxfId="0" priority="825"/>
  </conditionalFormatting>
  <conditionalFormatting sqref="H78:H79">
    <cfRule type="expression" dxfId="1" priority="454">
      <formula>OR($K78="否",$K78="")</formula>
    </cfRule>
  </conditionalFormatting>
  <conditionalFormatting sqref="L53:L54">
    <cfRule type="expression" dxfId="1" priority="144">
      <formula>OR($K53="否",$K53="")</formula>
    </cfRule>
  </conditionalFormatting>
  <conditionalFormatting sqref="M25:M26">
    <cfRule type="expression" dxfId="1" priority="583">
      <formula>OR($K25="否",$K25="")</formula>
    </cfRule>
  </conditionalFormatting>
  <conditionalFormatting sqref="M52:M54">
    <cfRule type="expression" dxfId="1" priority="135">
      <formula>OR($K52="否",$K52="")</formula>
    </cfRule>
  </conditionalFormatting>
  <conditionalFormatting sqref="M93:M94">
    <cfRule type="expression" dxfId="1" priority="571">
      <formula>OR($K93="否",$K93="")</formula>
    </cfRule>
  </conditionalFormatting>
  <conditionalFormatting sqref="M165:M166">
    <cfRule type="expression" dxfId="1" priority="590">
      <formula>OR($K165="否",$K165="")</formula>
    </cfRule>
  </conditionalFormatting>
  <conditionalFormatting sqref="M187:M188">
    <cfRule type="expression" dxfId="1" priority="589">
      <formula>OR($K187="否",$K187="")</formula>
    </cfRule>
  </conditionalFormatting>
  <conditionalFormatting sqref="M208:M209">
    <cfRule type="expression" dxfId="1" priority="559">
      <formula>OR($K208="否",$K208="")</formula>
    </cfRule>
  </conditionalFormatting>
  <conditionalFormatting sqref="M219:M220">
    <cfRule type="expression" dxfId="1" priority="587">
      <formula>OR($K219="否",$K219="")</formula>
    </cfRule>
  </conditionalFormatting>
  <conditionalFormatting sqref="S55:S56">
    <cfRule type="expression" dxfId="1" priority="417">
      <formula>OR($K55="否",$K55="")</formula>
    </cfRule>
  </conditionalFormatting>
  <conditionalFormatting sqref="S74:S75">
    <cfRule type="expression" dxfId="1" priority="415">
      <formula>OR($K74="否",$K74="")</formula>
    </cfRule>
  </conditionalFormatting>
  <conditionalFormatting sqref="S112:S113">
    <cfRule type="expression" dxfId="1" priority="413">
      <formula>OR($K112="否",$K112="")</formula>
    </cfRule>
  </conditionalFormatting>
  <conditionalFormatting sqref="S147:S148">
    <cfRule type="expression" dxfId="1" priority="410">
      <formula>OR($K147="否",$K147="")</formula>
    </cfRule>
  </conditionalFormatting>
  <conditionalFormatting sqref="T55:T56">
    <cfRule type="expression" dxfId="1" priority="395">
      <formula>OR($K55="否",$K55="")</formula>
    </cfRule>
  </conditionalFormatting>
  <conditionalFormatting sqref="T74:T75">
    <cfRule type="expression" dxfId="1" priority="393">
      <formula>OR($K74="否",$K74="")</formula>
    </cfRule>
  </conditionalFormatting>
  <conditionalFormatting sqref="T112:T113">
    <cfRule type="expression" dxfId="1" priority="391">
      <formula>OR($K112="否",$K112="")</formula>
    </cfRule>
  </conditionalFormatting>
  <conditionalFormatting sqref="T147:T148">
    <cfRule type="expression" dxfId="1" priority="388">
      <formula>OR($K147="否",$K147="")</formula>
    </cfRule>
  </conditionalFormatting>
  <conditionalFormatting sqref="U55:U56">
    <cfRule type="expression" dxfId="1" priority="373">
      <formula>OR($K55="否",$K55="")</formula>
    </cfRule>
  </conditionalFormatting>
  <conditionalFormatting sqref="U74:U75">
    <cfRule type="expression" dxfId="1" priority="371">
      <formula>OR($K74="否",$K74="")</formula>
    </cfRule>
  </conditionalFormatting>
  <conditionalFormatting sqref="U112:U113">
    <cfRule type="expression" dxfId="1" priority="369">
      <formula>OR($K112="否",$K112="")</formula>
    </cfRule>
  </conditionalFormatting>
  <conditionalFormatting sqref="U147:U148">
    <cfRule type="expression" dxfId="1" priority="366">
      <formula>OR($K147="否",$K147="")</formula>
    </cfRule>
  </conditionalFormatting>
  <conditionalFormatting sqref="L6:AB8 L9 N9:AB13 L10:M13 N14:R14 V14:AB14 L15:AB15">
    <cfRule type="expression" dxfId="1" priority="824">
      <formula>OR($K6="否",$K6="")</formula>
    </cfRule>
  </conditionalFormatting>
  <conditionalFormatting sqref="N16:R16 V16:AB16">
    <cfRule type="expression" dxfId="1" priority="823">
      <formula>OR($K16="否",$K16="")</formula>
    </cfRule>
  </conditionalFormatting>
  <conditionalFormatting sqref="N21:P21 R21:AB21">
    <cfRule type="expression" dxfId="1" priority="818">
      <formula>OR($K21="否",$K21="")</formula>
    </cfRule>
  </conditionalFormatting>
  <conditionalFormatting sqref="L22 N22:AB22">
    <cfRule type="expression" dxfId="1" priority="817">
      <formula>OR($K22="否",$K22="")</formula>
    </cfRule>
  </conditionalFormatting>
  <conditionalFormatting sqref="L23 N23:AB23">
    <cfRule type="expression" dxfId="1" priority="816">
      <formula>OR($K23="否",$K23="")</formula>
    </cfRule>
  </conditionalFormatting>
  <conditionalFormatting sqref="L25 N25:AB25">
    <cfRule type="expression" dxfId="1" priority="814">
      <formula>OR($K25="否",$K25="")</formula>
    </cfRule>
  </conditionalFormatting>
  <conditionalFormatting sqref="L26 N26:AB26">
    <cfRule type="expression" dxfId="1" priority="813">
      <formula>OR($K26="否",$K26="")</formula>
    </cfRule>
  </conditionalFormatting>
  <conditionalFormatting sqref="L28 N28:AB28">
    <cfRule type="expression" dxfId="1" priority="810">
      <formula>OR($K28="否",$K28="")</formula>
    </cfRule>
  </conditionalFormatting>
  <conditionalFormatting sqref="N32:R32 V32:AB32">
    <cfRule type="expression" dxfId="1" priority="806">
      <formula>OR($K32="否",$K32="")</formula>
    </cfRule>
  </conditionalFormatting>
  <conditionalFormatting sqref="L38 N38:AB38">
    <cfRule type="expression" dxfId="1" priority="800">
      <formula>OR($K38="否",$K38="")</formula>
    </cfRule>
  </conditionalFormatting>
  <conditionalFormatting sqref="L41 N41:AB41">
    <cfRule type="expression" dxfId="1" priority="797">
      <formula>OR($K41="否",$K41="")</formula>
    </cfRule>
  </conditionalFormatting>
  <conditionalFormatting sqref="L43 N43:AB43">
    <cfRule type="expression" dxfId="1" priority="795">
      <formula>OR($K43="否",$K43="")</formula>
    </cfRule>
  </conditionalFormatting>
  <conditionalFormatting sqref="L45 N45:AB45">
    <cfRule type="expression" dxfId="1" priority="793">
      <formula>OR($K45="否",$K45="")</formula>
    </cfRule>
  </conditionalFormatting>
  <conditionalFormatting sqref="N46:R46 V46:AB46">
    <cfRule type="expression" dxfId="1" priority="792">
      <formula>OR($K46="否",$K46="")</formula>
    </cfRule>
  </conditionalFormatting>
  <conditionalFormatting sqref="L47 N47:AB47">
    <cfRule type="expression" dxfId="1" priority="791">
      <formula>OR($K47="否",$K47="")</formula>
    </cfRule>
  </conditionalFormatting>
  <conditionalFormatting sqref="L48 N48:AB48">
    <cfRule type="expression" dxfId="1" priority="790">
      <formula>OR($K48="否",$K48="")</formula>
    </cfRule>
  </conditionalFormatting>
  <conditionalFormatting sqref="L52 N52:R52 V52:AB52">
    <cfRule type="expression" dxfId="1" priority="786">
      <formula>OR($K52="否",$K52="")</formula>
    </cfRule>
  </conditionalFormatting>
  <conditionalFormatting sqref="N53:R53 V53:AB53">
    <cfRule type="expression" dxfId="1" priority="785">
      <formula>OR($K53="否",$K53="")</formula>
    </cfRule>
  </conditionalFormatting>
  <conditionalFormatting sqref="N54:R54 V54:AB54">
    <cfRule type="expression" dxfId="1" priority="784">
      <formula>OR($K54="否",$K54="")</formula>
    </cfRule>
  </conditionalFormatting>
  <conditionalFormatting sqref="N55:R55 V55:AB55">
    <cfRule type="expression" dxfId="1" priority="783">
      <formula>OR($K55="否",$K55="")</formula>
    </cfRule>
  </conditionalFormatting>
  <conditionalFormatting sqref="N56:R56 V56:AB56">
    <cfRule type="expression" dxfId="1" priority="782">
      <formula>OR($K56="否",$K56="")</formula>
    </cfRule>
  </conditionalFormatting>
  <conditionalFormatting sqref="L65 N65:AB65">
    <cfRule type="expression" dxfId="1" priority="773">
      <formula>OR($K65="否",$K65="")</formula>
    </cfRule>
  </conditionalFormatting>
  <conditionalFormatting sqref="L66 N66:AB66">
    <cfRule type="expression" dxfId="1" priority="771">
      <formula>OR($K66="否",$K66="")</formula>
    </cfRule>
  </conditionalFormatting>
  <conditionalFormatting sqref="L67 N67:AB67">
    <cfRule type="expression" dxfId="1" priority="770">
      <formula>OR($K67="否",$K67="")</formula>
    </cfRule>
  </conditionalFormatting>
  <conditionalFormatting sqref="L70 N70:AB70">
    <cfRule type="expression" dxfId="1" priority="766">
      <formula>OR($K70="否",$K70="")</formula>
    </cfRule>
  </conditionalFormatting>
  <conditionalFormatting sqref="L71 N71:AB71">
    <cfRule type="expression" dxfId="1" priority="765">
      <formula>OR($K71="否",$K71="")</formula>
    </cfRule>
  </conditionalFormatting>
  <conditionalFormatting sqref="N72:R72 V72:AB72">
    <cfRule type="expression" dxfId="1" priority="764">
      <formula>OR($K72="否",$K72="")</formula>
    </cfRule>
  </conditionalFormatting>
  <conditionalFormatting sqref="N74:R74 V74:AB74">
    <cfRule type="expression" dxfId="1" priority="762">
      <formula>OR($K74="否",$K74="")</formula>
    </cfRule>
  </conditionalFormatting>
  <conditionalFormatting sqref="N75:R75 V75:AB75">
    <cfRule type="expression" dxfId="1" priority="761">
      <formula>OR($K75="否",$K75="")</formula>
    </cfRule>
  </conditionalFormatting>
  <conditionalFormatting sqref="N77:R77 V77:AB77">
    <cfRule type="expression" dxfId="1" priority="759">
      <formula>OR($K77="否",$K77="")</formula>
    </cfRule>
  </conditionalFormatting>
  <conditionalFormatting sqref="N81:P81 R81 V81:AB81">
    <cfRule type="expression" dxfId="1" priority="755">
      <formula>OR($K81="否",$K81="")</formula>
    </cfRule>
  </conditionalFormatting>
  <conditionalFormatting sqref="N82:R82 V82:AB82">
    <cfRule type="expression" dxfId="1" priority="754">
      <formula>OR($K82="否",$K82="")</formula>
    </cfRule>
  </conditionalFormatting>
  <conditionalFormatting sqref="N83:P83 R83:AB83">
    <cfRule type="expression" dxfId="1" priority="753">
      <formula>OR($K83="否",$K83="")</formula>
    </cfRule>
  </conditionalFormatting>
  <conditionalFormatting sqref="N84:R84 V84:AB84">
    <cfRule type="expression" dxfId="1" priority="752">
      <formula>OR($K84="否",$K84="")</formula>
    </cfRule>
  </conditionalFormatting>
  <conditionalFormatting sqref="L87 N87:AB87">
    <cfRule type="expression" dxfId="1" priority="749">
      <formula>OR($K87="否",$K87="")</formula>
    </cfRule>
  </conditionalFormatting>
  <conditionalFormatting sqref="N90:R90 V90:AB90">
    <cfRule type="expression" dxfId="1" priority="746">
      <formula>OR($K90="否",$K90="")</formula>
    </cfRule>
  </conditionalFormatting>
  <conditionalFormatting sqref="N91:R91 V91:AB91">
    <cfRule type="expression" dxfId="1" priority="745">
      <formula>OR($K91="否",$K91="")</formula>
    </cfRule>
  </conditionalFormatting>
  <conditionalFormatting sqref="N92:R92 V92:AB92">
    <cfRule type="expression" dxfId="1" priority="744">
      <formula>OR($K92="否",$K92="")</formula>
    </cfRule>
  </conditionalFormatting>
  <conditionalFormatting sqref="L93 N93:AB93">
    <cfRule type="expression" dxfId="1" priority="743">
      <formula>OR($K93="否",$K93="")</formula>
    </cfRule>
  </conditionalFormatting>
  <conditionalFormatting sqref="L94 N94:AB94">
    <cfRule type="expression" dxfId="1" priority="742">
      <formula>OR($K94="否",$K94="")</formula>
    </cfRule>
  </conditionalFormatting>
  <conditionalFormatting sqref="N97:R97 V97:AB97">
    <cfRule type="expression" dxfId="1" priority="739">
      <formula>OR($K97="否",$K97="")</formula>
    </cfRule>
  </conditionalFormatting>
  <conditionalFormatting sqref="L100 N100:AB100">
    <cfRule type="expression" dxfId="1" priority="735">
      <formula>OR($K100="否",$K100="")</formula>
    </cfRule>
  </conditionalFormatting>
  <conditionalFormatting sqref="L103 N103:AB103">
    <cfRule type="expression" dxfId="1" priority="732">
      <formula>OR($K103="否",$K103="")</formula>
    </cfRule>
  </conditionalFormatting>
  <conditionalFormatting sqref="N104:R104 V104:AB104">
    <cfRule type="expression" dxfId="1" priority="731">
      <formula>OR($K104="否",$K104="")</formula>
    </cfRule>
  </conditionalFormatting>
  <conditionalFormatting sqref="N108:R108 V108:AB108">
    <cfRule type="expression" dxfId="1" priority="724">
      <formula>OR($K108="否",$K108="")</formula>
    </cfRule>
  </conditionalFormatting>
  <conditionalFormatting sqref="N109:R109 V109:AB109">
    <cfRule type="expression" dxfId="1" priority="723">
      <formula>OR($K109="否",$K109="")</formula>
    </cfRule>
  </conditionalFormatting>
  <conditionalFormatting sqref="N112:R112 V112:AB112">
    <cfRule type="expression" dxfId="1" priority="720">
      <formula>OR($K112="否",$K112="")</formula>
    </cfRule>
  </conditionalFormatting>
  <conditionalFormatting sqref="N113:R113 V113:AB113">
    <cfRule type="expression" dxfId="1" priority="719">
      <formula>OR($K113="否",$K113="")</formula>
    </cfRule>
  </conditionalFormatting>
  <conditionalFormatting sqref="N114:R114 V114:AB114">
    <cfRule type="expression" dxfId="1" priority="718">
      <formula>OR($K114="否",$K114="")</formula>
    </cfRule>
  </conditionalFormatting>
  <conditionalFormatting sqref="N115:R115 V115:AB115">
    <cfRule type="expression" dxfId="1" priority="717">
      <formula>OR($K115="否",$K115="")</formula>
    </cfRule>
  </conditionalFormatting>
  <conditionalFormatting sqref="N118:R118 V118:AB118">
    <cfRule type="expression" dxfId="1" priority="714">
      <formula>OR($K118="否",$K118="")</formula>
    </cfRule>
  </conditionalFormatting>
  <conditionalFormatting sqref="N122:R122 V122:AB122">
    <cfRule type="expression" dxfId="1" priority="710">
      <formula>OR($K122="否",$K122="")</formula>
    </cfRule>
  </conditionalFormatting>
  <conditionalFormatting sqref="N123:R123 V123:AB123">
    <cfRule type="expression" dxfId="1" priority="709">
      <formula>OR($K123="否",$K123="")</formula>
    </cfRule>
  </conditionalFormatting>
  <conditionalFormatting sqref="N124:R124 V124:AB124">
    <cfRule type="expression" dxfId="1" priority="708">
      <formula>OR($K124="否",$K124="")</formula>
    </cfRule>
  </conditionalFormatting>
  <conditionalFormatting sqref="N125:R125 V125:AB125">
    <cfRule type="expression" dxfId="1" priority="707">
      <formula>OR($K125="否",$K125="")</formula>
    </cfRule>
  </conditionalFormatting>
  <conditionalFormatting sqref="N126:R126 V126:AB126">
    <cfRule type="expression" dxfId="1" priority="706">
      <formula>OR($K126="否",$K126="")</formula>
    </cfRule>
  </conditionalFormatting>
  <conditionalFormatting sqref="L128 N128:AB128">
    <cfRule type="expression" dxfId="1" priority="704">
      <formula>OR($K128="否",$K128="")</formula>
    </cfRule>
  </conditionalFormatting>
  <conditionalFormatting sqref="L131 N131:AB131">
    <cfRule type="expression" dxfId="1" priority="701">
      <formula>OR($K131="否",$K131="")</formula>
    </cfRule>
  </conditionalFormatting>
  <conditionalFormatting sqref="L134 N134:AB134">
    <cfRule type="expression" dxfId="1" priority="698">
      <formula>OR($K134="否",$K134="")</formula>
    </cfRule>
  </conditionalFormatting>
  <conditionalFormatting sqref="L135 N135:AB135">
    <cfRule type="expression" dxfId="1" priority="697">
      <formula>OR($K135="否",$K135="")</formula>
    </cfRule>
  </conditionalFormatting>
  <conditionalFormatting sqref="L139 N139:AB139">
    <cfRule type="expression" dxfId="1" priority="693">
      <formula>OR($K139="否",$K139="")</formula>
    </cfRule>
  </conditionalFormatting>
  <conditionalFormatting sqref="N145:R145 V145:AB145">
    <cfRule type="expression" dxfId="1" priority="686">
      <formula>OR($K145="否",$K145="")</formula>
    </cfRule>
  </conditionalFormatting>
  <conditionalFormatting sqref="N147:R147 V147:AB147">
    <cfRule type="expression" dxfId="1" priority="684">
      <formula>OR($K147="否",$K147="")</formula>
    </cfRule>
  </conditionalFormatting>
  <conditionalFormatting sqref="N148:R148 V148:AB148">
    <cfRule type="expression" dxfId="1" priority="683">
      <formula>OR($K148="否",$K148="")</formula>
    </cfRule>
  </conditionalFormatting>
  <conditionalFormatting sqref="L149 N149:AB149">
    <cfRule type="expression" dxfId="1" priority="682">
      <formula>OR($K149="否",$K149="")</formula>
    </cfRule>
  </conditionalFormatting>
  <conditionalFormatting sqref="N150:R150 V150:AB150">
    <cfRule type="expression" dxfId="1" priority="681">
      <formula>OR($K150="否",$K150="")</formula>
    </cfRule>
  </conditionalFormatting>
  <conditionalFormatting sqref="N151:R151 V151:AB151">
    <cfRule type="expression" dxfId="1" priority="680">
      <formula>OR($K151="否",$K151="")</formula>
    </cfRule>
  </conditionalFormatting>
  <conditionalFormatting sqref="N152:R152 V152:AB152">
    <cfRule type="expression" dxfId="1" priority="679">
      <formula>OR($K152="否",$K152="")</formula>
    </cfRule>
  </conditionalFormatting>
  <conditionalFormatting sqref="N153:R153 V153:AB153">
    <cfRule type="expression" dxfId="1" priority="678">
      <formula>OR($K153="否",$K153="")</formula>
    </cfRule>
  </conditionalFormatting>
  <conditionalFormatting sqref="L154 N154:AB154">
    <cfRule type="expression" dxfId="1" priority="677">
      <formula>OR($K154="否",$K154="")</formula>
    </cfRule>
  </conditionalFormatting>
  <conditionalFormatting sqref="N157:R157 V157:AB157">
    <cfRule type="expression" dxfId="1" priority="673">
      <formula>OR($K157="否",$K157="")</formula>
    </cfRule>
  </conditionalFormatting>
  <conditionalFormatting sqref="N159:R159 V159:AB159">
    <cfRule type="expression" dxfId="1" priority="671">
      <formula>OR($K159="否",$K159="")</formula>
    </cfRule>
  </conditionalFormatting>
  <conditionalFormatting sqref="L160 N160:AB160">
    <cfRule type="expression" dxfId="1" priority="670">
      <formula>OR($K160="否",$K160="")</formula>
    </cfRule>
  </conditionalFormatting>
  <conditionalFormatting sqref="N164:R164 V164:AB164">
    <cfRule type="expression" dxfId="1" priority="666">
      <formula>OR($K164="否",$K164="")</formula>
    </cfRule>
  </conditionalFormatting>
  <conditionalFormatting sqref="L165 N165:AB165">
    <cfRule type="expression" dxfId="1" priority="665">
      <formula>OR($K165="否",$K165="")</formula>
    </cfRule>
  </conditionalFormatting>
  <conditionalFormatting sqref="L166 N166:AB166">
    <cfRule type="expression" dxfId="1" priority="664">
      <formula>OR($K166="否",$K166="")</formula>
    </cfRule>
  </conditionalFormatting>
  <conditionalFormatting sqref="N167:R167 V167:AB167">
    <cfRule type="expression" dxfId="1" priority="663">
      <formula>OR($K167="否",$K167="")</formula>
    </cfRule>
  </conditionalFormatting>
  <conditionalFormatting sqref="L168 N168:AB168">
    <cfRule type="expression" dxfId="1" priority="662">
      <formula>OR($K168="否",$K168="")</formula>
    </cfRule>
  </conditionalFormatting>
  <conditionalFormatting sqref="L170 N170:AB170">
    <cfRule type="expression" dxfId="1" priority="660">
      <formula>OR($K170="否",$K170="")</formula>
    </cfRule>
  </conditionalFormatting>
  <conditionalFormatting sqref="N171:R171 V171:AB171">
    <cfRule type="expression" dxfId="1" priority="659">
      <formula>OR($K171="否",$K171="")</formula>
    </cfRule>
  </conditionalFormatting>
  <conditionalFormatting sqref="N172:R172 V172:AB172">
    <cfRule type="expression" dxfId="1" priority="657">
      <formula>OR($K172="否",$K172="")</formula>
    </cfRule>
  </conditionalFormatting>
  <conditionalFormatting sqref="N173:R173 V173:AB173">
    <cfRule type="expression" dxfId="1" priority="656">
      <formula>OR($K173="否",$K173="")</formula>
    </cfRule>
  </conditionalFormatting>
  <conditionalFormatting sqref="N176:R176 V176:AB176">
    <cfRule type="expression" dxfId="1" priority="652">
      <formula>OR($K176="否",$K176="")</formula>
    </cfRule>
  </conditionalFormatting>
  <conditionalFormatting sqref="L178 N178:AB178">
    <cfRule type="expression" dxfId="1" priority="650">
      <formula>OR($K178="否",$K178="")</formula>
    </cfRule>
  </conditionalFormatting>
  <conditionalFormatting sqref="L186 N186:AB186">
    <cfRule type="expression" dxfId="1" priority="642">
      <formula>OR($K186="否",$K186="")</formula>
    </cfRule>
  </conditionalFormatting>
  <conditionalFormatting sqref="L187 N187:AB187">
    <cfRule type="expression" dxfId="1" priority="641">
      <formula>OR($K187="否",$K187="")</formula>
    </cfRule>
  </conditionalFormatting>
  <conditionalFormatting sqref="L188 N188:AB188">
    <cfRule type="expression" dxfId="1" priority="640">
      <formula>OR($K188="否",$K188="")</formula>
    </cfRule>
  </conditionalFormatting>
  <conditionalFormatting sqref="N189:R189 V189:AB189">
    <cfRule type="expression" dxfId="1" priority="639">
      <formula>OR($K189="否",$K189="")</formula>
    </cfRule>
  </conditionalFormatting>
  <conditionalFormatting sqref="N191:R191 V191:AB191">
    <cfRule type="expression" dxfId="1" priority="637">
      <formula>OR($K191="否",$K191="")</formula>
    </cfRule>
  </conditionalFormatting>
  <conditionalFormatting sqref="N192:R192 V192:AB192">
    <cfRule type="expression" dxfId="1" priority="636">
      <formula>OR($K192="否",$K192="")</formula>
    </cfRule>
  </conditionalFormatting>
  <conditionalFormatting sqref="N195:R195 V195:AB195">
    <cfRule type="expression" dxfId="1" priority="633">
      <formula>OR($K195="否",$K195="")</formula>
    </cfRule>
  </conditionalFormatting>
  <conditionalFormatting sqref="L199 N199:AB199">
    <cfRule type="expression" dxfId="1" priority="629">
      <formula>OR($K199="否",$K199="")</formula>
    </cfRule>
  </conditionalFormatting>
  <conditionalFormatting sqref="N202:R202 V202:AB202">
    <cfRule type="expression" dxfId="1" priority="626">
      <formula>OR($K202="否",$K202="")</formula>
    </cfRule>
  </conditionalFormatting>
  <conditionalFormatting sqref="N203:R203 V203:AB203">
    <cfRule type="expression" dxfId="1" priority="625">
      <formula>OR($K203="否",$K203="")</formula>
    </cfRule>
  </conditionalFormatting>
  <conditionalFormatting sqref="N204:R204 V204:AB204 M233:O236">
    <cfRule type="expression" dxfId="1" priority="624">
      <formula>OR($K204="否",$K204="")</formula>
    </cfRule>
  </conditionalFormatting>
  <conditionalFormatting sqref="N205:R205 V205:AB205">
    <cfRule type="expression" dxfId="1" priority="623">
      <formula>OR($K205="否",$K205="")</formula>
    </cfRule>
  </conditionalFormatting>
  <conditionalFormatting sqref="L208 N208:AB208">
    <cfRule type="expression" dxfId="1" priority="620">
      <formula>OR($K208="否",$K208="")</formula>
    </cfRule>
  </conditionalFormatting>
  <conditionalFormatting sqref="L209 N209:AB209">
    <cfRule type="expression" dxfId="1" priority="619">
      <formula>OR($K209="否",$K209="")</formula>
    </cfRule>
  </conditionalFormatting>
  <conditionalFormatting sqref="N215:R215 V215:AB215">
    <cfRule type="expression" dxfId="1" priority="613">
      <formula>OR($K215="否",$K215="")</formula>
    </cfRule>
  </conditionalFormatting>
  <conditionalFormatting sqref="L219 N219:AB219">
    <cfRule type="expression" dxfId="1" priority="609">
      <formula>OR($K219="否",$K219="")</formula>
    </cfRule>
  </conditionalFormatting>
  <conditionalFormatting sqref="L220 N220:AB220">
    <cfRule type="expression" dxfId="1" priority="608">
      <formula>OR($K220="否",$K220="")</formula>
    </cfRule>
  </conditionalFormatting>
  <conditionalFormatting sqref="N221:R221 V221:AB221">
    <cfRule type="expression" dxfId="1" priority="558">
      <formula>OR($K221="否",$K221="")</formula>
    </cfRule>
  </conditionalFormatting>
  <conditionalFormatting sqref="L222 N222:AB222">
    <cfRule type="expression" dxfId="1" priority="557">
      <formula>OR($K222="否",$K222="")</formula>
    </cfRule>
  </conditionalFormatting>
  <conditionalFormatting sqref="L223 N223:AB223">
    <cfRule type="expression" dxfId="1" priority="556">
      <formula>OR($K223="否",$K223="")</formula>
    </cfRule>
  </conditionalFormatting>
  <conditionalFormatting sqref="L224 L228 L230:L231 N224:N232 O224:AB224 O225:P232 P233:P235">
    <cfRule type="expression" dxfId="1" priority="555">
      <formula>OR($K224="否",$K224="")</formula>
    </cfRule>
  </conditionalFormatting>
  <conditionalFormatting sqref="M224 M230:M232">
    <cfRule type="expression" dxfId="1" priority="514">
      <formula>OR($K224="否",$K224="")</formula>
    </cfRule>
  </conditionalFormatting>
  <conditionalFormatting sqref="Q225:R225 V225:AB225">
    <cfRule type="expression" dxfId="1" priority="554">
      <formula>OR($K225="否",$K225="")</formula>
    </cfRule>
  </conditionalFormatting>
  <conditionalFormatting sqref="Q227:R227 V227:AB227">
    <cfRule type="expression" dxfId="1" priority="552">
      <formula>OR($K227="否",$K227="")</formula>
    </cfRule>
  </conditionalFormatting>
  <conditionalFormatting sqref="Q228:R228 V228:AB228">
    <cfRule type="expression" dxfId="1" priority="551">
      <formula>OR($K228="否",$K228="")</formula>
    </cfRule>
  </conditionalFormatting>
  <conditionalFormatting sqref="Q229:R229 V229:AB229 Q234">
    <cfRule type="expression" dxfId="1" priority="475">
      <formula>OR($K229="否",$K229="")</formula>
    </cfRule>
  </conditionalFormatting>
  <conditionalFormatting sqref="Q231:AB231 Q232">
    <cfRule type="expression" dxfId="1" priority="548">
      <formula>OR($K231="否",$K231="")</formula>
    </cfRule>
  </conditionalFormatting>
  <conditionalFormatting sqref="L232 R232:AB232">
    <cfRule type="expression" dxfId="1" priority="547">
      <formula>OR($K232="否",$K232="")</formula>
    </cfRule>
  </conditionalFormatting>
  <conditionalFormatting sqref="L233:L236 Q233:R233 V233:AB233 P236">
    <cfRule type="expression" dxfId="1" priority="544">
      <formula>OR($K233="否",$K233="")</formula>
    </cfRule>
  </conditionalFormatting>
  <dataValidations count="4">
    <dataValidation type="list" allowBlank="1" showInputMessage="1" showErrorMessage="1" sqref="D1:D2 D6:D1048576">
      <formula1>OFFSET(数据对照表!$U$2,,,COUNTA(数据对照表!$U:$U)-1,1)</formula1>
    </dataValidation>
    <dataValidation type="list" allowBlank="1" showInputMessage="1" showErrorMessage="1" sqref="L1:L2 L6:L1048576">
      <formula1>OFFSET(数据对照表!$AE$2,,,COUNTA(数据对照表!$AE:$AE)-1,1)</formula1>
    </dataValidation>
    <dataValidation type="list" allowBlank="1" showInputMessage="1" showErrorMessage="1" sqref="I1:K2 I237:K1048576 J6:K236">
      <formula1>"是,否"</formula1>
    </dataValidation>
    <dataValidation type="list" allowBlank="1" showInputMessage="1" showErrorMessage="1" sqref="S1:AB2 S6:AB1048576">
      <formula1>OFFSET('附表4-项目间分摊信息采集表'!$B$5,,,COUNTA('附表4-项目间分摊信息采集表'!$B:$B)-2,1)</formula1>
    </dataValidation>
  </dataValidations>
  <printOptions horizontalCentered="1"/>
  <pageMargins left="0.747916666666667" right="0.747916666666667" top="0.984027777777778" bottom="0.984027777777778" header="0.511805555555556" footer="0.511805555555556"/>
  <pageSetup paperSize="9" scale="31" fitToHeight="0" orientation="landscape"/>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9"/>
  <sheetViews>
    <sheetView zoomScale="80" zoomScaleNormal="80" workbookViewId="0">
      <pane xSplit="6" ySplit="2" topLeftCell="R12" activePane="bottomRight" state="frozen"/>
      <selection/>
      <selection pane="topRight"/>
      <selection pane="bottomLeft"/>
      <selection pane="bottomRight" activeCell="Y48" sqref="Y48"/>
    </sheetView>
  </sheetViews>
  <sheetFormatPr defaultColWidth="6.7536231884058" defaultRowHeight="15.65"/>
  <cols>
    <col min="1" max="1" width="6.7536231884058" style="49"/>
    <col min="2" max="2" width="11.6666666666667" style="49" customWidth="1"/>
    <col min="3" max="3" width="7.03623188405797" style="49" customWidth="1"/>
    <col min="4" max="4" width="9.90579710144928" style="49" customWidth="1"/>
    <col min="5" max="5" width="8.6231884057971" style="50" customWidth="1"/>
    <col min="6" max="8" width="10.6666666666667" style="50"/>
    <col min="9" max="9" width="8.6231884057971" style="50" customWidth="1"/>
    <col min="10" max="10" width="8.83333333333333" style="50"/>
    <col min="11" max="13" width="11.5797101449275" style="51"/>
    <col min="14" max="14" width="10.6666666666667" style="50"/>
    <col min="15" max="15" width="9.7536231884058" style="50"/>
    <col min="16" max="16" width="13.5" style="50" customWidth="1"/>
    <col min="17" max="18" width="9.09420289855072" style="52" customWidth="1"/>
    <col min="19" max="19" width="14.2971014492754" style="52" customWidth="1"/>
    <col min="20" max="20" width="24.4710144927536" style="49" customWidth="1"/>
    <col min="21" max="21" width="10.6666666666667" style="49"/>
    <col min="22" max="22" width="10.5217391304348" style="49"/>
    <col min="23" max="23" width="6.7536231884058" style="49"/>
    <col min="24" max="24" width="10.7971014492754" style="49" customWidth="1"/>
    <col min="25" max="25" width="10.7971014492754" style="51"/>
    <col min="26" max="27" width="10.5" style="49"/>
    <col min="28" max="28" width="12.5942028985507" style="49"/>
    <col min="29" max="16384" width="6.7536231884058" style="49"/>
  </cols>
  <sheetData>
    <row r="1" s="49" customFormat="1" spans="5:25">
      <c r="E1" s="50"/>
      <c r="F1" s="50"/>
      <c r="G1" s="50"/>
      <c r="H1" s="50"/>
      <c r="I1" s="50"/>
      <c r="J1" s="50"/>
      <c r="K1" s="51"/>
      <c r="L1" s="51"/>
      <c r="M1" s="51"/>
      <c r="N1" s="50"/>
      <c r="O1" s="50"/>
      <c r="P1" s="50"/>
      <c r="Q1" s="52"/>
      <c r="R1" s="52"/>
      <c r="S1" s="52"/>
      <c r="Y1" s="51"/>
    </row>
    <row r="2" s="49" customFormat="1" spans="1:28">
      <c r="A2" s="53" t="s">
        <v>4953</v>
      </c>
      <c r="B2" s="53" t="s">
        <v>4954</v>
      </c>
      <c r="C2" s="53" t="s">
        <v>4955</v>
      </c>
      <c r="D2" s="53" t="s">
        <v>4956</v>
      </c>
      <c r="E2" s="54" t="s">
        <v>4957</v>
      </c>
      <c r="F2" s="54" t="s">
        <v>4958</v>
      </c>
      <c r="G2" s="54" t="s">
        <v>256</v>
      </c>
      <c r="H2" s="54" t="s">
        <v>257</v>
      </c>
      <c r="I2" s="54" t="s">
        <v>4959</v>
      </c>
      <c r="J2" s="54" t="s">
        <v>4960</v>
      </c>
      <c r="K2" s="64" t="s">
        <v>4961</v>
      </c>
      <c r="L2" s="64" t="s">
        <v>4962</v>
      </c>
      <c r="M2" s="64" t="s">
        <v>4963</v>
      </c>
      <c r="N2" s="59" t="s">
        <v>326</v>
      </c>
      <c r="O2" s="59" t="s">
        <v>4964</v>
      </c>
      <c r="P2" s="59" t="s">
        <v>4965</v>
      </c>
      <c r="Q2" s="66" t="s">
        <v>4966</v>
      </c>
      <c r="R2" s="66" t="s">
        <v>4966</v>
      </c>
      <c r="S2" s="66" t="s">
        <v>4967</v>
      </c>
      <c r="T2" s="53" t="s">
        <v>368</v>
      </c>
      <c r="X2" s="67" t="s">
        <v>4968</v>
      </c>
      <c r="Y2" s="73"/>
      <c r="Z2" s="74"/>
      <c r="AA2" s="53"/>
      <c r="AB2" s="53"/>
    </row>
    <row r="3" s="49" customFormat="1" spans="1:28">
      <c r="A3" s="53" t="s">
        <v>4969</v>
      </c>
      <c r="B3" s="53" t="s">
        <v>4970</v>
      </c>
      <c r="C3" s="54"/>
      <c r="D3" s="54">
        <v>32</v>
      </c>
      <c r="E3" s="54">
        <v>4</v>
      </c>
      <c r="F3" s="54">
        <v>4482.24</v>
      </c>
      <c r="G3" s="54">
        <v>4482.24</v>
      </c>
      <c r="H3" s="54"/>
      <c r="I3" s="54">
        <v>421</v>
      </c>
      <c r="J3" s="54"/>
      <c r="K3" s="64">
        <v>4903.24</v>
      </c>
      <c r="L3" s="64"/>
      <c r="M3" s="64"/>
      <c r="N3" s="59">
        <f t="shared" ref="N3:N12" si="0">K3-L3</f>
        <v>4903.24</v>
      </c>
      <c r="O3" s="59"/>
      <c r="P3" s="59">
        <f t="shared" ref="P3:P6" si="1">I3</f>
        <v>421</v>
      </c>
      <c r="Q3" s="66"/>
      <c r="R3" s="66"/>
      <c r="S3" s="66"/>
      <c r="T3" s="53"/>
      <c r="X3" s="53"/>
      <c r="Y3" s="64" t="s">
        <v>56</v>
      </c>
      <c r="Z3" s="53" t="s">
        <v>4971</v>
      </c>
      <c r="AA3" s="53"/>
      <c r="AB3" s="53"/>
    </row>
    <row r="4" s="49" customFormat="1" spans="1:28">
      <c r="A4" s="53" t="s">
        <v>4972</v>
      </c>
      <c r="B4" s="53" t="s">
        <v>4970</v>
      </c>
      <c r="C4" s="54"/>
      <c r="D4" s="54">
        <v>28</v>
      </c>
      <c r="E4" s="54">
        <v>4</v>
      </c>
      <c r="F4" s="54">
        <v>4942.08</v>
      </c>
      <c r="G4" s="54"/>
      <c r="H4" s="54">
        <v>4942.08</v>
      </c>
      <c r="I4" s="54">
        <v>518.22</v>
      </c>
      <c r="J4" s="54"/>
      <c r="K4" s="64">
        <v>5460.3</v>
      </c>
      <c r="L4" s="64"/>
      <c r="M4" s="64"/>
      <c r="N4" s="59">
        <f t="shared" si="0"/>
        <v>5460.3</v>
      </c>
      <c r="O4" s="59"/>
      <c r="P4" s="59">
        <f t="shared" si="1"/>
        <v>518.22</v>
      </c>
      <c r="Q4" s="66"/>
      <c r="R4" s="66"/>
      <c r="S4" s="66"/>
      <c r="T4" s="53"/>
      <c r="X4" s="53" t="s">
        <v>4973</v>
      </c>
      <c r="Y4" s="64">
        <v>40521.01</v>
      </c>
      <c r="Z4" s="72">
        <f>Y4/Y7</f>
        <v>0.356664307154603</v>
      </c>
      <c r="AA4" s="53"/>
      <c r="AB4" s="53">
        <v>5200000</v>
      </c>
    </row>
    <row r="5" s="49" customFormat="1" spans="1:28">
      <c r="A5" s="53" t="s">
        <v>4974</v>
      </c>
      <c r="B5" s="53" t="s">
        <v>4970</v>
      </c>
      <c r="C5" s="54"/>
      <c r="D5" s="54">
        <v>32</v>
      </c>
      <c r="E5" s="54">
        <v>32</v>
      </c>
      <c r="F5" s="54">
        <v>4037.24</v>
      </c>
      <c r="G5" s="54">
        <v>4037.24</v>
      </c>
      <c r="H5" s="54"/>
      <c r="I5" s="54">
        <v>483.74</v>
      </c>
      <c r="J5" s="54"/>
      <c r="K5" s="64">
        <v>4520.98</v>
      </c>
      <c r="L5" s="64"/>
      <c r="M5" s="64"/>
      <c r="N5" s="59">
        <f t="shared" si="0"/>
        <v>4520.98</v>
      </c>
      <c r="O5" s="59">
        <v>483.74</v>
      </c>
      <c r="P5" s="59"/>
      <c r="Q5" s="66"/>
      <c r="R5" s="66"/>
      <c r="S5" s="66"/>
      <c r="T5" s="53"/>
      <c r="X5" s="53" t="s">
        <v>4975</v>
      </c>
      <c r="Y5" s="64">
        <v>37660.54</v>
      </c>
      <c r="Z5" s="72">
        <f>Y5/Y7</f>
        <v>0.331486564776352</v>
      </c>
      <c r="AA5" s="75">
        <f>Y7/Y10</f>
        <v>0.746988715453738</v>
      </c>
      <c r="AB5" s="64">
        <f>AB4*AA5</f>
        <v>3884341.32035944</v>
      </c>
    </row>
    <row r="6" s="49" customFormat="1" spans="1:28">
      <c r="A6" s="53" t="s">
        <v>4976</v>
      </c>
      <c r="B6" s="53" t="s">
        <v>4970</v>
      </c>
      <c r="C6" s="54"/>
      <c r="D6" s="54">
        <v>32</v>
      </c>
      <c r="E6" s="54">
        <v>4</v>
      </c>
      <c r="F6" s="54">
        <v>4871</v>
      </c>
      <c r="G6" s="54"/>
      <c r="H6" s="54">
        <v>4871</v>
      </c>
      <c r="I6" s="54">
        <v>470.48</v>
      </c>
      <c r="J6" s="54"/>
      <c r="K6" s="64">
        <v>5341.48</v>
      </c>
      <c r="L6" s="64"/>
      <c r="M6" s="64"/>
      <c r="N6" s="59">
        <f t="shared" si="0"/>
        <v>5341.48</v>
      </c>
      <c r="O6" s="59"/>
      <c r="P6" s="59">
        <f t="shared" si="1"/>
        <v>470.48</v>
      </c>
      <c r="Q6" s="66"/>
      <c r="R6" s="66"/>
      <c r="S6" s="66"/>
      <c r="T6" s="53"/>
      <c r="X6" s="53" t="s">
        <v>4977</v>
      </c>
      <c r="Y6" s="64">
        <v>35429.51</v>
      </c>
      <c r="Z6" s="76">
        <f>Y6/Y7</f>
        <v>0.311849128069045</v>
      </c>
      <c r="AA6" s="75">
        <f>Y8/Y10</f>
        <v>0.161479556429208</v>
      </c>
      <c r="AB6" s="64">
        <f>AB4*AA6</f>
        <v>839693.69343188</v>
      </c>
    </row>
    <row r="7" s="49" customFormat="1" spans="1:28">
      <c r="A7" s="53" t="s">
        <v>4978</v>
      </c>
      <c r="B7" s="53" t="s">
        <v>4979</v>
      </c>
      <c r="C7" s="54"/>
      <c r="D7" s="54">
        <v>28</v>
      </c>
      <c r="E7" s="54">
        <v>28</v>
      </c>
      <c r="F7" s="54">
        <v>4175.88</v>
      </c>
      <c r="G7" s="54">
        <v>3339.84</v>
      </c>
      <c r="H7" s="54">
        <v>836.04</v>
      </c>
      <c r="I7" s="54">
        <v>546.06</v>
      </c>
      <c r="J7" s="54"/>
      <c r="K7" s="64">
        <v>4721.94</v>
      </c>
      <c r="L7" s="64"/>
      <c r="M7" s="64"/>
      <c r="N7" s="59">
        <f t="shared" si="0"/>
        <v>4721.94</v>
      </c>
      <c r="O7" s="59">
        <v>546.06</v>
      </c>
      <c r="P7" s="59"/>
      <c r="Q7" s="66"/>
      <c r="R7" s="66"/>
      <c r="S7" s="66"/>
      <c r="T7" s="53"/>
      <c r="X7" s="53" t="s">
        <v>184</v>
      </c>
      <c r="Y7" s="64">
        <f>SUM(Y4:Y6)</f>
        <v>113611.06</v>
      </c>
      <c r="Z7" s="72">
        <f>SUM(Z4:Z6)</f>
        <v>1</v>
      </c>
      <c r="AA7" s="75">
        <f>Y9/Y10</f>
        <v>0.0915317281170544</v>
      </c>
      <c r="AB7" s="64">
        <f>AB4*AA7</f>
        <v>475964.986208683</v>
      </c>
    </row>
    <row r="8" s="49" customFormat="1" spans="1:28">
      <c r="A8" s="53" t="s">
        <v>4980</v>
      </c>
      <c r="B8" s="53" t="s">
        <v>4979</v>
      </c>
      <c r="C8" s="54"/>
      <c r="D8" s="54">
        <v>28</v>
      </c>
      <c r="E8" s="54">
        <v>28</v>
      </c>
      <c r="F8" s="54">
        <v>4580.24</v>
      </c>
      <c r="G8" s="54"/>
      <c r="H8" s="54">
        <v>4580.24</v>
      </c>
      <c r="I8" s="54">
        <v>598.66</v>
      </c>
      <c r="J8" s="54"/>
      <c r="K8" s="64">
        <v>5178.9</v>
      </c>
      <c r="L8" s="64"/>
      <c r="M8" s="64"/>
      <c r="N8" s="59">
        <f t="shared" si="0"/>
        <v>5178.9</v>
      </c>
      <c r="O8" s="59">
        <v>598.66</v>
      </c>
      <c r="P8" s="59"/>
      <c r="Q8" s="66"/>
      <c r="R8" s="66"/>
      <c r="S8" s="66"/>
      <c r="T8" s="53"/>
      <c r="X8" s="53" t="s">
        <v>4981</v>
      </c>
      <c r="Y8" s="64">
        <v>24559.76</v>
      </c>
      <c r="Z8" s="53"/>
      <c r="AA8" s="53"/>
      <c r="AB8" s="64">
        <f>SUM(AB5:AB7)</f>
        <v>5200000</v>
      </c>
    </row>
    <row r="9" s="49" customFormat="1" spans="1:28">
      <c r="A9" s="53" t="s">
        <v>4982</v>
      </c>
      <c r="B9" s="53" t="s">
        <v>4979</v>
      </c>
      <c r="C9" s="54"/>
      <c r="D9" s="54">
        <v>28</v>
      </c>
      <c r="E9" s="54">
        <v>28</v>
      </c>
      <c r="F9" s="54">
        <v>3743.2</v>
      </c>
      <c r="G9" s="54">
        <v>3000.52</v>
      </c>
      <c r="H9" s="54">
        <v>742.68</v>
      </c>
      <c r="I9" s="54">
        <v>489.18</v>
      </c>
      <c r="J9" s="54"/>
      <c r="K9" s="64">
        <v>4232.38</v>
      </c>
      <c r="L9" s="64"/>
      <c r="M9" s="64"/>
      <c r="N9" s="59">
        <f t="shared" si="0"/>
        <v>4232.38</v>
      </c>
      <c r="O9" s="59">
        <v>489.18</v>
      </c>
      <c r="P9" s="59"/>
      <c r="Q9" s="66"/>
      <c r="R9" s="66"/>
      <c r="S9" s="66"/>
      <c r="T9" s="53"/>
      <c r="X9" s="53" t="s">
        <v>4983</v>
      </c>
      <c r="Y9" s="64">
        <v>13921.25</v>
      </c>
      <c r="Z9" s="53"/>
      <c r="AA9" s="53"/>
      <c r="AB9" s="53"/>
    </row>
    <row r="10" s="49" customFormat="1" spans="1:28">
      <c r="A10" s="53" t="s">
        <v>4984</v>
      </c>
      <c r="B10" s="53" t="s">
        <v>4979</v>
      </c>
      <c r="C10" s="50"/>
      <c r="D10" s="54">
        <v>44</v>
      </c>
      <c r="E10" s="54">
        <v>20</v>
      </c>
      <c r="F10" s="54">
        <v>5524.66</v>
      </c>
      <c r="G10" s="54">
        <v>5524.66</v>
      </c>
      <c r="H10" s="54"/>
      <c r="I10" s="54">
        <v>486.18</v>
      </c>
      <c r="J10" s="54"/>
      <c r="K10" s="64">
        <f>F10+I10+53.55</f>
        <v>6064.39</v>
      </c>
      <c r="L10" s="64">
        <v>-53.55</v>
      </c>
      <c r="M10" s="64" t="s">
        <v>4985</v>
      </c>
      <c r="N10" s="59">
        <f>K10+L10</f>
        <v>6010.84</v>
      </c>
      <c r="O10" s="59"/>
      <c r="P10" s="59">
        <v>486.18</v>
      </c>
      <c r="Q10" s="68"/>
      <c r="R10" s="68"/>
      <c r="S10" s="68"/>
      <c r="T10" s="53"/>
      <c r="X10" s="53"/>
      <c r="Y10" s="64">
        <f>SUM(Y7:Y9)</f>
        <v>152092.07</v>
      </c>
      <c r="Z10" s="53"/>
      <c r="AA10" s="53" t="s">
        <v>4986</v>
      </c>
      <c r="AB10" s="53">
        <f>AB6+AB7</f>
        <v>1315658.67964056</v>
      </c>
    </row>
    <row r="11" s="49" customFormat="1" spans="1:28">
      <c r="A11" s="53" t="s">
        <v>4987</v>
      </c>
      <c r="B11" s="53" t="s">
        <v>4979</v>
      </c>
      <c r="C11" s="54"/>
      <c r="D11" s="54">
        <v>28</v>
      </c>
      <c r="E11" s="54">
        <v>28</v>
      </c>
      <c r="F11" s="54">
        <v>3743.2</v>
      </c>
      <c r="G11" s="54">
        <v>3000.52</v>
      </c>
      <c r="H11" s="54">
        <v>742.68</v>
      </c>
      <c r="I11" s="54">
        <v>489.18</v>
      </c>
      <c r="J11" s="54"/>
      <c r="K11" s="64">
        <v>4232.38</v>
      </c>
      <c r="L11" s="64"/>
      <c r="M11" s="64"/>
      <c r="N11" s="59">
        <f t="shared" si="0"/>
        <v>4232.38</v>
      </c>
      <c r="O11" s="59">
        <v>489.18</v>
      </c>
      <c r="P11" s="59"/>
      <c r="Q11" s="66"/>
      <c r="R11" s="66"/>
      <c r="S11" s="66"/>
      <c r="T11" s="53"/>
      <c r="X11" s="53"/>
      <c r="Y11" s="64"/>
      <c r="Z11" s="53"/>
      <c r="AA11" s="53"/>
      <c r="AB11" s="53"/>
    </row>
    <row r="12" s="49" customFormat="1" spans="1:28">
      <c r="A12" s="53" t="s">
        <v>4988</v>
      </c>
      <c r="B12" s="53" t="s">
        <v>4979</v>
      </c>
      <c r="C12" s="54"/>
      <c r="D12" s="54">
        <v>28</v>
      </c>
      <c r="E12" s="54">
        <v>28</v>
      </c>
      <c r="F12" s="54">
        <v>3743.2</v>
      </c>
      <c r="G12" s="54">
        <v>3000.52</v>
      </c>
      <c r="H12" s="54">
        <v>742.68</v>
      </c>
      <c r="I12" s="54">
        <v>489.18</v>
      </c>
      <c r="J12" s="54"/>
      <c r="K12" s="64">
        <v>4232.38</v>
      </c>
      <c r="L12" s="64"/>
      <c r="M12" s="64"/>
      <c r="N12" s="59">
        <f t="shared" si="0"/>
        <v>4232.38</v>
      </c>
      <c r="O12" s="59">
        <v>489.18</v>
      </c>
      <c r="P12" s="59"/>
      <c r="Q12" s="66"/>
      <c r="R12" s="66"/>
      <c r="S12" s="66"/>
      <c r="T12" s="53"/>
      <c r="X12" s="53"/>
      <c r="Y12" s="64"/>
      <c r="Z12" s="53"/>
      <c r="AA12" s="53"/>
      <c r="AB12" s="53"/>
    </row>
    <row r="13" s="49" customFormat="1" spans="1:28">
      <c r="A13" s="55" t="s">
        <v>4989</v>
      </c>
      <c r="B13" s="56"/>
      <c r="C13" s="57">
        <f t="shared" ref="C13:K13" si="2">SUM(C3:C12)</f>
        <v>0</v>
      </c>
      <c r="D13" s="57">
        <f t="shared" si="2"/>
        <v>308</v>
      </c>
      <c r="E13" s="57">
        <f t="shared" si="2"/>
        <v>204</v>
      </c>
      <c r="F13" s="57">
        <f t="shared" si="2"/>
        <v>43842.94</v>
      </c>
      <c r="G13" s="58">
        <f t="shared" si="2"/>
        <v>26385.54</v>
      </c>
      <c r="H13" s="58">
        <f t="shared" si="2"/>
        <v>17457.4</v>
      </c>
      <c r="I13" s="57">
        <f t="shared" si="2"/>
        <v>4991.88</v>
      </c>
      <c r="J13" s="57">
        <f t="shared" si="2"/>
        <v>0</v>
      </c>
      <c r="K13" s="58">
        <f t="shared" si="2"/>
        <v>48888.37</v>
      </c>
      <c r="L13" s="58"/>
      <c r="M13" s="58"/>
      <c r="N13" s="58">
        <f>SUM(N3:N12)</f>
        <v>48834.82</v>
      </c>
      <c r="O13" s="57">
        <f t="shared" ref="N13:P13" si="3">SUM(O3:O12)</f>
        <v>3096</v>
      </c>
      <c r="P13" s="57">
        <f t="shared" si="3"/>
        <v>1895.88</v>
      </c>
      <c r="Q13" s="68"/>
      <c r="R13" s="68">
        <f>ROUND(N13/$N$48,4)</f>
        <v>0.3036</v>
      </c>
      <c r="S13" s="68">
        <f>ROUND(N13/($N$13+$N$34+$N$47),4)</f>
        <v>0.3232</v>
      </c>
      <c r="T13" s="53"/>
      <c r="X13" s="53"/>
      <c r="Y13" s="64"/>
      <c r="Z13" s="53"/>
      <c r="AA13" s="53"/>
      <c r="AB13" s="53"/>
    </row>
    <row r="14" s="49" customFormat="1" spans="1:25">
      <c r="A14" s="53" t="s">
        <v>4990</v>
      </c>
      <c r="B14" s="53" t="s">
        <v>4979</v>
      </c>
      <c r="C14" s="54">
        <v>11</v>
      </c>
      <c r="D14" s="54"/>
      <c r="E14" s="54"/>
      <c r="F14" s="54"/>
      <c r="G14" s="54"/>
      <c r="H14" s="54"/>
      <c r="I14" s="54"/>
      <c r="J14" s="54">
        <f>967.92-27.14</f>
        <v>940.78</v>
      </c>
      <c r="K14" s="64">
        <f>940.78+27.14</f>
        <v>967.92</v>
      </c>
      <c r="L14" s="64">
        <v>-27.14</v>
      </c>
      <c r="M14" s="64" t="s">
        <v>4991</v>
      </c>
      <c r="N14" s="59">
        <f>K14+L14</f>
        <v>940.78</v>
      </c>
      <c r="O14" s="59">
        <v>27.14</v>
      </c>
      <c r="P14" s="59"/>
      <c r="Q14" s="66"/>
      <c r="R14" s="66"/>
      <c r="S14" s="66"/>
      <c r="T14" s="53" t="s">
        <v>4992</v>
      </c>
      <c r="Y14" s="51"/>
    </row>
    <row r="15" s="49" customFormat="1" spans="1:25">
      <c r="A15" s="53" t="s">
        <v>4993</v>
      </c>
      <c r="B15" s="53" t="s">
        <v>4979</v>
      </c>
      <c r="C15" s="54">
        <v>13</v>
      </c>
      <c r="D15" s="54"/>
      <c r="E15" s="54"/>
      <c r="F15" s="54"/>
      <c r="G15" s="54"/>
      <c r="H15" s="54"/>
      <c r="I15" s="54"/>
      <c r="J15" s="54">
        <v>1180.52</v>
      </c>
      <c r="K15" s="64">
        <v>1180.52</v>
      </c>
      <c r="L15" s="64"/>
      <c r="M15" s="64"/>
      <c r="N15" s="59">
        <f t="shared" ref="N15:N22" si="4">K15-L15</f>
        <v>1180.52</v>
      </c>
      <c r="O15" s="59"/>
      <c r="P15" s="59"/>
      <c r="Q15" s="66"/>
      <c r="R15" s="66"/>
      <c r="S15" s="66"/>
      <c r="T15" s="53" t="s">
        <v>4994</v>
      </c>
      <c r="Y15" s="51"/>
    </row>
    <row r="16" s="49" customFormat="1" spans="1:25">
      <c r="A16" s="53" t="s">
        <v>4995</v>
      </c>
      <c r="B16" s="53" t="s">
        <v>4979</v>
      </c>
      <c r="C16" s="54">
        <v>11</v>
      </c>
      <c r="D16" s="54"/>
      <c r="E16" s="54"/>
      <c r="F16" s="54"/>
      <c r="G16" s="54"/>
      <c r="H16" s="54"/>
      <c r="I16" s="54"/>
      <c r="J16" s="54">
        <v>895.27</v>
      </c>
      <c r="K16" s="64">
        <v>895.27</v>
      </c>
      <c r="L16" s="64"/>
      <c r="M16" s="64"/>
      <c r="N16" s="59">
        <f t="shared" si="4"/>
        <v>895.27</v>
      </c>
      <c r="O16" s="59"/>
      <c r="P16" s="59"/>
      <c r="Q16" s="66"/>
      <c r="R16" s="66"/>
      <c r="S16" s="66"/>
      <c r="T16" s="53" t="s">
        <v>4994</v>
      </c>
      <c r="Y16" s="51"/>
    </row>
    <row r="17" s="49" customFormat="1" spans="1:28">
      <c r="A17" s="53" t="s">
        <v>4996</v>
      </c>
      <c r="B17" s="53" t="s">
        <v>4970</v>
      </c>
      <c r="C17" s="54">
        <v>2</v>
      </c>
      <c r="D17" s="54"/>
      <c r="E17" s="54"/>
      <c r="F17" s="54"/>
      <c r="G17" s="54"/>
      <c r="H17" s="54"/>
      <c r="I17" s="54"/>
      <c r="J17" s="54">
        <v>1391.28</v>
      </c>
      <c r="K17" s="64">
        <v>1391.28</v>
      </c>
      <c r="L17" s="64"/>
      <c r="M17" s="64"/>
      <c r="N17" s="59">
        <f t="shared" si="4"/>
        <v>1391.28</v>
      </c>
      <c r="O17" s="59"/>
      <c r="P17" s="59"/>
      <c r="Q17" s="66"/>
      <c r="R17" s="66"/>
      <c r="S17" s="66"/>
      <c r="T17" s="53" t="s">
        <v>4994</v>
      </c>
      <c r="X17" s="69" t="s">
        <v>4997</v>
      </c>
      <c r="Y17" s="69"/>
      <c r="Z17" s="69"/>
      <c r="AA17" s="69"/>
      <c r="AB17" s="69"/>
    </row>
    <row r="18" s="49" customFormat="1" spans="1:28">
      <c r="A18" s="53" t="s">
        <v>4998</v>
      </c>
      <c r="B18" s="53" t="s">
        <v>4970</v>
      </c>
      <c r="C18" s="54">
        <v>12</v>
      </c>
      <c r="D18" s="54"/>
      <c r="E18" s="54"/>
      <c r="F18" s="54"/>
      <c r="G18" s="54"/>
      <c r="H18" s="54"/>
      <c r="I18" s="54"/>
      <c r="J18" s="54">
        <v>1220.8</v>
      </c>
      <c r="K18" s="64">
        <v>1220.8</v>
      </c>
      <c r="L18" s="64"/>
      <c r="M18" s="64"/>
      <c r="N18" s="59">
        <f t="shared" si="4"/>
        <v>1220.8</v>
      </c>
      <c r="O18" s="59"/>
      <c r="P18" s="59"/>
      <c r="Q18" s="66"/>
      <c r="R18" s="66"/>
      <c r="S18" s="66"/>
      <c r="T18" s="53"/>
      <c r="X18" s="69" t="s">
        <v>4953</v>
      </c>
      <c r="Y18" s="69" t="s">
        <v>4999</v>
      </c>
      <c r="Z18" s="69" t="s">
        <v>5000</v>
      </c>
      <c r="AA18" s="69"/>
      <c r="AB18" s="69"/>
    </row>
    <row r="19" s="49" customFormat="1" spans="1:28">
      <c r="A19" s="55" t="s">
        <v>5001</v>
      </c>
      <c r="B19" s="56"/>
      <c r="C19" s="59">
        <f t="shared" ref="C19:F19" si="5">SUM(C14:C18)</f>
        <v>49</v>
      </c>
      <c r="D19" s="59">
        <f t="shared" si="5"/>
        <v>0</v>
      </c>
      <c r="E19" s="59">
        <f t="shared" si="5"/>
        <v>0</v>
      </c>
      <c r="F19" s="59">
        <f t="shared" si="5"/>
        <v>0</v>
      </c>
      <c r="G19" s="59"/>
      <c r="H19" s="59"/>
      <c r="I19" s="59">
        <f>SUM(I14:I18)</f>
        <v>0</v>
      </c>
      <c r="J19" s="59">
        <f>SUM(J14:J18)</f>
        <v>5628.65</v>
      </c>
      <c r="K19" s="58">
        <f>SUM(K14:K18)</f>
        <v>5655.79</v>
      </c>
      <c r="L19" s="58"/>
      <c r="M19" s="58"/>
      <c r="N19" s="59">
        <f t="shared" ref="N19:P19" si="6">SUM(N14:N18)</f>
        <v>5628.65</v>
      </c>
      <c r="O19" s="59">
        <f t="shared" si="6"/>
        <v>27.14</v>
      </c>
      <c r="P19" s="59">
        <f t="shared" si="6"/>
        <v>0</v>
      </c>
      <c r="Q19" s="68"/>
      <c r="R19" s="68">
        <f>ROUND(N19/$N$48,4)</f>
        <v>0.035</v>
      </c>
      <c r="S19" s="68"/>
      <c r="T19" s="53"/>
      <c r="X19" s="53" t="s">
        <v>4990</v>
      </c>
      <c r="Y19" s="64">
        <v>37.4</v>
      </c>
      <c r="Z19" s="77">
        <f t="shared" ref="Z19:Z22" si="7">ROUND(Y19/$Y$47,4)</f>
        <v>0.0063</v>
      </c>
      <c r="AA19" s="53"/>
      <c r="AB19" s="53"/>
    </row>
    <row r="20" s="49" customFormat="1" spans="1:28">
      <c r="A20" s="53" t="s">
        <v>5002</v>
      </c>
      <c r="B20" s="53" t="s">
        <v>5003</v>
      </c>
      <c r="C20" s="54">
        <v>9</v>
      </c>
      <c r="D20" s="54"/>
      <c r="E20" s="54"/>
      <c r="F20" s="54"/>
      <c r="G20" s="54"/>
      <c r="H20" s="54"/>
      <c r="I20" s="54"/>
      <c r="J20" s="54">
        <v>893.63</v>
      </c>
      <c r="K20" s="64">
        <v>893.63</v>
      </c>
      <c r="L20" s="64"/>
      <c r="M20" s="64"/>
      <c r="N20" s="59">
        <f t="shared" si="4"/>
        <v>893.63</v>
      </c>
      <c r="O20" s="59"/>
      <c r="P20" s="59"/>
      <c r="Q20" s="66"/>
      <c r="R20" s="66"/>
      <c r="S20" s="66"/>
      <c r="T20" s="53" t="s">
        <v>4994</v>
      </c>
      <c r="X20" s="53" t="s">
        <v>4993</v>
      </c>
      <c r="Y20" s="64">
        <v>47.22</v>
      </c>
      <c r="Z20" s="77">
        <f t="shared" si="7"/>
        <v>0.0079</v>
      </c>
      <c r="AA20" s="53"/>
      <c r="AB20" s="53"/>
    </row>
    <row r="21" s="49" customFormat="1" spans="1:28">
      <c r="A21" s="53" t="s">
        <v>5004</v>
      </c>
      <c r="B21" s="53" t="s">
        <v>5003</v>
      </c>
      <c r="C21" s="54">
        <v>17</v>
      </c>
      <c r="D21" s="54"/>
      <c r="E21" s="54"/>
      <c r="F21" s="54"/>
      <c r="G21" s="54"/>
      <c r="H21" s="54"/>
      <c r="I21" s="54"/>
      <c r="J21" s="54">
        <f>762.81+725.15</f>
        <v>1487.96</v>
      </c>
      <c r="K21" s="64">
        <v>1487.96</v>
      </c>
      <c r="L21" s="64"/>
      <c r="M21" s="64"/>
      <c r="N21" s="59">
        <f t="shared" si="4"/>
        <v>1487.96</v>
      </c>
      <c r="O21" s="59"/>
      <c r="P21" s="59"/>
      <c r="Q21" s="66"/>
      <c r="R21" s="66"/>
      <c r="S21" s="66"/>
      <c r="T21" s="53"/>
      <c r="X21" s="53" t="s">
        <v>4995</v>
      </c>
      <c r="Y21" s="64">
        <v>35.81</v>
      </c>
      <c r="Z21" s="77">
        <f t="shared" si="7"/>
        <v>0.006</v>
      </c>
      <c r="AA21" s="53"/>
      <c r="AB21" s="53"/>
    </row>
    <row r="22" s="49" customFormat="1" spans="1:28">
      <c r="A22" s="53" t="s">
        <v>5005</v>
      </c>
      <c r="B22" s="53" t="s">
        <v>5003</v>
      </c>
      <c r="C22" s="54">
        <v>14</v>
      </c>
      <c r="D22" s="54"/>
      <c r="E22" s="54"/>
      <c r="F22" s="54"/>
      <c r="G22" s="54"/>
      <c r="H22" s="54"/>
      <c r="I22" s="54">
        <v>38.8</v>
      </c>
      <c r="J22" s="54">
        <f>1800.51-38.8</f>
        <v>1761.71</v>
      </c>
      <c r="K22" s="64">
        <v>1800.51</v>
      </c>
      <c r="L22" s="64">
        <v>-38.8</v>
      </c>
      <c r="M22" s="64" t="s">
        <v>5006</v>
      </c>
      <c r="N22" s="59">
        <f>K22+L22</f>
        <v>1761.71</v>
      </c>
      <c r="O22" s="59"/>
      <c r="P22" s="59"/>
      <c r="Q22" s="66"/>
      <c r="R22" s="66"/>
      <c r="S22" s="66"/>
      <c r="T22" s="53" t="s">
        <v>5007</v>
      </c>
      <c r="X22" s="53" t="s">
        <v>4984</v>
      </c>
      <c r="Y22" s="64">
        <v>534.92</v>
      </c>
      <c r="Z22" s="77">
        <f t="shared" si="7"/>
        <v>0.0896</v>
      </c>
      <c r="AA22" s="64">
        <f>ROUND(Y22/Y23,4)</f>
        <v>0.8162</v>
      </c>
      <c r="AB22" s="53"/>
    </row>
    <row r="23" s="49" customFormat="1" spans="1:28">
      <c r="A23" s="55" t="s">
        <v>5008</v>
      </c>
      <c r="B23" s="56"/>
      <c r="C23" s="59">
        <f t="shared" ref="C23:F23" si="8">SUM(C20:C22)</f>
        <v>40</v>
      </c>
      <c r="D23" s="59">
        <f t="shared" si="8"/>
        <v>0</v>
      </c>
      <c r="E23" s="59">
        <f t="shared" si="8"/>
        <v>0</v>
      </c>
      <c r="F23" s="59">
        <f t="shared" si="8"/>
        <v>0</v>
      </c>
      <c r="G23" s="59"/>
      <c r="H23" s="59"/>
      <c r="I23" s="59">
        <f>SUM(I20:I22)</f>
        <v>38.8</v>
      </c>
      <c r="J23" s="59">
        <f>SUM(J20:J22)</f>
        <v>4143.3</v>
      </c>
      <c r="K23" s="58">
        <v>4182.1</v>
      </c>
      <c r="L23" s="58" t="s">
        <v>5009</v>
      </c>
      <c r="M23" s="58"/>
      <c r="N23" s="59">
        <f>SUM(N20:N22)</f>
        <v>4143.3</v>
      </c>
      <c r="O23" s="59">
        <f t="shared" ref="N23:P23" si="9">SUM(O20:O22)</f>
        <v>0</v>
      </c>
      <c r="P23" s="59">
        <f t="shared" si="9"/>
        <v>0</v>
      </c>
      <c r="Q23" s="68"/>
      <c r="R23" s="68">
        <f>ROUND(N23/$N$48,4)</f>
        <v>0.0258</v>
      </c>
      <c r="S23" s="68"/>
      <c r="T23" s="53"/>
      <c r="X23" s="53" t="s">
        <v>5010</v>
      </c>
      <c r="Y23" s="64">
        <f>SUM(Y19:Y22)</f>
        <v>655.35</v>
      </c>
      <c r="Z23" s="72">
        <f>Y23/$Y$47</f>
        <v>0.109829243890136</v>
      </c>
      <c r="AA23" s="53"/>
      <c r="AB23" s="53"/>
    </row>
    <row r="24" s="49" customFormat="1" spans="1:28">
      <c r="A24" s="53" t="s">
        <v>5011</v>
      </c>
      <c r="B24" s="53" t="s">
        <v>5003</v>
      </c>
      <c r="C24" s="54"/>
      <c r="D24" s="54">
        <v>28</v>
      </c>
      <c r="E24" s="54">
        <v>28</v>
      </c>
      <c r="F24" s="54">
        <v>3743.77</v>
      </c>
      <c r="G24" s="54"/>
      <c r="H24" s="54"/>
      <c r="I24" s="54">
        <v>489.18</v>
      </c>
      <c r="J24" s="54"/>
      <c r="K24" s="64">
        <v>4232.95</v>
      </c>
      <c r="L24" s="64"/>
      <c r="M24" s="64"/>
      <c r="N24" s="59">
        <f t="shared" ref="N24:N33" si="10">K24-L24</f>
        <v>4232.95</v>
      </c>
      <c r="O24" s="54">
        <v>489.18</v>
      </c>
      <c r="P24" s="59"/>
      <c r="Q24" s="66"/>
      <c r="R24" s="66"/>
      <c r="S24" s="66"/>
      <c r="T24" s="53"/>
      <c r="X24" s="60" t="s">
        <v>5011</v>
      </c>
      <c r="Y24" s="65">
        <v>150.3</v>
      </c>
      <c r="Z24" s="53"/>
      <c r="AA24" s="53"/>
      <c r="AB24" s="53"/>
    </row>
    <row r="25" s="49" customFormat="1" spans="1:28">
      <c r="A25" s="53" t="s">
        <v>5012</v>
      </c>
      <c r="B25" s="53" t="s">
        <v>5003</v>
      </c>
      <c r="C25" s="54"/>
      <c r="D25" s="54">
        <v>28</v>
      </c>
      <c r="E25" s="54">
        <v>28</v>
      </c>
      <c r="F25" s="54">
        <v>4175.88</v>
      </c>
      <c r="G25" s="54"/>
      <c r="H25" s="54"/>
      <c r="I25" s="54">
        <v>546.06</v>
      </c>
      <c r="J25" s="54"/>
      <c r="K25" s="64">
        <v>4721.94</v>
      </c>
      <c r="L25" s="64"/>
      <c r="M25" s="64"/>
      <c r="N25" s="59">
        <f t="shared" si="10"/>
        <v>4721.94</v>
      </c>
      <c r="O25" s="54">
        <v>546.06</v>
      </c>
      <c r="P25" s="59"/>
      <c r="Q25" s="66"/>
      <c r="R25" s="66"/>
      <c r="S25" s="66"/>
      <c r="T25" s="53"/>
      <c r="X25" s="60" t="s">
        <v>5012</v>
      </c>
      <c r="Y25" s="65">
        <v>167.56</v>
      </c>
      <c r="Z25" s="53"/>
      <c r="AA25" s="53"/>
      <c r="AB25" s="53"/>
    </row>
    <row r="26" s="49" customFormat="1" spans="1:28">
      <c r="A26" s="53" t="s">
        <v>5013</v>
      </c>
      <c r="B26" s="53" t="s">
        <v>5003</v>
      </c>
      <c r="C26" s="54"/>
      <c r="D26" s="54">
        <v>28</v>
      </c>
      <c r="E26" s="54">
        <v>28</v>
      </c>
      <c r="F26" s="54">
        <v>3743.77</v>
      </c>
      <c r="G26" s="54"/>
      <c r="H26" s="54"/>
      <c r="I26" s="54">
        <v>489.18</v>
      </c>
      <c r="J26" s="54"/>
      <c r="K26" s="64">
        <v>4232.95</v>
      </c>
      <c r="L26" s="64"/>
      <c r="M26" s="64"/>
      <c r="N26" s="59">
        <f t="shared" si="10"/>
        <v>4232.95</v>
      </c>
      <c r="O26" s="54">
        <v>489.18</v>
      </c>
      <c r="P26" s="59"/>
      <c r="Q26" s="66"/>
      <c r="R26" s="66"/>
      <c r="S26" s="66"/>
      <c r="T26" s="53"/>
      <c r="X26" s="60" t="s">
        <v>5013</v>
      </c>
      <c r="Y26" s="65">
        <v>150.3</v>
      </c>
      <c r="Z26" s="53"/>
      <c r="AA26" s="53"/>
      <c r="AB26" s="53"/>
    </row>
    <row r="27" s="49" customFormat="1" spans="1:28">
      <c r="A27" s="53" t="s">
        <v>5014</v>
      </c>
      <c r="B27" s="53" t="s">
        <v>5003</v>
      </c>
      <c r="C27" s="54"/>
      <c r="D27" s="54">
        <v>28</v>
      </c>
      <c r="E27" s="54">
        <v>28</v>
      </c>
      <c r="F27" s="54">
        <v>4175.88</v>
      </c>
      <c r="G27" s="54"/>
      <c r="H27" s="54"/>
      <c r="I27" s="54">
        <v>546.06</v>
      </c>
      <c r="J27" s="54"/>
      <c r="K27" s="64">
        <v>4721.94</v>
      </c>
      <c r="L27" s="64"/>
      <c r="M27" s="64"/>
      <c r="N27" s="59">
        <f t="shared" si="10"/>
        <v>4721.94</v>
      </c>
      <c r="O27" s="54">
        <v>546.06</v>
      </c>
      <c r="P27" s="59"/>
      <c r="Q27" s="66"/>
      <c r="R27" s="66"/>
      <c r="S27" s="66"/>
      <c r="T27" s="53"/>
      <c r="X27" s="60" t="s">
        <v>5014</v>
      </c>
      <c r="Y27" s="65">
        <v>167.56</v>
      </c>
      <c r="Z27" s="53"/>
      <c r="AA27" s="53"/>
      <c r="AB27" s="53"/>
    </row>
    <row r="28" s="49" customFormat="1" spans="1:28">
      <c r="A28" s="53" t="s">
        <v>5015</v>
      </c>
      <c r="B28" s="53" t="s">
        <v>5003</v>
      </c>
      <c r="C28" s="54"/>
      <c r="D28" s="54">
        <v>28</v>
      </c>
      <c r="E28" s="54">
        <v>28</v>
      </c>
      <c r="F28" s="54">
        <v>4580.43</v>
      </c>
      <c r="G28" s="54"/>
      <c r="H28" s="54"/>
      <c r="I28" s="54">
        <v>592.04</v>
      </c>
      <c r="J28" s="54"/>
      <c r="K28" s="64">
        <v>5172.47</v>
      </c>
      <c r="L28" s="64"/>
      <c r="M28" s="64"/>
      <c r="N28" s="59">
        <f t="shared" si="10"/>
        <v>5172.47</v>
      </c>
      <c r="O28" s="54">
        <v>592.04</v>
      </c>
      <c r="P28" s="59"/>
      <c r="Q28" s="66"/>
      <c r="R28" s="66"/>
      <c r="S28" s="66"/>
      <c r="T28" s="53"/>
      <c r="X28" s="60" t="s">
        <v>5015</v>
      </c>
      <c r="Y28" s="65">
        <v>183.73</v>
      </c>
      <c r="Z28" s="53"/>
      <c r="AA28" s="53"/>
      <c r="AB28" s="53"/>
    </row>
    <row r="29" s="49" customFormat="1" spans="1:28">
      <c r="A29" s="53" t="s">
        <v>5016</v>
      </c>
      <c r="B29" s="53" t="s">
        <v>5003</v>
      </c>
      <c r="C29" s="54"/>
      <c r="D29" s="54">
        <v>28</v>
      </c>
      <c r="E29" s="54">
        <v>28</v>
      </c>
      <c r="F29" s="54">
        <v>4580.43</v>
      </c>
      <c r="G29" s="54"/>
      <c r="H29" s="54"/>
      <c r="I29" s="54">
        <v>592.04</v>
      </c>
      <c r="J29" s="54"/>
      <c r="K29" s="64">
        <v>5172.47</v>
      </c>
      <c r="L29" s="64"/>
      <c r="M29" s="64"/>
      <c r="N29" s="59">
        <f t="shared" si="10"/>
        <v>5172.47</v>
      </c>
      <c r="O29" s="54">
        <v>592.04</v>
      </c>
      <c r="P29" s="59"/>
      <c r="Q29" s="66"/>
      <c r="R29" s="66"/>
      <c r="S29" s="66"/>
      <c r="T29" s="53"/>
      <c r="X29" s="60" t="s">
        <v>5016</v>
      </c>
      <c r="Y29" s="65">
        <v>183.73</v>
      </c>
      <c r="Z29" s="53"/>
      <c r="AA29" s="53"/>
      <c r="AB29" s="53"/>
    </row>
    <row r="30" s="49" customFormat="1" spans="1:28">
      <c r="A30" s="53" t="s">
        <v>5017</v>
      </c>
      <c r="B30" s="53" t="s">
        <v>5003</v>
      </c>
      <c r="C30" s="54"/>
      <c r="D30" s="54">
        <v>28</v>
      </c>
      <c r="E30" s="54">
        <v>28</v>
      </c>
      <c r="F30" s="54">
        <v>4175.88</v>
      </c>
      <c r="G30" s="54"/>
      <c r="H30" s="54"/>
      <c r="I30" s="54">
        <v>546.06</v>
      </c>
      <c r="J30" s="54"/>
      <c r="K30" s="64">
        <v>4721.94</v>
      </c>
      <c r="L30" s="64"/>
      <c r="M30" s="64"/>
      <c r="N30" s="59">
        <f t="shared" si="10"/>
        <v>4721.94</v>
      </c>
      <c r="O30" s="59">
        <v>546.06</v>
      </c>
      <c r="P30" s="59"/>
      <c r="Q30" s="66"/>
      <c r="R30" s="66"/>
      <c r="S30" s="66"/>
      <c r="T30" s="53"/>
      <c r="X30" s="60" t="s">
        <v>5017</v>
      </c>
      <c r="Y30" s="65">
        <v>167.56</v>
      </c>
      <c r="Z30" s="53"/>
      <c r="AA30" s="53"/>
      <c r="AB30" s="53"/>
    </row>
    <row r="31" s="49" customFormat="1" spans="1:28">
      <c r="A31" s="53" t="s">
        <v>5018</v>
      </c>
      <c r="B31" s="53" t="s">
        <v>5003</v>
      </c>
      <c r="C31" s="54"/>
      <c r="D31" s="54">
        <v>28</v>
      </c>
      <c r="E31" s="54">
        <v>28</v>
      </c>
      <c r="F31" s="54">
        <v>4942.98</v>
      </c>
      <c r="G31" s="54"/>
      <c r="H31" s="54"/>
      <c r="I31" s="54">
        <v>641</v>
      </c>
      <c r="J31" s="54"/>
      <c r="K31" s="64">
        <v>5583.98</v>
      </c>
      <c r="L31" s="64"/>
      <c r="M31" s="64"/>
      <c r="N31" s="59">
        <f t="shared" si="10"/>
        <v>5583.98</v>
      </c>
      <c r="O31" s="59">
        <v>641</v>
      </c>
      <c r="P31" s="59"/>
      <c r="Q31" s="66"/>
      <c r="R31" s="66"/>
      <c r="S31" s="66"/>
      <c r="T31" s="53"/>
      <c r="X31" s="60" t="s">
        <v>5018</v>
      </c>
      <c r="Y31" s="65">
        <v>198.05</v>
      </c>
      <c r="Z31" s="53"/>
      <c r="AA31" s="53"/>
      <c r="AB31" s="53"/>
    </row>
    <row r="32" s="49" customFormat="1" spans="1:28">
      <c r="A32" s="53" t="s">
        <v>5019</v>
      </c>
      <c r="B32" s="53" t="s">
        <v>5003</v>
      </c>
      <c r="C32" s="54"/>
      <c r="D32" s="54">
        <v>28</v>
      </c>
      <c r="E32" s="54">
        <v>28</v>
      </c>
      <c r="F32" s="54">
        <v>4175.88</v>
      </c>
      <c r="G32" s="54"/>
      <c r="H32" s="54"/>
      <c r="I32" s="54">
        <v>546.06</v>
      </c>
      <c r="J32" s="54"/>
      <c r="K32" s="64">
        <v>4721.94</v>
      </c>
      <c r="L32" s="64"/>
      <c r="M32" s="64"/>
      <c r="N32" s="59">
        <f t="shared" si="10"/>
        <v>4721.94</v>
      </c>
      <c r="O32" s="59">
        <v>546.06</v>
      </c>
      <c r="P32" s="59"/>
      <c r="Q32" s="66"/>
      <c r="R32" s="66"/>
      <c r="S32" s="66"/>
      <c r="T32" s="53"/>
      <c r="X32" s="60" t="s">
        <v>5019</v>
      </c>
      <c r="Y32" s="65">
        <v>167.56</v>
      </c>
      <c r="Z32" s="53"/>
      <c r="AA32" s="53"/>
      <c r="AB32" s="53"/>
    </row>
    <row r="33" s="49" customFormat="1" spans="1:28">
      <c r="A33" s="53" t="s">
        <v>5020</v>
      </c>
      <c r="B33" s="53" t="s">
        <v>5003</v>
      </c>
      <c r="C33" s="54"/>
      <c r="D33" s="54">
        <v>28</v>
      </c>
      <c r="E33" s="54">
        <v>28</v>
      </c>
      <c r="F33" s="54">
        <v>4942.98</v>
      </c>
      <c r="G33" s="54"/>
      <c r="H33" s="54"/>
      <c r="I33" s="54">
        <v>641</v>
      </c>
      <c r="J33" s="54"/>
      <c r="K33" s="64">
        <v>5583.98</v>
      </c>
      <c r="L33" s="64"/>
      <c r="M33" s="64"/>
      <c r="N33" s="59">
        <f t="shared" si="10"/>
        <v>5583.98</v>
      </c>
      <c r="O33" s="59">
        <v>641</v>
      </c>
      <c r="P33" s="59"/>
      <c r="Q33" s="66"/>
      <c r="R33" s="66"/>
      <c r="S33" s="66"/>
      <c r="T33" s="53"/>
      <c r="X33" s="60" t="s">
        <v>5020</v>
      </c>
      <c r="Y33" s="65">
        <v>198.05</v>
      </c>
      <c r="Z33" s="53"/>
      <c r="AA33" s="53"/>
      <c r="AB33" s="53"/>
    </row>
    <row r="34" s="49" customFormat="1" spans="1:28">
      <c r="A34" s="55" t="s">
        <v>5021</v>
      </c>
      <c r="B34" s="56"/>
      <c r="C34" s="59">
        <f t="shared" ref="C34:F34" si="11">SUM(C24:C33)</f>
        <v>0</v>
      </c>
      <c r="D34" s="59">
        <f t="shared" si="11"/>
        <v>280</v>
      </c>
      <c r="E34" s="59">
        <f t="shared" si="11"/>
        <v>280</v>
      </c>
      <c r="F34" s="59">
        <f t="shared" si="11"/>
        <v>43237.88</v>
      </c>
      <c r="G34" s="59"/>
      <c r="H34" s="59"/>
      <c r="I34" s="59">
        <f>SUM(I24:I33)</f>
        <v>5628.68</v>
      </c>
      <c r="J34" s="59">
        <f>SUM(J24:J33)</f>
        <v>0</v>
      </c>
      <c r="K34" s="58">
        <v>48866.56</v>
      </c>
      <c r="L34" s="58"/>
      <c r="M34" s="58"/>
      <c r="N34" s="59">
        <f t="shared" ref="N34:P34" si="12">SUM(N24:N33)</f>
        <v>48866.56</v>
      </c>
      <c r="O34" s="59">
        <f t="shared" si="12"/>
        <v>5628.68</v>
      </c>
      <c r="P34" s="59">
        <f t="shared" si="12"/>
        <v>0</v>
      </c>
      <c r="Q34" s="68"/>
      <c r="R34" s="68">
        <f>ROUND(N34/$N$48,4)</f>
        <v>0.3038</v>
      </c>
      <c r="S34" s="68">
        <f>ROUND(N34/($N$13+$N$34+$N$47),4)</f>
        <v>0.3234</v>
      </c>
      <c r="T34" s="53"/>
      <c r="X34" s="60" t="s">
        <v>5004</v>
      </c>
      <c r="Y34" s="65">
        <v>59.53</v>
      </c>
      <c r="Z34" s="53"/>
      <c r="AA34" s="53"/>
      <c r="AB34" s="53"/>
    </row>
    <row r="35" s="49" customFormat="1" spans="1:28">
      <c r="A35" s="53" t="s">
        <v>5022</v>
      </c>
      <c r="B35" s="60" t="s">
        <v>5023</v>
      </c>
      <c r="C35" s="54"/>
      <c r="D35" s="54"/>
      <c r="E35" s="54"/>
      <c r="F35" s="54"/>
      <c r="G35" s="54"/>
      <c r="H35" s="54"/>
      <c r="I35" s="54"/>
      <c r="J35" s="54"/>
      <c r="K35" s="64">
        <v>0</v>
      </c>
      <c r="L35" s="64"/>
      <c r="M35" s="64"/>
      <c r="N35" s="59">
        <f t="shared" ref="N35:N37" si="13">K35+L35</f>
        <v>0</v>
      </c>
      <c r="O35" s="59">
        <v>1954.2</v>
      </c>
      <c r="P35" s="59">
        <v>4364712.48</v>
      </c>
      <c r="Q35" s="70">
        <f t="shared" ref="Q35:Q37" si="14">P35/O35</f>
        <v>2233.50346945041</v>
      </c>
      <c r="R35" s="66"/>
      <c r="S35" s="66"/>
      <c r="T35" s="53" t="s">
        <v>5024</v>
      </c>
      <c r="X35" s="60" t="s">
        <v>5005</v>
      </c>
      <c r="Y35" s="65">
        <v>72.02</v>
      </c>
      <c r="Z35" s="53"/>
      <c r="AA35" s="53"/>
      <c r="AB35" s="53"/>
    </row>
    <row r="36" s="49" customFormat="1" ht="15" customHeight="1" spans="1:28">
      <c r="A36" s="53" t="s">
        <v>5025</v>
      </c>
      <c r="B36" s="60" t="s">
        <v>5026</v>
      </c>
      <c r="C36" s="54"/>
      <c r="D36" s="54"/>
      <c r="E36" s="54"/>
      <c r="F36" s="54"/>
      <c r="G36" s="54"/>
      <c r="H36" s="54"/>
      <c r="I36" s="54"/>
      <c r="J36" s="54"/>
      <c r="K36" s="64">
        <v>0</v>
      </c>
      <c r="L36" s="64"/>
      <c r="M36" s="64"/>
      <c r="N36" s="59">
        <f t="shared" si="13"/>
        <v>0</v>
      </c>
      <c r="O36" s="59">
        <v>1656.84</v>
      </c>
      <c r="P36" s="59">
        <v>3069771.85</v>
      </c>
      <c r="Q36" s="70">
        <f t="shared" si="14"/>
        <v>1852.7871429951</v>
      </c>
      <c r="R36" s="66"/>
      <c r="S36" s="66"/>
      <c r="T36" s="53" t="s">
        <v>5027</v>
      </c>
      <c r="X36" s="60" t="s">
        <v>5002</v>
      </c>
      <c r="Y36" s="65">
        <v>35.71</v>
      </c>
      <c r="Z36" s="53"/>
      <c r="AA36" s="53"/>
      <c r="AB36" s="53"/>
    </row>
    <row r="37" s="49" customFormat="1" ht="15" customHeight="1" spans="1:28">
      <c r="A37" s="61"/>
      <c r="B37" s="62" t="s">
        <v>5028</v>
      </c>
      <c r="C37" s="54"/>
      <c r="D37" s="54"/>
      <c r="E37" s="54"/>
      <c r="F37" s="54"/>
      <c r="G37" s="54"/>
      <c r="H37" s="54"/>
      <c r="I37" s="54"/>
      <c r="J37" s="54"/>
      <c r="K37" s="64"/>
      <c r="L37" s="64"/>
      <c r="M37" s="64"/>
      <c r="N37" s="59">
        <f t="shared" si="13"/>
        <v>0</v>
      </c>
      <c r="O37" s="59">
        <v>7027.16</v>
      </c>
      <c r="P37" s="59">
        <v>26703208</v>
      </c>
      <c r="Q37" s="70">
        <f t="shared" si="14"/>
        <v>3800</v>
      </c>
      <c r="R37" s="66"/>
      <c r="S37" s="66"/>
      <c r="T37" s="53" t="s">
        <v>5029</v>
      </c>
      <c r="X37" s="60" t="s">
        <v>5030</v>
      </c>
      <c r="Y37" s="65">
        <f>SUM(Y24:Y36)</f>
        <v>1901.66</v>
      </c>
      <c r="Z37" s="72">
        <f>Y37/$Y$47</f>
        <v>0.318696696324277</v>
      </c>
      <c r="AA37" s="53"/>
      <c r="AB37" s="53"/>
    </row>
    <row r="38" s="49" customFormat="1" spans="1:28">
      <c r="A38" s="55" t="s">
        <v>5031</v>
      </c>
      <c r="B38" s="56"/>
      <c r="C38" s="59">
        <f t="shared" ref="C38:F38" si="15">SUM(C35:C36)</f>
        <v>0</v>
      </c>
      <c r="D38" s="59">
        <f t="shared" si="15"/>
        <v>0</v>
      </c>
      <c r="E38" s="59">
        <f t="shared" si="15"/>
        <v>0</v>
      </c>
      <c r="F38" s="59">
        <f t="shared" si="15"/>
        <v>0</v>
      </c>
      <c r="G38" s="59"/>
      <c r="H38" s="59"/>
      <c r="I38" s="59">
        <f>SUM(I35:I36)</f>
        <v>0</v>
      </c>
      <c r="J38" s="59">
        <f>SUM(J35:J36)</f>
        <v>0</v>
      </c>
      <c r="K38" s="58">
        <v>0</v>
      </c>
      <c r="L38" s="58"/>
      <c r="M38" s="58"/>
      <c r="N38" s="59">
        <f t="shared" ref="N38:Q38" si="16">SUM(N35:N36)</f>
        <v>0</v>
      </c>
      <c r="O38" s="59">
        <f>SUM(O35:O37)</f>
        <v>10638.2</v>
      </c>
      <c r="P38" s="59">
        <f t="shared" si="16"/>
        <v>7434484.33</v>
      </c>
      <c r="Q38" s="59">
        <f t="shared" si="16"/>
        <v>4086.29061244551</v>
      </c>
      <c r="R38" s="68"/>
      <c r="S38" s="68"/>
      <c r="T38" s="53"/>
      <c r="X38" s="53" t="s">
        <v>5032</v>
      </c>
      <c r="Y38" s="64">
        <v>160.38</v>
      </c>
      <c r="Z38" s="53"/>
      <c r="AA38" s="53"/>
      <c r="AB38" s="53"/>
    </row>
    <row r="39" s="49" customFormat="1" spans="1:28">
      <c r="A39" s="53" t="s">
        <v>5033</v>
      </c>
      <c r="B39" s="53" t="s">
        <v>5023</v>
      </c>
      <c r="C39" s="54">
        <f t="shared" ref="C39:C46" si="17">SUM(C38:C38)</f>
        <v>0</v>
      </c>
      <c r="D39" s="54">
        <v>44</v>
      </c>
      <c r="E39" s="54">
        <v>32</v>
      </c>
      <c r="F39" s="54">
        <v>6140.42</v>
      </c>
      <c r="G39" s="54"/>
      <c r="H39" s="54"/>
      <c r="I39" s="54">
        <v>542.62</v>
      </c>
      <c r="J39" s="54"/>
      <c r="K39" s="64">
        <v>6683.04</v>
      </c>
      <c r="L39" s="64"/>
      <c r="M39" s="64"/>
      <c r="N39" s="59">
        <f t="shared" ref="N39:N46" si="18">K39-L39</f>
        <v>6683.04</v>
      </c>
      <c r="O39" s="54"/>
      <c r="P39" s="54">
        <v>542.62</v>
      </c>
      <c r="Q39" s="71"/>
      <c r="R39" s="71"/>
      <c r="S39" s="71"/>
      <c r="T39" s="53"/>
      <c r="X39" s="53" t="s">
        <v>5034</v>
      </c>
      <c r="Y39" s="64">
        <v>178.42</v>
      </c>
      <c r="Z39" s="53"/>
      <c r="AA39" s="53"/>
      <c r="AB39" s="53"/>
    </row>
    <row r="40" s="49" customFormat="1" spans="1:28">
      <c r="A40" s="53" t="s">
        <v>5032</v>
      </c>
      <c r="B40" s="53" t="s">
        <v>5023</v>
      </c>
      <c r="C40" s="54">
        <f t="shared" si="17"/>
        <v>0</v>
      </c>
      <c r="D40" s="54">
        <v>32</v>
      </c>
      <c r="E40" s="54">
        <v>32</v>
      </c>
      <c r="F40" s="54">
        <v>4032.12</v>
      </c>
      <c r="G40" s="54"/>
      <c r="H40" s="54"/>
      <c r="I40" s="54">
        <v>488.76</v>
      </c>
      <c r="J40" s="54"/>
      <c r="K40" s="64">
        <v>4520.88</v>
      </c>
      <c r="L40" s="64"/>
      <c r="M40" s="64"/>
      <c r="N40" s="59">
        <f t="shared" si="18"/>
        <v>4520.88</v>
      </c>
      <c r="O40" s="54">
        <v>488.76</v>
      </c>
      <c r="P40" s="54"/>
      <c r="Q40" s="71"/>
      <c r="R40" s="71"/>
      <c r="S40" s="71"/>
      <c r="T40" s="53"/>
      <c r="X40" s="53" t="s">
        <v>5035</v>
      </c>
      <c r="Y40" s="64">
        <v>178.42</v>
      </c>
      <c r="Z40" s="53"/>
      <c r="AA40" s="53"/>
      <c r="AB40" s="53"/>
    </row>
    <row r="41" s="49" customFormat="1" spans="1:28">
      <c r="A41" s="53" t="s">
        <v>5034</v>
      </c>
      <c r="B41" s="53" t="s">
        <v>5023</v>
      </c>
      <c r="C41" s="54">
        <f t="shared" si="17"/>
        <v>0</v>
      </c>
      <c r="D41" s="54">
        <v>32</v>
      </c>
      <c r="E41" s="54">
        <v>32</v>
      </c>
      <c r="F41" s="54">
        <v>4480.96</v>
      </c>
      <c r="G41" s="54"/>
      <c r="H41" s="54"/>
      <c r="I41" s="54">
        <v>545.28</v>
      </c>
      <c r="J41" s="54"/>
      <c r="K41" s="64">
        <v>5026.24</v>
      </c>
      <c r="L41" s="64"/>
      <c r="M41" s="64"/>
      <c r="N41" s="59">
        <f t="shared" si="18"/>
        <v>5026.24</v>
      </c>
      <c r="O41" s="54">
        <v>545.28</v>
      </c>
      <c r="P41" s="54"/>
      <c r="Q41" s="71"/>
      <c r="R41" s="71"/>
      <c r="S41" s="71"/>
      <c r="T41" s="53"/>
      <c r="X41" s="53" t="s">
        <v>5033</v>
      </c>
      <c r="Y41" s="64">
        <v>594.87</v>
      </c>
      <c r="Z41" s="53"/>
      <c r="AA41" s="53"/>
      <c r="AB41" s="53"/>
    </row>
    <row r="42" s="49" customFormat="1" spans="1:28">
      <c r="A42" s="53" t="s">
        <v>5035</v>
      </c>
      <c r="B42" s="53" t="s">
        <v>5023</v>
      </c>
      <c r="C42" s="54">
        <f t="shared" si="17"/>
        <v>0</v>
      </c>
      <c r="D42" s="54">
        <v>32</v>
      </c>
      <c r="E42" s="54">
        <v>32</v>
      </c>
      <c r="F42" s="54">
        <v>4480.96</v>
      </c>
      <c r="G42" s="54"/>
      <c r="H42" s="54"/>
      <c r="I42" s="54">
        <v>545.28</v>
      </c>
      <c r="J42" s="54"/>
      <c r="K42" s="64">
        <v>5026.24</v>
      </c>
      <c r="L42" s="64"/>
      <c r="M42" s="64"/>
      <c r="N42" s="59">
        <f t="shared" si="18"/>
        <v>5026.24</v>
      </c>
      <c r="O42" s="54">
        <v>545.28</v>
      </c>
      <c r="P42" s="54"/>
      <c r="Q42" s="71"/>
      <c r="R42" s="71"/>
      <c r="S42" s="71"/>
      <c r="T42" s="53"/>
      <c r="X42" s="53" t="s">
        <v>5036</v>
      </c>
      <c r="Y42" s="64">
        <v>599.52</v>
      </c>
      <c r="Z42" s="53"/>
      <c r="AA42" s="53"/>
      <c r="AB42" s="53"/>
    </row>
    <row r="43" s="49" customFormat="1" spans="1:28">
      <c r="A43" s="53" t="s">
        <v>5037</v>
      </c>
      <c r="B43" s="53" t="s">
        <v>5023</v>
      </c>
      <c r="C43" s="54">
        <f t="shared" si="17"/>
        <v>0</v>
      </c>
      <c r="D43" s="54">
        <v>44</v>
      </c>
      <c r="E43" s="54">
        <v>20</v>
      </c>
      <c r="F43" s="54">
        <v>5524.66</v>
      </c>
      <c r="G43" s="54"/>
      <c r="H43" s="54"/>
      <c r="I43" s="54">
        <v>486.22</v>
      </c>
      <c r="J43" s="54"/>
      <c r="K43" s="64">
        <v>6010.88</v>
      </c>
      <c r="L43" s="64"/>
      <c r="M43" s="64"/>
      <c r="N43" s="59">
        <f t="shared" si="18"/>
        <v>6010.88</v>
      </c>
      <c r="O43" s="54">
        <v>486.22</v>
      </c>
      <c r="P43" s="54">
        <v>486.22</v>
      </c>
      <c r="Q43" s="72"/>
      <c r="R43" s="72"/>
      <c r="S43" s="72"/>
      <c r="T43" s="53" t="s">
        <v>4994</v>
      </c>
      <c r="X43" s="53" t="s">
        <v>5038</v>
      </c>
      <c r="Y43" s="64">
        <v>563.93</v>
      </c>
      <c r="Z43" s="53"/>
      <c r="AA43" s="53"/>
      <c r="AB43" s="53"/>
    </row>
    <row r="44" s="49" customFormat="1" spans="1:28">
      <c r="A44" s="53" t="s">
        <v>5036</v>
      </c>
      <c r="B44" s="53" t="s">
        <v>5026</v>
      </c>
      <c r="C44" s="54">
        <f t="shared" si="17"/>
        <v>0</v>
      </c>
      <c r="D44" s="54">
        <v>72</v>
      </c>
      <c r="E44" s="54"/>
      <c r="F44" s="54">
        <v>10145.52</v>
      </c>
      <c r="G44" s="54"/>
      <c r="H44" s="54"/>
      <c r="I44" s="54"/>
      <c r="J44" s="54"/>
      <c r="K44" s="65">
        <f>10145.52+39.24</f>
        <v>10184.76</v>
      </c>
      <c r="L44" s="64">
        <v>-39.24</v>
      </c>
      <c r="M44" s="64" t="s">
        <v>5039</v>
      </c>
      <c r="N44" s="59">
        <f>K44+L44</f>
        <v>10145.52</v>
      </c>
      <c r="O44" s="54">
        <f>39.24+140.62</f>
        <v>179.86</v>
      </c>
      <c r="P44" s="54"/>
      <c r="Q44" s="71"/>
      <c r="R44" s="71"/>
      <c r="S44" s="71"/>
      <c r="T44" s="49" t="s">
        <v>5040</v>
      </c>
      <c r="X44" s="53" t="s">
        <v>5041</v>
      </c>
      <c r="Y44" s="64">
        <v>599.52</v>
      </c>
      <c r="Z44" s="53"/>
      <c r="AA44" s="53"/>
      <c r="AB44" s="53"/>
    </row>
    <row r="45" s="49" customFormat="1" spans="1:28">
      <c r="A45" s="53" t="s">
        <v>5038</v>
      </c>
      <c r="B45" s="53" t="s">
        <v>5026</v>
      </c>
      <c r="C45" s="54">
        <f t="shared" si="17"/>
        <v>0</v>
      </c>
      <c r="D45" s="54">
        <v>44</v>
      </c>
      <c r="E45" s="54"/>
      <c r="F45" s="54">
        <v>5840.49</v>
      </c>
      <c r="G45" s="54"/>
      <c r="H45" s="54"/>
      <c r="I45" s="54"/>
      <c r="J45" s="54"/>
      <c r="K45" s="65">
        <f>F45</f>
        <v>5840.49</v>
      </c>
      <c r="L45" s="64"/>
      <c r="M45" s="64"/>
      <c r="N45" s="59">
        <f t="shared" si="18"/>
        <v>5840.49</v>
      </c>
      <c r="O45" s="54"/>
      <c r="P45" s="54"/>
      <c r="Q45" s="71"/>
      <c r="R45" s="71"/>
      <c r="S45" s="71"/>
      <c r="T45" s="53"/>
      <c r="X45" s="53" t="s">
        <v>5037</v>
      </c>
      <c r="Y45" s="64">
        <v>534.92</v>
      </c>
      <c r="Z45" s="53"/>
      <c r="AA45" s="53"/>
      <c r="AB45" s="53"/>
    </row>
    <row r="46" s="49" customFormat="1" ht="16" customHeight="1" spans="1:28">
      <c r="A46" s="53" t="s">
        <v>5041</v>
      </c>
      <c r="B46" s="53" t="s">
        <v>5026</v>
      </c>
      <c r="C46" s="54">
        <f t="shared" si="17"/>
        <v>0</v>
      </c>
      <c r="D46" s="54">
        <v>72</v>
      </c>
      <c r="E46" s="54"/>
      <c r="F46" s="54">
        <v>10143.36</v>
      </c>
      <c r="G46" s="54"/>
      <c r="H46" s="54"/>
      <c r="I46" s="54"/>
      <c r="J46" s="54"/>
      <c r="K46" s="65">
        <f>F46</f>
        <v>10143.36</v>
      </c>
      <c r="L46" s="64"/>
      <c r="M46" s="64"/>
      <c r="N46" s="59">
        <f t="shared" si="18"/>
        <v>10143.36</v>
      </c>
      <c r="O46" s="54">
        <v>140.62</v>
      </c>
      <c r="P46" s="54"/>
      <c r="Q46" s="71"/>
      <c r="R46" s="71"/>
      <c r="S46" s="71"/>
      <c r="T46" s="53"/>
      <c r="X46" s="53" t="s">
        <v>5042</v>
      </c>
      <c r="Y46" s="64">
        <f>SUM(Y38:Y45)</f>
        <v>3409.98</v>
      </c>
      <c r="Z46" s="72">
        <f>Y46/$Y$47</f>
        <v>0.571474059785587</v>
      </c>
      <c r="AA46" s="53"/>
      <c r="AB46" s="53"/>
    </row>
    <row r="47" s="49" customFormat="1" spans="1:28">
      <c r="A47" s="55" t="s">
        <v>5042</v>
      </c>
      <c r="B47" s="56"/>
      <c r="C47" s="59">
        <f t="shared" ref="C47:F47" si="19">SUM(C39:C46)</f>
        <v>0</v>
      </c>
      <c r="D47" s="59">
        <f t="shared" si="19"/>
        <v>372</v>
      </c>
      <c r="E47" s="59">
        <f t="shared" si="19"/>
        <v>148</v>
      </c>
      <c r="F47" s="59">
        <f t="shared" si="19"/>
        <v>50788.49</v>
      </c>
      <c r="G47" s="59"/>
      <c r="H47" s="59"/>
      <c r="I47" s="59">
        <f>SUM(I39:I46)</f>
        <v>2608.16</v>
      </c>
      <c r="J47" s="59">
        <f>SUM(J39:J46)</f>
        <v>0</v>
      </c>
      <c r="K47" s="58">
        <f>SUM(K39:K46)</f>
        <v>53435.89</v>
      </c>
      <c r="L47" s="58"/>
      <c r="M47" s="58"/>
      <c r="N47" s="59">
        <f>SUM(N39:N46)</f>
        <v>53396.65</v>
      </c>
      <c r="O47" s="59">
        <f t="shared" ref="N47:P47" si="20">SUM(O39:O46)</f>
        <v>2386.02</v>
      </c>
      <c r="P47" s="59">
        <f t="shared" si="20"/>
        <v>1028.84</v>
      </c>
      <c r="Q47" s="68"/>
      <c r="R47" s="68">
        <f>ROUND(N47/$N$48,4)</f>
        <v>0.3319</v>
      </c>
      <c r="S47" s="68">
        <f>ROUND(N47/($N$13+$N$34+$N$47),4)+0.0001</f>
        <v>0.3535</v>
      </c>
      <c r="T47" s="53"/>
      <c r="X47" s="53" t="s">
        <v>5043</v>
      </c>
      <c r="Y47" s="65">
        <f>Y46+Y37+Y23</f>
        <v>5966.99</v>
      </c>
      <c r="Z47" s="78">
        <f>Z46+Z37+Z23</f>
        <v>1</v>
      </c>
      <c r="AA47" s="60"/>
      <c r="AB47" s="60"/>
    </row>
    <row r="48" s="49" customFormat="1" spans="1:28">
      <c r="A48" s="57" t="s">
        <v>184</v>
      </c>
      <c r="B48" s="57"/>
      <c r="C48" s="59">
        <f t="shared" ref="C48:F48" si="21">C13+C19+C34+C38+C47+C23</f>
        <v>89</v>
      </c>
      <c r="D48" s="59">
        <f t="shared" si="21"/>
        <v>960</v>
      </c>
      <c r="E48" s="59">
        <f t="shared" si="21"/>
        <v>632</v>
      </c>
      <c r="F48" s="59">
        <f t="shared" si="21"/>
        <v>137869.31</v>
      </c>
      <c r="G48" s="59"/>
      <c r="H48" s="59"/>
      <c r="I48" s="59">
        <f>I13+I19+I34+I38+I47+I23</f>
        <v>13267.52</v>
      </c>
      <c r="J48" s="59">
        <f>J13+J19+J34+J38+J47+J23</f>
        <v>9771.95</v>
      </c>
      <c r="K48" s="58">
        <f>K13+K19+K34+K38+K47+K23</f>
        <v>161028.71</v>
      </c>
      <c r="L48" s="58"/>
      <c r="M48" s="58"/>
      <c r="N48" s="59">
        <f t="shared" ref="N48:R48" si="22">N13+N19+N34+N38+N47+N23</f>
        <v>160869.98</v>
      </c>
      <c r="O48" s="59">
        <f t="shared" si="22"/>
        <v>21776.04</v>
      </c>
      <c r="P48" s="59">
        <f t="shared" si="22"/>
        <v>7437409.05</v>
      </c>
      <c r="Q48" s="59">
        <f t="shared" si="22"/>
        <v>4086.29061244551</v>
      </c>
      <c r="R48" s="68">
        <f t="shared" si="22"/>
        <v>1.0001</v>
      </c>
      <c r="S48" s="68">
        <f>S47+S34+S13</f>
        <v>1.0001</v>
      </c>
      <c r="T48" s="53"/>
      <c r="X48" s="53" t="s">
        <v>5044</v>
      </c>
      <c r="Y48" s="64">
        <f>65.26-0.03</f>
        <v>65.23</v>
      </c>
      <c r="Z48" s="53"/>
      <c r="AA48" s="53"/>
      <c r="AB48" s="53"/>
    </row>
    <row r="49" s="49" customFormat="1" spans="5:28">
      <c r="E49" s="50"/>
      <c r="F49" s="50"/>
      <c r="G49" s="50"/>
      <c r="H49" s="50"/>
      <c r="I49" s="50"/>
      <c r="J49" s="50"/>
      <c r="K49" s="51"/>
      <c r="L49" s="51"/>
      <c r="M49" s="51"/>
      <c r="N49" s="50"/>
      <c r="O49" s="50"/>
      <c r="P49" s="50"/>
      <c r="Q49" s="52"/>
      <c r="R49" s="52"/>
      <c r="S49" s="52"/>
      <c r="X49" s="53"/>
      <c r="Y49" s="64"/>
      <c r="Z49" s="53"/>
      <c r="AA49" s="53"/>
      <c r="AB49" s="53"/>
    </row>
    <row r="50" s="49" customFormat="1" spans="5:28">
      <c r="E50" s="50"/>
      <c r="F50" s="50"/>
      <c r="G50" s="50"/>
      <c r="H50" s="50"/>
      <c r="I50" s="50"/>
      <c r="J50" s="50"/>
      <c r="K50" s="51"/>
      <c r="L50" s="51"/>
      <c r="M50" s="51"/>
      <c r="N50" s="51"/>
      <c r="O50" s="50"/>
      <c r="P50" s="50"/>
      <c r="Q50" s="52"/>
      <c r="R50" s="52"/>
      <c r="S50" s="52"/>
      <c r="X50" s="53"/>
      <c r="Y50" s="64"/>
      <c r="Z50" s="60"/>
      <c r="AA50" s="53"/>
      <c r="AB50" s="53"/>
    </row>
    <row r="51" s="49" customFormat="1" spans="5:25">
      <c r="E51" s="50"/>
      <c r="F51" s="50"/>
      <c r="G51" s="50"/>
      <c r="H51" s="50"/>
      <c r="I51" s="50"/>
      <c r="J51" s="50"/>
      <c r="K51" s="51"/>
      <c r="L51" s="51"/>
      <c r="M51" s="51"/>
      <c r="N51" s="51"/>
      <c r="O51" s="50"/>
      <c r="P51" s="50"/>
      <c r="Q51" s="52"/>
      <c r="R51" s="52"/>
      <c r="S51" s="52"/>
      <c r="Y51" s="51"/>
    </row>
    <row r="52" spans="26:26">
      <c r="Z52" s="79"/>
    </row>
    <row r="55" spans="12:12">
      <c r="L55" s="51" t="s">
        <v>5045</v>
      </c>
    </row>
    <row r="56" spans="4:5">
      <c r="D56" s="51"/>
      <c r="E56" s="63"/>
    </row>
    <row r="57" spans="4:5">
      <c r="D57" s="51"/>
      <c r="E57" s="63"/>
    </row>
    <row r="58" spans="4:5">
      <c r="D58" s="51"/>
      <c r="E58" s="63"/>
    </row>
    <row r="59" spans="4:5">
      <c r="D59" s="51"/>
      <c r="E59" s="63"/>
    </row>
  </sheetData>
  <mergeCells count="8">
    <mergeCell ref="X2:Z2"/>
    <mergeCell ref="A13:B13"/>
    <mergeCell ref="X17:AB17"/>
    <mergeCell ref="A19:B19"/>
    <mergeCell ref="A23:B23"/>
    <mergeCell ref="A34:B34"/>
    <mergeCell ref="A38:B38"/>
    <mergeCell ref="A47:B47"/>
  </mergeCells>
  <pageMargins left="0.75" right="0.75" top="1" bottom="1" header="0.5" footer="0.5"/>
  <pageSetup paperSize="9" orientation="portrait"/>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pageSetUpPr fitToPage="1"/>
  </sheetPr>
  <dimension ref="A1:U26"/>
  <sheetViews>
    <sheetView zoomScale="85" zoomScaleNormal="85" workbookViewId="0">
      <selection activeCell="I18" sqref="I18"/>
    </sheetView>
  </sheetViews>
  <sheetFormatPr defaultColWidth="7" defaultRowHeight="15.65"/>
  <cols>
    <col min="1" max="1" width="8.8768115942029" style="16" customWidth="1"/>
    <col min="2" max="2" width="14.1231884057971" style="16" customWidth="1"/>
    <col min="3" max="4" width="9.6231884057971" style="12" customWidth="1"/>
    <col min="5" max="5" width="12.8333333333333" style="12" customWidth="1"/>
    <col min="6" max="7" width="12" style="12" customWidth="1"/>
    <col min="8" max="8" width="12.8333333333333" style="12" customWidth="1"/>
    <col min="9" max="10" width="12" style="12" customWidth="1"/>
    <col min="11" max="11" width="11.3768115942029" style="12" customWidth="1"/>
    <col min="12" max="17" width="9.6231884057971" style="16" customWidth="1"/>
    <col min="18" max="19" width="9.6231884057971" style="12" customWidth="1"/>
    <col min="20" max="20" width="9.6231884057971" style="18" customWidth="1"/>
    <col min="21" max="21" width="9.6231884057971" style="19" customWidth="1"/>
    <col min="22" max="16384" width="7" style="20"/>
  </cols>
  <sheetData>
    <row r="1" s="12" customFormat="1" ht="24" customHeight="1" spans="1:21">
      <c r="A1" s="21" t="s">
        <v>5046</v>
      </c>
      <c r="B1" s="21"/>
      <c r="C1" s="21"/>
      <c r="D1" s="21"/>
      <c r="E1" s="21"/>
      <c r="F1" s="21"/>
      <c r="G1" s="21"/>
      <c r="H1" s="21"/>
      <c r="I1" s="21"/>
      <c r="J1" s="21"/>
      <c r="K1" s="21"/>
      <c r="L1" s="21"/>
      <c r="M1" s="21"/>
      <c r="N1" s="21"/>
      <c r="O1" s="21"/>
      <c r="P1" s="21"/>
      <c r="Q1" s="21"/>
      <c r="R1" s="21"/>
      <c r="S1" s="21"/>
      <c r="T1" s="21"/>
      <c r="U1" s="21"/>
    </row>
    <row r="2" s="12" customFormat="1" ht="24" customHeight="1" spans="1:21">
      <c r="A2" s="22" t="str">
        <f>土地增值税税源明细表!F5&amp;"："&amp;土地增值税税源明细表!H5&amp;"          "&amp;土地增值税税源明细表!A5&amp;"："&amp;土地增值税税源明细表!B5</f>
        <v>项目编码：Z65280120190027          项目名称：沁春锦苑19#、20#、23#、24#楼</v>
      </c>
      <c r="B2" s="22"/>
      <c r="C2" s="22"/>
      <c r="D2" s="22"/>
      <c r="E2" s="22"/>
      <c r="F2" s="22"/>
      <c r="G2" s="22"/>
      <c r="H2" s="22"/>
      <c r="I2" s="22"/>
      <c r="J2" s="22"/>
      <c r="K2" s="22"/>
      <c r="L2" s="22"/>
      <c r="M2" s="22"/>
      <c r="N2" s="22"/>
      <c r="O2" s="22"/>
      <c r="P2" s="22"/>
      <c r="Q2" s="22"/>
      <c r="R2" s="22"/>
      <c r="S2" s="22"/>
      <c r="T2" s="22"/>
      <c r="U2" s="22"/>
    </row>
    <row r="3" s="13" customFormat="1" ht="24" customHeight="1" spans="1:21">
      <c r="A3" s="23" t="s">
        <v>5047</v>
      </c>
      <c r="B3" s="24"/>
      <c r="C3" s="24"/>
      <c r="D3" s="24"/>
      <c r="E3" s="24"/>
      <c r="F3" s="24"/>
      <c r="G3" s="24"/>
      <c r="H3" s="24"/>
      <c r="I3" s="24"/>
      <c r="J3" s="24"/>
      <c r="K3" s="24"/>
      <c r="L3" s="24"/>
      <c r="M3" s="24"/>
      <c r="N3" s="24"/>
      <c r="O3" s="24"/>
      <c r="P3" s="24"/>
      <c r="Q3" s="24"/>
      <c r="R3" s="24"/>
      <c r="S3" s="24"/>
      <c r="T3" s="24"/>
      <c r="U3" s="24"/>
    </row>
    <row r="4" s="14" customFormat="1" ht="24" customHeight="1" spans="1:21">
      <c r="A4" s="25" t="s">
        <v>5048</v>
      </c>
      <c r="B4" s="25" t="s">
        <v>5049</v>
      </c>
      <c r="C4" s="26" t="str">
        <f>"*"&amp;数据对照表!E2</f>
        <v>*桩基础工程费用</v>
      </c>
      <c r="D4" s="27" t="str">
        <f>"*"&amp;数据对照表!E3</f>
        <v>*地下室工程费用</v>
      </c>
      <c r="E4" s="27" t="str">
        <f>"*"&amp;数据对照表!E4</f>
        <v>*地上建筑工程费用</v>
      </c>
      <c r="F4" s="27" t="str">
        <f>"*"&amp;数据对照表!E5</f>
        <v>*户内装修费用</v>
      </c>
      <c r="G4" s="27" t="str">
        <f>"*"&amp;数据对照表!E6</f>
        <v>*高档外立面工程费用</v>
      </c>
      <c r="H4" s="27" t="str">
        <f>"*"&amp;数据对照表!F11</f>
        <v>*绿化费用</v>
      </c>
      <c r="I4" s="27" t="str">
        <f>"*"&amp;数据对照表!D3</f>
        <v>*设计费用</v>
      </c>
      <c r="J4" s="27" t="str">
        <f>数据对照表!F2</f>
        <v>开发小区内道路工程支出</v>
      </c>
      <c r="K4" s="27" t="s">
        <v>5050</v>
      </c>
      <c r="L4" s="27" t="s">
        <v>5051</v>
      </c>
      <c r="M4" s="27" t="s">
        <v>5052</v>
      </c>
      <c r="N4" s="27" t="s">
        <v>5053</v>
      </c>
      <c r="O4" s="43" t="s">
        <v>5054</v>
      </c>
      <c r="P4" s="27" t="s">
        <v>5055</v>
      </c>
      <c r="Q4" s="27" t="s">
        <v>5056</v>
      </c>
      <c r="R4" s="43" t="s">
        <v>5057</v>
      </c>
      <c r="S4" s="27" t="s">
        <v>5058</v>
      </c>
      <c r="T4" s="27" t="s">
        <v>5059</v>
      </c>
      <c r="U4" s="27" t="s">
        <v>5060</v>
      </c>
    </row>
    <row r="5" s="15" customFormat="1" ht="24" customHeight="1" spans="1:21">
      <c r="A5" s="25"/>
      <c r="B5" s="25"/>
      <c r="C5" s="28"/>
      <c r="D5" s="27"/>
      <c r="E5" s="27"/>
      <c r="F5" s="27"/>
      <c r="G5" s="27"/>
      <c r="H5" s="27"/>
      <c r="I5" s="27"/>
      <c r="J5" s="27"/>
      <c r="K5" s="27"/>
      <c r="L5" s="27"/>
      <c r="M5" s="27"/>
      <c r="N5" s="27"/>
      <c r="O5" s="43"/>
      <c r="P5" s="27"/>
      <c r="Q5" s="27"/>
      <c r="R5" s="43"/>
      <c r="S5" s="27"/>
      <c r="T5" s="27"/>
      <c r="U5" s="27"/>
    </row>
    <row r="6" s="15" customFormat="1" ht="39" customHeight="1" spans="1:21">
      <c r="A6" s="25"/>
      <c r="B6" s="25"/>
      <c r="C6" s="29"/>
      <c r="D6" s="27"/>
      <c r="E6" s="27"/>
      <c r="F6" s="27"/>
      <c r="G6" s="27"/>
      <c r="H6" s="27"/>
      <c r="I6" s="27"/>
      <c r="J6" s="27"/>
      <c r="K6" s="27"/>
      <c r="L6" s="27"/>
      <c r="M6" s="27"/>
      <c r="N6" s="27"/>
      <c r="O6" s="43"/>
      <c r="P6" s="27"/>
      <c r="Q6" s="27"/>
      <c r="R6" s="43"/>
      <c r="S6" s="27"/>
      <c r="T6" s="27"/>
      <c r="U6" s="27"/>
    </row>
    <row r="7" s="15" customFormat="1" ht="24" customHeight="1" spans="1:21">
      <c r="A7" s="25"/>
      <c r="B7" s="25"/>
      <c r="C7" s="560" t="s">
        <v>38</v>
      </c>
      <c r="D7" s="560" t="s">
        <v>41</v>
      </c>
      <c r="E7" s="560" t="s">
        <v>44</v>
      </c>
      <c r="F7" s="560" t="s">
        <v>47</v>
      </c>
      <c r="G7" s="560" t="s">
        <v>92</v>
      </c>
      <c r="H7" s="560" t="s">
        <v>97</v>
      </c>
      <c r="I7" s="560" t="s">
        <v>100</v>
      </c>
      <c r="J7" s="560" t="s">
        <v>105</v>
      </c>
      <c r="K7" s="560" t="s">
        <v>109</v>
      </c>
      <c r="L7" s="560" t="s">
        <v>112</v>
      </c>
      <c r="M7" s="560" t="s">
        <v>115</v>
      </c>
      <c r="N7" s="560" t="s">
        <v>118</v>
      </c>
      <c r="O7" s="560" t="s">
        <v>121</v>
      </c>
      <c r="P7" s="560" t="s">
        <v>124</v>
      </c>
      <c r="Q7" s="560" t="s">
        <v>127</v>
      </c>
      <c r="R7" s="560" t="s">
        <v>131</v>
      </c>
      <c r="S7" s="560" t="s">
        <v>356</v>
      </c>
      <c r="T7" s="560" t="s">
        <v>357</v>
      </c>
      <c r="U7" s="560" t="s">
        <v>359</v>
      </c>
    </row>
    <row r="8" s="16" customFormat="1" ht="24" customHeight="1" spans="1:21">
      <c r="A8" s="30" t="s">
        <v>5061</v>
      </c>
      <c r="B8" s="31" t="s">
        <v>5062</v>
      </c>
      <c r="C8" s="32" t="s">
        <v>5063</v>
      </c>
      <c r="D8" s="32" t="s">
        <v>5063</v>
      </c>
      <c r="E8" s="32" t="s">
        <v>5063</v>
      </c>
      <c r="F8" s="32" t="s">
        <v>5063</v>
      </c>
      <c r="G8" s="32" t="s">
        <v>5063</v>
      </c>
      <c r="H8" s="32" t="s">
        <v>5063</v>
      </c>
      <c r="I8" s="32" t="s">
        <v>5063</v>
      </c>
      <c r="J8" s="32" t="s">
        <v>5063</v>
      </c>
      <c r="K8" s="32" t="s">
        <v>4651</v>
      </c>
      <c r="L8" s="32" t="s">
        <v>4651</v>
      </c>
      <c r="M8" s="32" t="s">
        <v>4651</v>
      </c>
      <c r="N8" s="32" t="s">
        <v>4651</v>
      </c>
      <c r="O8" s="32" t="s">
        <v>4651</v>
      </c>
      <c r="P8" s="32" t="s">
        <v>4651</v>
      </c>
      <c r="Q8" s="32" t="s">
        <v>4651</v>
      </c>
      <c r="R8" s="32" t="s">
        <v>4651</v>
      </c>
      <c r="S8" s="32" t="s">
        <v>4651</v>
      </c>
      <c r="T8" s="32" t="s">
        <v>4651</v>
      </c>
      <c r="U8" s="32" t="s">
        <v>4651</v>
      </c>
    </row>
    <row r="9" s="17" customFormat="1" ht="24" customHeight="1" spans="1:21">
      <c r="A9" s="30"/>
      <c r="B9" s="33" t="s">
        <v>5064</v>
      </c>
      <c r="C9" s="34">
        <f>'附表1-面积统计表'!D29</f>
        <v>54544.16</v>
      </c>
      <c r="D9" s="34">
        <f>SUMIFS('附表6-收入明细采集底稿'!P:P,'附表6-收入明细采集底稿'!D:D,"&lt;0")</f>
        <v>4954.28</v>
      </c>
      <c r="E9" s="34">
        <f>SUMIFS('附表6-收入明细采集底稿'!P:P,'附表6-收入明细采集底稿'!D:D,"&gt;0")</f>
        <v>48369.0799999999</v>
      </c>
      <c r="F9" s="34">
        <v>0</v>
      </c>
      <c r="G9" s="34">
        <v>0</v>
      </c>
      <c r="H9" s="32">
        <f>SUM(清算项目基本情况表!D9)*SUM(清算项目基本情况表!D10)</f>
        <v>14182.3535</v>
      </c>
      <c r="I9" s="32">
        <f>'附表1-面积统计表'!D29</f>
        <v>54544.16</v>
      </c>
      <c r="J9" s="32">
        <v>0</v>
      </c>
      <c r="K9" s="32" t="s">
        <v>4651</v>
      </c>
      <c r="L9" s="32" t="s">
        <v>4651</v>
      </c>
      <c r="M9" s="32" t="s">
        <v>4651</v>
      </c>
      <c r="N9" s="32" t="s">
        <v>4651</v>
      </c>
      <c r="O9" s="32" t="s">
        <v>4651</v>
      </c>
      <c r="P9" s="32" t="s">
        <v>4651</v>
      </c>
      <c r="Q9" s="32" t="s">
        <v>4651</v>
      </c>
      <c r="R9" s="32" t="s">
        <v>4651</v>
      </c>
      <c r="S9" s="32" t="s">
        <v>4651</v>
      </c>
      <c r="T9" s="32" t="s">
        <v>4651</v>
      </c>
      <c r="U9" s="32" t="s">
        <v>4651</v>
      </c>
    </row>
    <row r="10" s="17" customFormat="1" ht="24" customHeight="1" spans="1:21">
      <c r="A10" s="30"/>
      <c r="B10" s="33" t="s">
        <v>5065</v>
      </c>
      <c r="C10" s="34">
        <f>'附表5-扣除项目统计表'!M30</f>
        <v>0</v>
      </c>
      <c r="D10" s="34">
        <f>'附表5-扣除项目统计表'!M31</f>
        <v>33111.5</v>
      </c>
      <c r="E10" s="34">
        <f>'附表5-扣除项目统计表'!M32</f>
        <v>87588962.8</v>
      </c>
      <c r="F10" s="34">
        <f>'附表5-扣除项目统计表'!M33</f>
        <v>2974373.49</v>
      </c>
      <c r="G10" s="34">
        <f>'附表5-扣除项目统计表'!M34</f>
        <v>2003378.41</v>
      </c>
      <c r="H10" s="32">
        <f>'附表5-扣除项目统计表'!M46</f>
        <v>11865799.51</v>
      </c>
      <c r="I10" s="32">
        <f>'附表5-扣除项目统计表'!M21</f>
        <v>1609920.76</v>
      </c>
      <c r="J10" s="32">
        <f>'附表5-扣除项目统计表'!M37</f>
        <v>1343488.42</v>
      </c>
      <c r="K10" s="32" t="s">
        <v>4651</v>
      </c>
      <c r="L10" s="32" t="s">
        <v>4651</v>
      </c>
      <c r="M10" s="32" t="s">
        <v>4651</v>
      </c>
      <c r="N10" s="32" t="s">
        <v>4651</v>
      </c>
      <c r="O10" s="32" t="s">
        <v>4651</v>
      </c>
      <c r="P10" s="32" t="s">
        <v>4651</v>
      </c>
      <c r="Q10" s="32" t="s">
        <v>4651</v>
      </c>
      <c r="R10" s="32" t="s">
        <v>4651</v>
      </c>
      <c r="S10" s="32" t="s">
        <v>4651</v>
      </c>
      <c r="T10" s="32" t="s">
        <v>4651</v>
      </c>
      <c r="U10" s="32" t="s">
        <v>4651</v>
      </c>
    </row>
    <row r="11" s="17" customFormat="1" ht="24" customHeight="1" spans="1:21">
      <c r="A11" s="30"/>
      <c r="B11" s="33" t="s">
        <v>5066</v>
      </c>
      <c r="C11" s="34">
        <f t="shared" ref="C11:U11" si="0">IF(SUM(C9)=0,"",ROUND((SUM(C10)/SUM(C9)),2))</f>
        <v>0</v>
      </c>
      <c r="D11" s="34">
        <f t="shared" si="0"/>
        <v>6.68</v>
      </c>
      <c r="E11" s="34">
        <f t="shared" si="0"/>
        <v>1810.85</v>
      </c>
      <c r="F11" s="34" t="str">
        <f t="shared" si="0"/>
        <v/>
      </c>
      <c r="G11" s="34" t="str">
        <f t="shared" si="0"/>
        <v/>
      </c>
      <c r="H11" s="34">
        <f t="shared" si="0"/>
        <v>836.66</v>
      </c>
      <c r="I11" s="34">
        <f t="shared" si="0"/>
        <v>29.52</v>
      </c>
      <c r="J11" s="34" t="str">
        <f t="shared" si="0"/>
        <v/>
      </c>
      <c r="K11" s="34" t="str">
        <f t="shared" si="0"/>
        <v/>
      </c>
      <c r="L11" s="34" t="str">
        <f t="shared" si="0"/>
        <v/>
      </c>
      <c r="M11" s="34" t="str">
        <f t="shared" si="0"/>
        <v/>
      </c>
      <c r="N11" s="34" t="str">
        <f t="shared" si="0"/>
        <v/>
      </c>
      <c r="O11" s="34" t="str">
        <f t="shared" si="0"/>
        <v/>
      </c>
      <c r="P11" s="34" t="str">
        <f t="shared" si="0"/>
        <v/>
      </c>
      <c r="Q11" s="34" t="str">
        <f t="shared" si="0"/>
        <v/>
      </c>
      <c r="R11" s="34" t="str">
        <f t="shared" si="0"/>
        <v/>
      </c>
      <c r="S11" s="34" t="str">
        <f t="shared" si="0"/>
        <v/>
      </c>
      <c r="T11" s="34" t="str">
        <f t="shared" si="0"/>
        <v/>
      </c>
      <c r="U11" s="34" t="str">
        <f t="shared" si="0"/>
        <v/>
      </c>
    </row>
    <row r="12" s="15" customFormat="1" ht="24" customHeight="1" spans="1:21">
      <c r="A12" s="35" t="s">
        <v>5067</v>
      </c>
      <c r="B12" s="35"/>
      <c r="C12" s="35"/>
      <c r="D12" s="35"/>
      <c r="E12" s="35"/>
      <c r="F12" s="35"/>
      <c r="G12" s="35"/>
      <c r="H12" s="35"/>
      <c r="I12" s="35"/>
      <c r="J12" s="35"/>
      <c r="K12" s="35"/>
      <c r="L12" s="35"/>
      <c r="M12" s="35"/>
      <c r="N12" s="35"/>
      <c r="O12" s="35"/>
      <c r="P12" s="35"/>
      <c r="Q12" s="35"/>
      <c r="R12" s="35"/>
      <c r="S12" s="35"/>
      <c r="T12" s="35"/>
      <c r="U12" s="35"/>
    </row>
    <row r="13" s="13" customFormat="1" ht="24" customHeight="1" spans="1:21">
      <c r="A13" s="35" t="s">
        <v>33</v>
      </c>
      <c r="B13" s="35" t="s">
        <v>391</v>
      </c>
      <c r="C13" s="35" t="s">
        <v>5068</v>
      </c>
      <c r="D13" s="35" t="s">
        <v>5069</v>
      </c>
      <c r="E13" s="35" t="s">
        <v>5070</v>
      </c>
      <c r="F13" s="36" t="s">
        <v>5071</v>
      </c>
      <c r="G13" s="35" t="s">
        <v>5072</v>
      </c>
      <c r="H13" s="35" t="s">
        <v>5073</v>
      </c>
      <c r="I13" s="35" t="s">
        <v>5074</v>
      </c>
      <c r="J13" s="35" t="s">
        <v>5075</v>
      </c>
      <c r="K13" s="35" t="s">
        <v>5076</v>
      </c>
      <c r="L13" s="35" t="s">
        <v>5077</v>
      </c>
      <c r="M13" s="35"/>
      <c r="N13" s="35"/>
      <c r="O13" s="35" t="s">
        <v>5078</v>
      </c>
      <c r="P13" s="35"/>
      <c r="Q13" s="35"/>
      <c r="R13" s="46" t="s">
        <v>5079</v>
      </c>
      <c r="S13" s="35" t="s">
        <v>5080</v>
      </c>
      <c r="T13" s="47" t="s">
        <v>5081</v>
      </c>
      <c r="U13" s="47" t="s">
        <v>5082</v>
      </c>
    </row>
    <row r="14" s="13" customFormat="1" ht="24" customHeight="1" spans="1:21">
      <c r="A14" s="35"/>
      <c r="B14" s="35"/>
      <c r="C14" s="35"/>
      <c r="D14" s="35"/>
      <c r="E14" s="35"/>
      <c r="F14" s="36"/>
      <c r="G14" s="35"/>
      <c r="H14" s="35"/>
      <c r="I14" s="35"/>
      <c r="J14" s="35"/>
      <c r="K14" s="35"/>
      <c r="L14" s="561" t="s">
        <v>5083</v>
      </c>
      <c r="M14" s="561" t="s">
        <v>5084</v>
      </c>
      <c r="N14" s="561" t="s">
        <v>5085</v>
      </c>
      <c r="O14" s="561" t="s">
        <v>5083</v>
      </c>
      <c r="P14" s="561" t="s">
        <v>5084</v>
      </c>
      <c r="Q14" s="561" t="s">
        <v>5085</v>
      </c>
      <c r="R14" s="48"/>
      <c r="S14" s="35"/>
      <c r="T14" s="47"/>
      <c r="U14" s="47"/>
    </row>
    <row r="15" s="13" customFormat="1" ht="24" customHeight="1" spans="1:21">
      <c r="A15" s="35"/>
      <c r="B15" s="562" t="s">
        <v>361</v>
      </c>
      <c r="C15" s="562" t="s">
        <v>421</v>
      </c>
      <c r="D15" s="562" t="s">
        <v>363</v>
      </c>
      <c r="E15" s="562" t="s">
        <v>423</v>
      </c>
      <c r="F15" s="562" t="s">
        <v>499</v>
      </c>
      <c r="G15" s="562" t="s">
        <v>425</v>
      </c>
      <c r="H15" s="562" t="s">
        <v>506</v>
      </c>
      <c r="I15" s="562" t="s">
        <v>510</v>
      </c>
      <c r="J15" s="562" t="s">
        <v>514</v>
      </c>
      <c r="K15" s="562" t="s">
        <v>518</v>
      </c>
      <c r="L15" s="562" t="s">
        <v>522</v>
      </c>
      <c r="M15" s="562" t="s">
        <v>526</v>
      </c>
      <c r="N15" s="562" t="s">
        <v>530</v>
      </c>
      <c r="O15" s="562" t="s">
        <v>534</v>
      </c>
      <c r="P15" s="562" t="s">
        <v>538</v>
      </c>
      <c r="Q15" s="562" t="s">
        <v>540</v>
      </c>
      <c r="R15" s="562" t="s">
        <v>542</v>
      </c>
      <c r="S15" s="562" t="s">
        <v>544</v>
      </c>
      <c r="T15" s="562" t="s">
        <v>549</v>
      </c>
      <c r="U15" s="562" t="s">
        <v>554</v>
      </c>
    </row>
    <row r="16" s="12" customFormat="1" ht="24" customHeight="1" spans="1:21">
      <c r="A16" s="31"/>
      <c r="B16" s="37"/>
      <c r="C16" s="38"/>
      <c r="D16" s="39"/>
      <c r="E16" s="39"/>
      <c r="F16" s="40"/>
      <c r="G16" s="31"/>
      <c r="H16" s="31"/>
      <c r="I16" s="45">
        <f>IF(_xlfn.MAXIFS('附表6-收入明细采集底稿'!D:D,'附表6-收入明细采集底稿'!B:B,B16)&gt;0,_xlfn.MAXIFS('附表6-收入明细采集底稿'!D:D,'附表6-收入明细采集底稿'!B:B,B16),0)</f>
        <v>0</v>
      </c>
      <c r="J16" s="45">
        <f>IF(_xlfn.MINIFS('附表6-收入明细采集底稿'!D:D,'附表6-收入明细采集底稿'!B:B,B16)&lt;0,ABS(_xlfn.MINIFS('附表6-收入明细采集底稿'!D:D,'附表6-收入明细采集底稿'!B:B,B16)),0)</f>
        <v>0</v>
      </c>
      <c r="K16" s="32">
        <f>SUMIFS('附表6-收入明细采集底稿'!P:P,'附表6-收入明细采集底稿'!B:B,B16,'附表6-收入明细采集底稿'!D:D,"&gt;0")</f>
        <v>0</v>
      </c>
      <c r="L16" s="32">
        <f>SUMIFS('附表6-收入明细采集底稿'!P:P,'附表6-收入明细采集底稿'!B:B,B16,'附表6-收入明细采集底稿'!D:D,"=-1")</f>
        <v>0</v>
      </c>
      <c r="M16" s="32">
        <f>SUMIFS('附表6-收入明细采集底稿'!P:P,'附表6-收入明细采集底稿'!B:B,B16,'附表6-收入明细采集底稿'!D:D,"=-2")</f>
        <v>0</v>
      </c>
      <c r="N16" s="32">
        <f>SUMIFS('附表6-收入明细采集底稿'!P:P,'附表6-收入明细采集底稿'!B:B,B16,'附表6-收入明细采集底稿'!D:D,"&lt;-2")</f>
        <v>0</v>
      </c>
      <c r="O16" s="32">
        <f>SUMIFS('附表6-收入明细采集底稿'!P:P,'附表6-收入明细采集底稿'!B:B,B16,'附表6-收入明细采集底稿'!D:D,"-1",'附表6-收入明细采集底稿'!G:G,数据对照表!$A$12)</f>
        <v>0</v>
      </c>
      <c r="P16" s="32">
        <f>SUMIFS('附表6-收入明细采集底稿'!P:P,'附表6-收入明细采集底稿'!B:B,B16,'附表6-收入明细采集底稿'!D:D,"-2",'附表6-收入明细采集底稿'!G:G,数据对照表!$A$12)</f>
        <v>0</v>
      </c>
      <c r="Q16" s="32">
        <f>SUMIFS('附表6-收入明细采集底稿'!P:P,'附表6-收入明细采集底稿'!B:B,B16,'附表6-收入明细采集底稿'!D:D,"&lt;-2",'附表6-收入明细采集底稿'!G:G,数据对照表!$A$12)</f>
        <v>0</v>
      </c>
      <c r="R16" s="32">
        <f>SUMIFS('附表6-收入明细采集底稿'!P:P,'附表6-收入明细采集底稿'!B:B,B16)</f>
        <v>0</v>
      </c>
      <c r="S16" s="34" t="s">
        <v>4651</v>
      </c>
      <c r="T16" s="42"/>
      <c r="U16" s="42"/>
    </row>
    <row r="17" s="12" customFormat="1" ht="24" customHeight="1" spans="1:21">
      <c r="A17" s="31"/>
      <c r="B17" s="37"/>
      <c r="C17" s="41"/>
      <c r="D17" s="39"/>
      <c r="E17" s="39"/>
      <c r="F17" s="42"/>
      <c r="G17" s="31"/>
      <c r="H17" s="31"/>
      <c r="I17" s="45">
        <f>IF(_xlfn.MAXIFS('附表6-收入明细采集底稿'!D:D,'附表6-收入明细采集底稿'!B:B,B17)&gt;0,_xlfn.MAXIFS('附表6-收入明细采集底稿'!D:D,'附表6-收入明细采集底稿'!B:B,B17),0)</f>
        <v>0</v>
      </c>
      <c r="J17" s="45">
        <f>IF(_xlfn.MINIFS('附表6-收入明细采集底稿'!D:D,'附表6-收入明细采集底稿'!B:B,B17)&lt;0,ABS(_xlfn.MINIFS('附表6-收入明细采集底稿'!D:D,'附表6-收入明细采集底稿'!B:B,B17)),0)</f>
        <v>0</v>
      </c>
      <c r="K17" s="32">
        <f>SUMIFS('附表6-收入明细采集底稿'!P:P,'附表6-收入明细采集底稿'!B:B,B17,'附表6-收入明细采集底稿'!D:D,"&gt;0")</f>
        <v>0</v>
      </c>
      <c r="L17" s="32">
        <f>SUMIFS('附表6-收入明细采集底稿'!P:P,'附表6-收入明细采集底稿'!B:B,B17,'附表6-收入明细采集底稿'!D:D,"=-1")</f>
        <v>0</v>
      </c>
      <c r="M17" s="32">
        <f>SUMIFS('附表6-收入明细采集底稿'!P:P,'附表6-收入明细采集底稿'!B:B,B17,'附表6-收入明细采集底稿'!D:D,"=-2")</f>
        <v>0</v>
      </c>
      <c r="N17" s="32">
        <f>SUMIFS('附表6-收入明细采集底稿'!P:P,'附表6-收入明细采集底稿'!B:B,B17,'附表6-收入明细采集底稿'!D:D,"&lt;-2")</f>
        <v>0</v>
      </c>
      <c r="O17" s="32">
        <f>SUMIFS('附表6-收入明细采集底稿'!P:P,'附表6-收入明细采集底稿'!B:B,B17,'附表6-收入明细采集底稿'!D:D,"-1",'附表6-收入明细采集底稿'!G:G,数据对照表!$A$12)</f>
        <v>0</v>
      </c>
      <c r="P17" s="32">
        <f>SUMIFS('附表6-收入明细采集底稿'!P:P,'附表6-收入明细采集底稿'!B:B,B17,'附表6-收入明细采集底稿'!D:D,"-2",'附表6-收入明细采集底稿'!G:G,数据对照表!$A$12)</f>
        <v>0</v>
      </c>
      <c r="Q17" s="32">
        <f>SUMIFS('附表6-收入明细采集底稿'!P:P,'附表6-收入明细采集底稿'!B:B,B17,'附表6-收入明细采集底稿'!D:D,"&lt;-2",'附表6-收入明细采集底稿'!G:G,数据对照表!$A$12)</f>
        <v>0</v>
      </c>
      <c r="R17" s="32">
        <f>SUMIFS('附表6-收入明细采集底稿'!P:P,'附表6-收入明细采集底稿'!B:B,B17)</f>
        <v>0</v>
      </c>
      <c r="S17" s="34"/>
      <c r="T17" s="42"/>
      <c r="U17" s="42"/>
    </row>
    <row r="18" s="12" customFormat="1" ht="24" customHeight="1" spans="1:21">
      <c r="A18" s="31"/>
      <c r="B18" s="37"/>
      <c r="C18" s="41"/>
      <c r="D18" s="39"/>
      <c r="E18" s="39"/>
      <c r="F18" s="42"/>
      <c r="G18" s="31"/>
      <c r="H18" s="31"/>
      <c r="I18" s="45">
        <f>IF(_xlfn.MAXIFS('附表6-收入明细采集底稿'!D:D,'附表6-收入明细采集底稿'!B:B,B18)&gt;0,_xlfn.MAXIFS('附表6-收入明细采集底稿'!D:D,'附表6-收入明细采集底稿'!B:B,B18),0)</f>
        <v>0</v>
      </c>
      <c r="J18" s="45">
        <f>IF(_xlfn.MINIFS('附表6-收入明细采集底稿'!D:D,'附表6-收入明细采集底稿'!B:B,B18)&lt;0,ABS(_xlfn.MINIFS('附表6-收入明细采集底稿'!D:D,'附表6-收入明细采集底稿'!B:B,B18)),0)</f>
        <v>0</v>
      </c>
      <c r="K18" s="32">
        <f>SUMIFS('附表6-收入明细采集底稿'!P:P,'附表6-收入明细采集底稿'!B:B,B18,'附表6-收入明细采集底稿'!D:D,"&gt;0")</f>
        <v>0</v>
      </c>
      <c r="L18" s="32">
        <f>SUMIFS('附表6-收入明细采集底稿'!P:P,'附表6-收入明细采集底稿'!B:B,B18,'附表6-收入明细采集底稿'!D:D,"=-1")</f>
        <v>0</v>
      </c>
      <c r="M18" s="32">
        <f>SUMIFS('附表6-收入明细采集底稿'!P:P,'附表6-收入明细采集底稿'!B:B,B18,'附表6-收入明细采集底稿'!D:D,"=-2")</f>
        <v>0</v>
      </c>
      <c r="N18" s="32">
        <f>SUMIFS('附表6-收入明细采集底稿'!P:P,'附表6-收入明细采集底稿'!B:B,B18,'附表6-收入明细采集底稿'!D:D,"&lt;-2")</f>
        <v>0</v>
      </c>
      <c r="O18" s="32">
        <f>SUMIFS('附表6-收入明细采集底稿'!P:P,'附表6-收入明细采集底稿'!B:B,B18,'附表6-收入明细采集底稿'!D:D,"-1",'附表6-收入明细采集底稿'!G:G,数据对照表!$A$12)</f>
        <v>0</v>
      </c>
      <c r="P18" s="32">
        <f>SUMIFS('附表6-收入明细采集底稿'!P:P,'附表6-收入明细采集底稿'!B:B,B18,'附表6-收入明细采集底稿'!D:D,"-2",'附表6-收入明细采集底稿'!G:G,数据对照表!$A$12)</f>
        <v>0</v>
      </c>
      <c r="Q18" s="32">
        <f>SUMIFS('附表6-收入明细采集底稿'!P:P,'附表6-收入明细采集底稿'!B:B,B18,'附表6-收入明细采集底稿'!D:D,"&lt;-2",'附表6-收入明细采集底稿'!G:G,数据对照表!$A$12)</f>
        <v>0</v>
      </c>
      <c r="R18" s="32">
        <f>SUMIFS('附表6-收入明细采集底稿'!P:P,'附表6-收入明细采集底稿'!B:B,B18)</f>
        <v>0</v>
      </c>
      <c r="S18" s="34"/>
      <c r="T18" s="42"/>
      <c r="U18" s="42"/>
    </row>
    <row r="19" s="12" customFormat="1" ht="24" customHeight="1" spans="1:21">
      <c r="A19" s="31"/>
      <c r="B19" s="37"/>
      <c r="C19" s="41"/>
      <c r="D19" s="39"/>
      <c r="E19" s="39"/>
      <c r="F19" s="42"/>
      <c r="G19" s="31"/>
      <c r="H19" s="31"/>
      <c r="I19" s="45">
        <f>IF(_xlfn.MAXIFS('附表6-收入明细采集底稿'!D:D,'附表6-收入明细采集底稿'!B:B,B19)&gt;0,_xlfn.MAXIFS('附表6-收入明细采集底稿'!D:D,'附表6-收入明细采集底稿'!B:B,B19),0)</f>
        <v>0</v>
      </c>
      <c r="J19" s="45">
        <f>IF(_xlfn.MINIFS('附表6-收入明细采集底稿'!D:D,'附表6-收入明细采集底稿'!B:B,B19)&lt;0,ABS(_xlfn.MINIFS('附表6-收入明细采集底稿'!D:D,'附表6-收入明细采集底稿'!B:B,B19)),0)</f>
        <v>0</v>
      </c>
      <c r="K19" s="32">
        <f>SUMIFS('附表6-收入明细采集底稿'!P:P,'附表6-收入明细采集底稿'!B:B,B19,'附表6-收入明细采集底稿'!D:D,"&gt;0")</f>
        <v>0</v>
      </c>
      <c r="L19" s="32">
        <f>SUMIFS('附表6-收入明细采集底稿'!P:P,'附表6-收入明细采集底稿'!B:B,B19,'附表6-收入明细采集底稿'!D:D,"=-1")</f>
        <v>0</v>
      </c>
      <c r="M19" s="32">
        <f>SUMIFS('附表6-收入明细采集底稿'!P:P,'附表6-收入明细采集底稿'!B:B,B19,'附表6-收入明细采集底稿'!D:D,"=-2")</f>
        <v>0</v>
      </c>
      <c r="N19" s="32">
        <f>SUMIFS('附表6-收入明细采集底稿'!P:P,'附表6-收入明细采集底稿'!B:B,B19,'附表6-收入明细采集底稿'!D:D,"&lt;-2")</f>
        <v>0</v>
      </c>
      <c r="O19" s="32">
        <f>SUMIFS('附表6-收入明细采集底稿'!P:P,'附表6-收入明细采集底稿'!B:B,B19,'附表6-收入明细采集底稿'!D:D,"-1",'附表6-收入明细采集底稿'!G:G,数据对照表!$A$12)</f>
        <v>0</v>
      </c>
      <c r="P19" s="32">
        <f>SUMIFS('附表6-收入明细采集底稿'!P:P,'附表6-收入明细采集底稿'!B:B,B19,'附表6-收入明细采集底稿'!D:D,"-2",'附表6-收入明细采集底稿'!G:G,数据对照表!$A$12)</f>
        <v>0</v>
      </c>
      <c r="Q19" s="32">
        <f>SUMIFS('附表6-收入明细采集底稿'!P:P,'附表6-收入明细采集底稿'!B:B,B19,'附表6-收入明细采集底稿'!D:D,"&lt;-2",'附表6-收入明细采集底稿'!G:G,数据对照表!$A$12)</f>
        <v>0</v>
      </c>
      <c r="R19" s="32">
        <f>SUMIFS('附表6-收入明细采集底稿'!P:P,'附表6-收入明细采集底稿'!B:B,B19)</f>
        <v>0</v>
      </c>
      <c r="S19" s="34"/>
      <c r="T19" s="42"/>
      <c r="U19" s="42"/>
    </row>
    <row r="20" s="12" customFormat="1" ht="24" customHeight="1" spans="1:21">
      <c r="A20" s="31"/>
      <c r="B20" s="37"/>
      <c r="C20" s="41"/>
      <c r="D20" s="39"/>
      <c r="E20" s="39"/>
      <c r="F20" s="42"/>
      <c r="G20" s="31"/>
      <c r="H20" s="31"/>
      <c r="I20" s="45">
        <f>IF(_xlfn.MAXIFS('附表6-收入明细采集底稿'!D:D,'附表6-收入明细采集底稿'!B:B,B20)&gt;0,_xlfn.MAXIFS('附表6-收入明细采集底稿'!D:D,'附表6-收入明细采集底稿'!B:B,B20),0)</f>
        <v>0</v>
      </c>
      <c r="J20" s="45">
        <f>IF(_xlfn.MINIFS('附表6-收入明细采集底稿'!D:D,'附表6-收入明细采集底稿'!B:B,B20)&lt;0,ABS(_xlfn.MINIFS('附表6-收入明细采集底稿'!D:D,'附表6-收入明细采集底稿'!B:B,B20)),0)</f>
        <v>0</v>
      </c>
      <c r="K20" s="32">
        <f>SUMIFS('附表6-收入明细采集底稿'!P:P,'附表6-收入明细采集底稿'!B:B,B20,'附表6-收入明细采集底稿'!D:D,"&gt;0")</f>
        <v>0</v>
      </c>
      <c r="L20" s="32">
        <f>SUMIFS('附表6-收入明细采集底稿'!P:P,'附表6-收入明细采集底稿'!B:B,B20,'附表6-收入明细采集底稿'!D:D,"=-1")</f>
        <v>0</v>
      </c>
      <c r="M20" s="32">
        <f>SUMIFS('附表6-收入明细采集底稿'!P:P,'附表6-收入明细采集底稿'!B:B,B20,'附表6-收入明细采集底稿'!D:D,"=-2")</f>
        <v>0</v>
      </c>
      <c r="N20" s="32">
        <f>SUMIFS('附表6-收入明细采集底稿'!P:P,'附表6-收入明细采集底稿'!B:B,B20,'附表6-收入明细采集底稿'!D:D,"&lt;-2")</f>
        <v>0</v>
      </c>
      <c r="O20" s="32">
        <f>SUMIFS('附表6-收入明细采集底稿'!P:P,'附表6-收入明细采集底稿'!B:B,B20,'附表6-收入明细采集底稿'!D:D,"-1",'附表6-收入明细采集底稿'!G:G,数据对照表!$A$12)</f>
        <v>0</v>
      </c>
      <c r="P20" s="32">
        <f>SUMIFS('附表6-收入明细采集底稿'!P:P,'附表6-收入明细采集底稿'!B:B,B20,'附表6-收入明细采集底稿'!D:D,"-2",'附表6-收入明细采集底稿'!G:G,数据对照表!$A$12)</f>
        <v>0</v>
      </c>
      <c r="Q20" s="32">
        <f>SUMIFS('附表6-收入明细采集底稿'!P:P,'附表6-收入明细采集底稿'!B:B,B20,'附表6-收入明细采集底稿'!D:D,"&lt;-2",'附表6-收入明细采集底稿'!G:G,数据对照表!$A$12)</f>
        <v>0</v>
      </c>
      <c r="R20" s="32">
        <f>SUMIFS('附表6-收入明细采集底稿'!P:P,'附表6-收入明细采集底稿'!B:B,B20)</f>
        <v>0</v>
      </c>
      <c r="S20" s="34"/>
      <c r="T20" s="42"/>
      <c r="U20" s="42"/>
    </row>
    <row r="21" s="12" customFormat="1" ht="24" customHeight="1" spans="1:21">
      <c r="A21" s="31"/>
      <c r="B21" s="37"/>
      <c r="C21" s="41"/>
      <c r="D21" s="39"/>
      <c r="E21" s="39"/>
      <c r="F21" s="42"/>
      <c r="G21" s="31"/>
      <c r="H21" s="31"/>
      <c r="I21" s="45">
        <f>IF(_xlfn.MAXIFS('附表6-收入明细采集底稿'!D:D,'附表6-收入明细采集底稿'!B:B,B21)&gt;0,_xlfn.MAXIFS('附表6-收入明细采集底稿'!D:D,'附表6-收入明细采集底稿'!B:B,B21),0)</f>
        <v>0</v>
      </c>
      <c r="J21" s="45">
        <f>IF(_xlfn.MINIFS('附表6-收入明细采集底稿'!D:D,'附表6-收入明细采集底稿'!B:B,B21)&lt;0,ABS(_xlfn.MINIFS('附表6-收入明细采集底稿'!D:D,'附表6-收入明细采集底稿'!B:B,B21)),0)</f>
        <v>0</v>
      </c>
      <c r="K21" s="32">
        <f>SUMIFS('附表6-收入明细采集底稿'!P:P,'附表6-收入明细采集底稿'!B:B,B21,'附表6-收入明细采集底稿'!D:D,"&gt;0")</f>
        <v>0</v>
      </c>
      <c r="L21" s="32">
        <f>SUMIFS('附表6-收入明细采集底稿'!P:P,'附表6-收入明细采集底稿'!B:B,B21,'附表6-收入明细采集底稿'!D:D,"=-1")</f>
        <v>0</v>
      </c>
      <c r="M21" s="32">
        <f>SUMIFS('附表6-收入明细采集底稿'!P:P,'附表6-收入明细采集底稿'!B:B,B21,'附表6-收入明细采集底稿'!D:D,"=-2")</f>
        <v>0</v>
      </c>
      <c r="N21" s="32">
        <f>SUMIFS('附表6-收入明细采集底稿'!P:P,'附表6-收入明细采集底稿'!B:B,B21,'附表6-收入明细采集底稿'!D:D,"&lt;-2")</f>
        <v>0</v>
      </c>
      <c r="O21" s="32">
        <f>SUMIFS('附表6-收入明细采集底稿'!P:P,'附表6-收入明细采集底稿'!B:B,B21,'附表6-收入明细采集底稿'!D:D,"-1",'附表6-收入明细采集底稿'!G:G,数据对照表!$A$12)</f>
        <v>0</v>
      </c>
      <c r="P21" s="32">
        <f>SUMIFS('附表6-收入明细采集底稿'!P:P,'附表6-收入明细采集底稿'!B:B,B21,'附表6-收入明细采集底稿'!D:D,"-2",'附表6-收入明细采集底稿'!G:G,数据对照表!$A$12)</f>
        <v>0</v>
      </c>
      <c r="Q21" s="32">
        <f>SUMIFS('附表6-收入明细采集底稿'!P:P,'附表6-收入明细采集底稿'!B:B,B21,'附表6-收入明细采集底稿'!D:D,"&lt;-2",'附表6-收入明细采集底稿'!G:G,数据对照表!$A$12)</f>
        <v>0</v>
      </c>
      <c r="R21" s="32">
        <f>SUMIFS('附表6-收入明细采集底稿'!P:P,'附表6-收入明细采集底稿'!B:B,B21)</f>
        <v>0</v>
      </c>
      <c r="S21" s="34"/>
      <c r="T21" s="42"/>
      <c r="U21" s="42"/>
    </row>
    <row r="22" s="12" customFormat="1" ht="24" customHeight="1" spans="1:21">
      <c r="A22" s="31"/>
      <c r="B22" s="37"/>
      <c r="C22" s="41"/>
      <c r="D22" s="39"/>
      <c r="E22" s="39"/>
      <c r="F22" s="42"/>
      <c r="G22" s="31"/>
      <c r="H22" s="31"/>
      <c r="I22" s="45">
        <f>IF(_xlfn.MAXIFS('附表6-收入明细采集底稿'!D:D,'附表6-收入明细采集底稿'!B:B,B22)&gt;0,_xlfn.MAXIFS('附表6-收入明细采集底稿'!D:D,'附表6-收入明细采集底稿'!B:B,B22),0)</f>
        <v>0</v>
      </c>
      <c r="J22" s="45">
        <f>IF(_xlfn.MINIFS('附表6-收入明细采集底稿'!D:D,'附表6-收入明细采集底稿'!B:B,B22)&lt;0,ABS(_xlfn.MINIFS('附表6-收入明细采集底稿'!D:D,'附表6-收入明细采集底稿'!B:B,B22)),0)</f>
        <v>0</v>
      </c>
      <c r="K22" s="32">
        <f>SUMIFS('附表6-收入明细采集底稿'!P:P,'附表6-收入明细采集底稿'!B:B,B22,'附表6-收入明细采集底稿'!D:D,"&gt;0")</f>
        <v>0</v>
      </c>
      <c r="L22" s="32">
        <f>SUMIFS('附表6-收入明细采集底稿'!P:P,'附表6-收入明细采集底稿'!B:B,B22,'附表6-收入明细采集底稿'!D:D,"=-1")</f>
        <v>0</v>
      </c>
      <c r="M22" s="32">
        <f>SUMIFS('附表6-收入明细采集底稿'!P:P,'附表6-收入明细采集底稿'!B:B,B22,'附表6-收入明细采集底稿'!D:D,"=-2")</f>
        <v>0</v>
      </c>
      <c r="N22" s="32">
        <f>SUMIFS('附表6-收入明细采集底稿'!P:P,'附表6-收入明细采集底稿'!B:B,B22,'附表6-收入明细采集底稿'!D:D,"&lt;-2")</f>
        <v>0</v>
      </c>
      <c r="O22" s="32">
        <f>SUMIFS('附表6-收入明细采集底稿'!P:P,'附表6-收入明细采集底稿'!B:B,B22,'附表6-收入明细采集底稿'!D:D,"-1",'附表6-收入明细采集底稿'!G:G,数据对照表!$A$12)</f>
        <v>0</v>
      </c>
      <c r="P22" s="32">
        <f>SUMIFS('附表6-收入明细采集底稿'!P:P,'附表6-收入明细采集底稿'!B:B,B22,'附表6-收入明细采集底稿'!D:D,"-2",'附表6-收入明细采集底稿'!G:G,数据对照表!$A$12)</f>
        <v>0</v>
      </c>
      <c r="Q22" s="32">
        <f>SUMIFS('附表6-收入明细采集底稿'!P:P,'附表6-收入明细采集底稿'!B:B,B22,'附表6-收入明细采集底稿'!D:D,"&lt;-2",'附表6-收入明细采集底稿'!G:G,数据对照表!$A$12)</f>
        <v>0</v>
      </c>
      <c r="R22" s="32">
        <f>SUMIFS('附表6-收入明细采集底稿'!P:P,'附表6-收入明细采集底稿'!B:B,B22)</f>
        <v>0</v>
      </c>
      <c r="S22" s="34"/>
      <c r="T22" s="42"/>
      <c r="U22" s="42"/>
    </row>
    <row r="23" s="12" customFormat="1" ht="24" customHeight="1" spans="1:21">
      <c r="A23" s="31"/>
      <c r="B23" s="37"/>
      <c r="C23" s="41"/>
      <c r="D23" s="39"/>
      <c r="E23" s="39"/>
      <c r="F23" s="42"/>
      <c r="G23" s="31"/>
      <c r="H23" s="31"/>
      <c r="I23" s="45">
        <f>IF(_xlfn.MAXIFS('附表6-收入明细采集底稿'!D:D,'附表6-收入明细采集底稿'!B:B,B23)&gt;0,_xlfn.MAXIFS('附表6-收入明细采集底稿'!D:D,'附表6-收入明细采集底稿'!B:B,B23),0)</f>
        <v>0</v>
      </c>
      <c r="J23" s="45">
        <f>IF(_xlfn.MINIFS('附表6-收入明细采集底稿'!D:D,'附表6-收入明细采集底稿'!B:B,B23)&lt;0,ABS(_xlfn.MINIFS('附表6-收入明细采集底稿'!D:D,'附表6-收入明细采集底稿'!B:B,B23)),0)</f>
        <v>0</v>
      </c>
      <c r="K23" s="32">
        <f>SUMIFS('附表6-收入明细采集底稿'!P:P,'附表6-收入明细采集底稿'!B:B,B23,'附表6-收入明细采集底稿'!D:D,"&gt;0")</f>
        <v>0</v>
      </c>
      <c r="L23" s="32">
        <f>SUMIFS('附表6-收入明细采集底稿'!P:P,'附表6-收入明细采集底稿'!B:B,B23,'附表6-收入明细采集底稿'!D:D,"=-1")</f>
        <v>0</v>
      </c>
      <c r="M23" s="32">
        <f>SUMIFS('附表6-收入明细采集底稿'!P:P,'附表6-收入明细采集底稿'!B:B,B23,'附表6-收入明细采集底稿'!D:D,"=-2")</f>
        <v>0</v>
      </c>
      <c r="N23" s="32">
        <f>SUMIFS('附表6-收入明细采集底稿'!P:P,'附表6-收入明细采集底稿'!B:B,B23,'附表6-收入明细采集底稿'!D:D,"&lt;-2")</f>
        <v>0</v>
      </c>
      <c r="O23" s="32">
        <f>SUMIFS('附表6-收入明细采集底稿'!P:P,'附表6-收入明细采集底稿'!B:B,B23,'附表6-收入明细采集底稿'!D:D,"-1",'附表6-收入明细采集底稿'!G:G,数据对照表!$A$12)</f>
        <v>0</v>
      </c>
      <c r="P23" s="32">
        <f>SUMIFS('附表6-收入明细采集底稿'!P:P,'附表6-收入明细采集底稿'!B:B,B23,'附表6-收入明细采集底稿'!D:D,"-2",'附表6-收入明细采集底稿'!G:G,数据对照表!$A$12)</f>
        <v>0</v>
      </c>
      <c r="Q23" s="32">
        <f>SUMIFS('附表6-收入明细采集底稿'!P:P,'附表6-收入明细采集底稿'!B:B,B23,'附表6-收入明细采集底稿'!D:D,"&lt;-2",'附表6-收入明细采集底稿'!G:G,数据对照表!$A$12)</f>
        <v>0</v>
      </c>
      <c r="R23" s="32">
        <f>SUMIFS('附表6-收入明细采集底稿'!P:P,'附表6-收入明细采集底稿'!B:B,B23)</f>
        <v>0</v>
      </c>
      <c r="S23" s="34"/>
      <c r="T23" s="42"/>
      <c r="U23" s="42"/>
    </row>
    <row r="24" s="12" customFormat="1" ht="24" customHeight="1" spans="1:21">
      <c r="A24" s="31"/>
      <c r="B24" s="37"/>
      <c r="C24" s="41"/>
      <c r="D24" s="39"/>
      <c r="E24" s="39"/>
      <c r="F24" s="42"/>
      <c r="G24" s="31"/>
      <c r="H24" s="31"/>
      <c r="I24" s="45">
        <f>IF(_xlfn.MAXIFS('附表6-收入明细采集底稿'!D:D,'附表6-收入明细采集底稿'!B:B,B24)&gt;0,_xlfn.MAXIFS('附表6-收入明细采集底稿'!D:D,'附表6-收入明细采集底稿'!B:B,B24),0)</f>
        <v>0</v>
      </c>
      <c r="J24" s="45">
        <f>IF(_xlfn.MINIFS('附表6-收入明细采集底稿'!D:D,'附表6-收入明细采集底稿'!B:B,B24)&lt;0,ABS(_xlfn.MINIFS('附表6-收入明细采集底稿'!D:D,'附表6-收入明细采集底稿'!B:B,B24)),0)</f>
        <v>0</v>
      </c>
      <c r="K24" s="32">
        <f>SUMIFS('附表6-收入明细采集底稿'!P:P,'附表6-收入明细采集底稿'!B:B,B24,'附表6-收入明细采集底稿'!D:D,"&gt;0")</f>
        <v>0</v>
      </c>
      <c r="L24" s="32">
        <f>SUMIFS('附表6-收入明细采集底稿'!P:P,'附表6-收入明细采集底稿'!B:B,B24,'附表6-收入明细采集底稿'!D:D,"=-1")</f>
        <v>0</v>
      </c>
      <c r="M24" s="32">
        <f>SUMIFS('附表6-收入明细采集底稿'!P:P,'附表6-收入明细采集底稿'!B:B,B24,'附表6-收入明细采集底稿'!D:D,"=-2")</f>
        <v>0</v>
      </c>
      <c r="N24" s="32">
        <f>SUMIFS('附表6-收入明细采集底稿'!P:P,'附表6-收入明细采集底稿'!B:B,B24,'附表6-收入明细采集底稿'!D:D,"&lt;-2")</f>
        <v>0</v>
      </c>
      <c r="O24" s="32">
        <f>SUMIFS('附表6-收入明细采集底稿'!P:P,'附表6-收入明细采集底稿'!B:B,B24,'附表6-收入明细采集底稿'!D:D,"-1",'附表6-收入明细采集底稿'!G:G,数据对照表!$A$12)</f>
        <v>0</v>
      </c>
      <c r="P24" s="32">
        <f>SUMIFS('附表6-收入明细采集底稿'!P:P,'附表6-收入明细采集底稿'!B:B,B24,'附表6-收入明细采集底稿'!D:D,"-2",'附表6-收入明细采集底稿'!G:G,数据对照表!$A$12)</f>
        <v>0</v>
      </c>
      <c r="Q24" s="32">
        <f>SUMIFS('附表6-收入明细采集底稿'!P:P,'附表6-收入明细采集底稿'!B:B,B24,'附表6-收入明细采集底稿'!D:D,"&lt;-2",'附表6-收入明细采集底稿'!G:G,数据对照表!$A$12)</f>
        <v>0</v>
      </c>
      <c r="R24" s="32">
        <f>SUMIFS('附表6-收入明细采集底稿'!P:P,'附表6-收入明细采集底稿'!B:B,B24)</f>
        <v>0</v>
      </c>
      <c r="S24" s="34"/>
      <c r="T24" s="42"/>
      <c r="U24" s="42"/>
    </row>
    <row r="25" s="12" customFormat="1" ht="24" customHeight="1" spans="1:21">
      <c r="A25" s="31"/>
      <c r="B25" s="37"/>
      <c r="C25" s="41"/>
      <c r="D25" s="39"/>
      <c r="E25" s="39"/>
      <c r="F25" s="42"/>
      <c r="G25" s="31"/>
      <c r="H25" s="31"/>
      <c r="I25" s="45">
        <f>IF(_xlfn.MAXIFS('附表6-收入明细采集底稿'!D:D,'附表6-收入明细采集底稿'!B:B,B25)&gt;0,_xlfn.MAXIFS('附表6-收入明细采集底稿'!D:D,'附表6-收入明细采集底稿'!B:B,B25),0)</f>
        <v>0</v>
      </c>
      <c r="J25" s="45">
        <f>IF(_xlfn.MINIFS('附表6-收入明细采集底稿'!D:D,'附表6-收入明细采集底稿'!B:B,B25)&lt;0,ABS(_xlfn.MINIFS('附表6-收入明细采集底稿'!D:D,'附表6-收入明细采集底稿'!B:B,B25)),0)</f>
        <v>0</v>
      </c>
      <c r="K25" s="32">
        <f>SUMIFS('附表6-收入明细采集底稿'!P:P,'附表6-收入明细采集底稿'!B:B,B25,'附表6-收入明细采集底稿'!D:D,"&gt;0")</f>
        <v>0</v>
      </c>
      <c r="L25" s="32">
        <f>SUMIFS('附表6-收入明细采集底稿'!P:P,'附表6-收入明细采集底稿'!B:B,B25,'附表6-收入明细采集底稿'!D:D,"=-1")</f>
        <v>0</v>
      </c>
      <c r="M25" s="32">
        <f>SUMIFS('附表6-收入明细采集底稿'!P:P,'附表6-收入明细采集底稿'!B:B,B25,'附表6-收入明细采集底稿'!D:D,"=-2")</f>
        <v>0</v>
      </c>
      <c r="N25" s="32">
        <f>SUMIFS('附表6-收入明细采集底稿'!P:P,'附表6-收入明细采集底稿'!B:B,B25,'附表6-收入明细采集底稿'!D:D,"&lt;-2")</f>
        <v>0</v>
      </c>
      <c r="O25" s="32">
        <f>SUMIFS('附表6-收入明细采集底稿'!P:P,'附表6-收入明细采集底稿'!B:B,B25,'附表6-收入明细采集底稿'!D:D,"-1",'附表6-收入明细采集底稿'!G:G,数据对照表!$A$12)</f>
        <v>0</v>
      </c>
      <c r="P25" s="32">
        <f>SUMIFS('附表6-收入明细采集底稿'!P:P,'附表6-收入明细采集底稿'!B:B,B25,'附表6-收入明细采集底稿'!D:D,"-2",'附表6-收入明细采集底稿'!G:G,数据对照表!$A$12)</f>
        <v>0</v>
      </c>
      <c r="Q25" s="32">
        <f>SUMIFS('附表6-收入明细采集底稿'!P:P,'附表6-收入明细采集底稿'!B:B,B25,'附表6-收入明细采集底稿'!D:D,"&lt;-2",'附表6-收入明细采集底稿'!G:G,数据对照表!$A$12)</f>
        <v>0</v>
      </c>
      <c r="R25" s="32">
        <f>SUMIFS('附表6-收入明细采集底稿'!P:P,'附表6-收入明细采集底稿'!B:B,B25)</f>
        <v>0</v>
      </c>
      <c r="S25" s="34"/>
      <c r="T25" s="42"/>
      <c r="U25" s="42"/>
    </row>
    <row r="26" s="12" customFormat="1" ht="24" customHeight="1" spans="1:21">
      <c r="A26" s="31"/>
      <c r="B26" s="37"/>
      <c r="C26" s="41"/>
      <c r="D26" s="39"/>
      <c r="E26" s="39"/>
      <c r="F26" s="42"/>
      <c r="G26" s="31"/>
      <c r="H26" s="31"/>
      <c r="I26" s="45">
        <f>IF(_xlfn.MAXIFS('附表6-收入明细采集底稿'!D:D,'附表6-收入明细采集底稿'!B:B,B26)&gt;0,_xlfn.MAXIFS('附表6-收入明细采集底稿'!D:D,'附表6-收入明细采集底稿'!B:B,B26),0)</f>
        <v>0</v>
      </c>
      <c r="J26" s="45">
        <f>IF(_xlfn.MINIFS('附表6-收入明细采集底稿'!D:D,'附表6-收入明细采集底稿'!B:B,B26)&lt;0,ABS(_xlfn.MINIFS('附表6-收入明细采集底稿'!D:D,'附表6-收入明细采集底稿'!B:B,B26)),0)</f>
        <v>0</v>
      </c>
      <c r="K26" s="32">
        <f>SUMIFS('附表6-收入明细采集底稿'!P:P,'附表6-收入明细采集底稿'!B:B,B26,'附表6-收入明细采集底稿'!D:D,"&gt;0")</f>
        <v>0</v>
      </c>
      <c r="L26" s="32">
        <f>SUMIFS('附表6-收入明细采集底稿'!P:P,'附表6-收入明细采集底稿'!B:B,B26,'附表6-收入明细采集底稿'!D:D,"=-1")</f>
        <v>0</v>
      </c>
      <c r="M26" s="32">
        <f>SUMIFS('附表6-收入明细采集底稿'!P:P,'附表6-收入明细采集底稿'!B:B,B26,'附表6-收入明细采集底稿'!D:D,"=-2")</f>
        <v>0</v>
      </c>
      <c r="N26" s="32">
        <f>SUMIFS('附表6-收入明细采集底稿'!P:P,'附表6-收入明细采集底稿'!B:B,B26,'附表6-收入明细采集底稿'!D:D,"&lt;-2")</f>
        <v>0</v>
      </c>
      <c r="O26" s="32">
        <f>SUMIFS('附表6-收入明细采集底稿'!P:P,'附表6-收入明细采集底稿'!B:B,B26,'附表6-收入明细采集底稿'!D:D,"-1",'附表6-收入明细采集底稿'!G:G,数据对照表!$A$12)</f>
        <v>0</v>
      </c>
      <c r="P26" s="32">
        <f>SUMIFS('附表6-收入明细采集底稿'!P:P,'附表6-收入明细采集底稿'!B:B,B26,'附表6-收入明细采集底稿'!D:D,"-2",'附表6-收入明细采集底稿'!G:G,数据对照表!$A$12)</f>
        <v>0</v>
      </c>
      <c r="Q26" s="32">
        <f>SUMIFS('附表6-收入明细采集底稿'!P:P,'附表6-收入明细采集底稿'!B:B,B26,'附表6-收入明细采集底稿'!D:D,"&lt;-2",'附表6-收入明细采集底稿'!G:G,数据对照表!$A$12)</f>
        <v>0</v>
      </c>
      <c r="R26" s="32">
        <f>SUMIFS('附表6-收入明细采集底稿'!P:P,'附表6-收入明细采集底稿'!B:B,B26)</f>
        <v>0</v>
      </c>
      <c r="S26" s="34"/>
      <c r="T26" s="42"/>
      <c r="U26" s="42"/>
    </row>
  </sheetData>
  <mergeCells count="43">
    <mergeCell ref="A1:U1"/>
    <mergeCell ref="A2:U2"/>
    <mergeCell ref="A3:U3"/>
    <mergeCell ref="A12:U12"/>
    <mergeCell ref="L13:N13"/>
    <mergeCell ref="O13:Q13"/>
    <mergeCell ref="A4:A7"/>
    <mergeCell ref="A8:A11"/>
    <mergeCell ref="A13:A15"/>
    <mergeCell ref="B4:B7"/>
    <mergeCell ref="B13:B14"/>
    <mergeCell ref="C4:C6"/>
    <mergeCell ref="C13:C14"/>
    <mergeCell ref="D4:D6"/>
    <mergeCell ref="D13:D14"/>
    <mergeCell ref="E4:E6"/>
    <mergeCell ref="E13:E14"/>
    <mergeCell ref="F4:F6"/>
    <mergeCell ref="F13:F14"/>
    <mergeCell ref="G4:G6"/>
    <mergeCell ref="G13:G14"/>
    <mergeCell ref="H4:H6"/>
    <mergeCell ref="H13:H14"/>
    <mergeCell ref="I4:I6"/>
    <mergeCell ref="I13:I14"/>
    <mergeCell ref="J4:J6"/>
    <mergeCell ref="J13:J14"/>
    <mergeCell ref="K4:K6"/>
    <mergeCell ref="K13:K14"/>
    <mergeCell ref="L4:L6"/>
    <mergeCell ref="M4:M6"/>
    <mergeCell ref="N4:N6"/>
    <mergeCell ref="O4:O6"/>
    <mergeCell ref="P4:P6"/>
    <mergeCell ref="Q4:Q6"/>
    <mergeCell ref="R4:R6"/>
    <mergeCell ref="R13:R14"/>
    <mergeCell ref="S4:S6"/>
    <mergeCell ref="S13:S14"/>
    <mergeCell ref="T4:T6"/>
    <mergeCell ref="T13:T14"/>
    <mergeCell ref="U4:U6"/>
    <mergeCell ref="U13:U14"/>
  </mergeCells>
  <dataValidations count="7">
    <dataValidation type="list" allowBlank="1" showInputMessage="1" showErrorMessage="1" sqref="C16:C26">
      <formula1>OFFSET(数据对照表!$V$2,,,COUNTA(数据对照表!$V:$V)-1,1)</formula1>
    </dataValidation>
    <dataValidation type="list" allowBlank="1" showInputMessage="1" showErrorMessage="1" sqref="D16:D26">
      <formula1>OFFSET(数据对照表!$W$2,,,COUNTA(数据对照表!$W:$W)-1,1)</formula1>
    </dataValidation>
    <dataValidation type="list" allowBlank="1" showInputMessage="1" showErrorMessage="1" sqref="E16:E26">
      <formula1>OFFSET(数据对照表!$X$2,,,COUNTA(数据对照表!$X:$X)-1,1)</formula1>
    </dataValidation>
    <dataValidation type="list" allowBlank="1" showInputMessage="1" showErrorMessage="1" sqref="F16:F26">
      <formula1>OFFSET(数据对照表!$Y$2,,,COUNTA(数据对照表!$Y:$Y)-1,1)</formula1>
    </dataValidation>
    <dataValidation type="list" allowBlank="1" showInputMessage="1" showErrorMessage="1" sqref="G16:G26">
      <formula1>OFFSET(数据对照表!$Z$2,,,COUNTA(数据对照表!$Z:$Z)-1,1)</formula1>
    </dataValidation>
    <dataValidation type="list" allowBlank="1" showInputMessage="1" showErrorMessage="1" sqref="H16:H26">
      <formula1>OFFSET(数据对照表!$AA$2,,,COUNTA(数据对照表!$AA:$AA)-1,1)</formula1>
    </dataValidation>
    <dataValidation allowBlank="1" showInputMessage="1" showErrorMessage="1" sqref="T16:U26"/>
  </dataValidations>
  <pageMargins left="0.747916666666667" right="0.747916666666667" top="0.984027777777778" bottom="0.984027777777778" header="0.511805555555556" footer="0.511805555555556"/>
  <pageSetup paperSize="9" scale="50"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3"/>
  <dimension ref="A1:AE23"/>
  <sheetViews>
    <sheetView workbookViewId="0">
      <selection activeCell="E14" sqref="E14"/>
    </sheetView>
  </sheetViews>
  <sheetFormatPr defaultColWidth="15.6231884057971" defaultRowHeight="11.85"/>
  <cols>
    <col min="1" max="1" width="15" style="1" customWidth="1"/>
    <col min="2" max="2" width="29.3768115942029" style="1" customWidth="1"/>
    <col min="3" max="3" width="22.6231884057971" style="1" customWidth="1"/>
    <col min="4" max="4" width="15.6231884057971" style="1" customWidth="1"/>
    <col min="5" max="6" width="15.6231884057971" style="1"/>
    <col min="7" max="7" width="19.1231884057971" style="1" customWidth="1"/>
    <col min="8" max="24" width="15.6231884057971" style="1"/>
    <col min="25" max="27" width="15.6231884057971" style="2"/>
    <col min="28" max="28" width="13.7536231884058" style="1" customWidth="1"/>
    <col min="29" max="29" width="23.2536231884058" style="1" customWidth="1"/>
    <col min="30" max="16384" width="15.6231884057971" style="1"/>
  </cols>
  <sheetData>
    <row r="1" ht="24.95" customHeight="1" spans="1:31">
      <c r="A1" s="3" t="s">
        <v>314</v>
      </c>
      <c r="B1" s="3" t="s">
        <v>5086</v>
      </c>
      <c r="C1" s="3" t="s">
        <v>2312</v>
      </c>
      <c r="D1" s="3" t="s">
        <v>2339</v>
      </c>
      <c r="E1" s="3" t="s">
        <v>2533</v>
      </c>
      <c r="F1" s="3" t="s">
        <v>2346</v>
      </c>
      <c r="G1" s="3" t="s">
        <v>2331</v>
      </c>
      <c r="H1" s="3" t="s">
        <v>2470</v>
      </c>
      <c r="I1" s="3" t="s">
        <v>5087</v>
      </c>
      <c r="J1" s="3" t="s">
        <v>5088</v>
      </c>
      <c r="K1" s="3" t="s">
        <v>374</v>
      </c>
      <c r="L1" s="3" t="s">
        <v>375</v>
      </c>
      <c r="M1" s="3" t="s">
        <v>5086</v>
      </c>
      <c r="N1" s="3" t="s">
        <v>2312</v>
      </c>
      <c r="O1" s="3" t="s">
        <v>2339</v>
      </c>
      <c r="P1" s="3" t="s">
        <v>2533</v>
      </c>
      <c r="Q1" s="3" t="s">
        <v>2346</v>
      </c>
      <c r="R1" s="3" t="s">
        <v>2331</v>
      </c>
      <c r="S1" s="3" t="s">
        <v>2470</v>
      </c>
      <c r="T1" s="3" t="s">
        <v>5087</v>
      </c>
      <c r="U1" s="3" t="s">
        <v>2289</v>
      </c>
      <c r="V1" s="3" t="s">
        <v>5068</v>
      </c>
      <c r="W1" s="3" t="s">
        <v>5069</v>
      </c>
      <c r="X1" s="3" t="s">
        <v>5070</v>
      </c>
      <c r="Y1" s="3" t="s">
        <v>5071</v>
      </c>
      <c r="Z1" s="3" t="s">
        <v>5072</v>
      </c>
      <c r="AA1" s="3" t="s">
        <v>5073</v>
      </c>
      <c r="AB1" s="3" t="s">
        <v>243</v>
      </c>
      <c r="AC1" s="3" t="s">
        <v>5089</v>
      </c>
      <c r="AD1" s="9" t="s">
        <v>5090</v>
      </c>
      <c r="AE1" s="9" t="s">
        <v>4629</v>
      </c>
    </row>
    <row r="2" ht="24.95" customHeight="1" spans="1:31">
      <c r="A2" s="4" t="s">
        <v>256</v>
      </c>
      <c r="B2" s="4" t="s">
        <v>5091</v>
      </c>
      <c r="C2" s="5" t="s">
        <v>5092</v>
      </c>
      <c r="D2" s="5" t="s">
        <v>2363</v>
      </c>
      <c r="E2" s="5" t="s">
        <v>5093</v>
      </c>
      <c r="F2" s="5" t="s">
        <v>2501</v>
      </c>
      <c r="G2" s="5" t="s">
        <v>3994</v>
      </c>
      <c r="H2" s="5" t="s">
        <v>3314</v>
      </c>
      <c r="I2" s="6" t="s">
        <v>5094</v>
      </c>
      <c r="J2" s="6" t="s">
        <v>2483</v>
      </c>
      <c r="K2" s="6" t="s">
        <v>2406</v>
      </c>
      <c r="L2" s="6" t="s">
        <v>5095</v>
      </c>
      <c r="M2" s="6" t="s">
        <v>2319</v>
      </c>
      <c r="N2" s="6" t="s">
        <v>2319</v>
      </c>
      <c r="O2" s="6" t="s">
        <v>2319</v>
      </c>
      <c r="P2" s="6" t="s">
        <v>2319</v>
      </c>
      <c r="Q2" s="6" t="s">
        <v>2319</v>
      </c>
      <c r="R2" s="6" t="s">
        <v>2319</v>
      </c>
      <c r="S2" s="6" t="s">
        <v>2319</v>
      </c>
      <c r="T2" s="6" t="s">
        <v>2406</v>
      </c>
      <c r="U2" s="6" t="s">
        <v>4648</v>
      </c>
      <c r="V2" s="7" t="s">
        <v>73</v>
      </c>
      <c r="W2" s="5" t="s">
        <v>5096</v>
      </c>
      <c r="X2" s="5" t="s">
        <v>5097</v>
      </c>
      <c r="Y2" s="5" t="s">
        <v>5098</v>
      </c>
      <c r="Z2" s="5" t="s">
        <v>5099</v>
      </c>
      <c r="AA2" s="5" t="s">
        <v>5100</v>
      </c>
      <c r="AB2" s="8" t="s">
        <v>351</v>
      </c>
      <c r="AC2" s="8" t="s">
        <v>351</v>
      </c>
      <c r="AD2" s="10" t="s">
        <v>354</v>
      </c>
      <c r="AE2" s="8" t="s">
        <v>5095</v>
      </c>
    </row>
    <row r="3" ht="24.95" customHeight="1" spans="1:31">
      <c r="A3" s="4" t="s">
        <v>257</v>
      </c>
      <c r="B3" s="4" t="s">
        <v>5101</v>
      </c>
      <c r="C3" s="5" t="s">
        <v>5102</v>
      </c>
      <c r="D3" s="5" t="s">
        <v>2351</v>
      </c>
      <c r="E3" s="5" t="s">
        <v>3234</v>
      </c>
      <c r="F3" s="5" t="s">
        <v>2506</v>
      </c>
      <c r="G3" s="5" t="s">
        <v>2332</v>
      </c>
      <c r="H3" s="5" t="s">
        <v>5103</v>
      </c>
      <c r="J3" s="6" t="s">
        <v>2355</v>
      </c>
      <c r="L3" s="6" t="s">
        <v>5104</v>
      </c>
      <c r="M3" s="6" t="s">
        <v>5105</v>
      </c>
      <c r="N3" s="6" t="s">
        <v>5105</v>
      </c>
      <c r="O3" s="6" t="s">
        <v>5105</v>
      </c>
      <c r="P3" s="6" t="s">
        <v>5105</v>
      </c>
      <c r="Q3" s="6" t="s">
        <v>5105</v>
      </c>
      <c r="R3" s="6" t="s">
        <v>5105</v>
      </c>
      <c r="S3" s="6" t="s">
        <v>5105</v>
      </c>
      <c r="U3" s="6" t="s">
        <v>4659</v>
      </c>
      <c r="V3" s="7" t="s">
        <v>5106</v>
      </c>
      <c r="W3" s="5" t="s">
        <v>5107</v>
      </c>
      <c r="X3" s="5" t="s">
        <v>5108</v>
      </c>
      <c r="Y3" s="5" t="s">
        <v>5109</v>
      </c>
      <c r="Z3" s="5" t="s">
        <v>5110</v>
      </c>
      <c r="AA3" s="5" t="s">
        <v>5111</v>
      </c>
      <c r="AB3" s="8" t="s">
        <v>5112</v>
      </c>
      <c r="AC3" s="8" t="s">
        <v>5113</v>
      </c>
      <c r="AD3" s="8" t="s">
        <v>5114</v>
      </c>
      <c r="AE3" s="8" t="s">
        <v>5115</v>
      </c>
    </row>
    <row r="4" ht="24.95" customHeight="1" spans="1:31">
      <c r="A4" s="4" t="s">
        <v>180</v>
      </c>
      <c r="B4" s="4" t="s">
        <v>5116</v>
      </c>
      <c r="C4" s="5" t="s">
        <v>5117</v>
      </c>
      <c r="D4" s="5" t="s">
        <v>5118</v>
      </c>
      <c r="E4" s="5" t="s">
        <v>2564</v>
      </c>
      <c r="F4" s="5" t="s">
        <v>2656</v>
      </c>
      <c r="G4" s="5" t="s">
        <v>5119</v>
      </c>
      <c r="H4" s="5" t="s">
        <v>5120</v>
      </c>
      <c r="J4" s="6" t="s">
        <v>2335</v>
      </c>
      <c r="L4" s="6" t="s">
        <v>351</v>
      </c>
      <c r="U4" s="6" t="s">
        <v>4757</v>
      </c>
      <c r="V4" s="7" t="s">
        <v>5121</v>
      </c>
      <c r="W4" s="8" t="s">
        <v>5122</v>
      </c>
      <c r="X4" s="5" t="s">
        <v>5123</v>
      </c>
      <c r="Y4" s="5" t="s">
        <v>5124</v>
      </c>
      <c r="Z4" s="5" t="s">
        <v>5125</v>
      </c>
      <c r="AA4" s="5" t="s">
        <v>5126</v>
      </c>
      <c r="AC4" s="8" t="s">
        <v>5112</v>
      </c>
      <c r="AE4" s="8" t="s">
        <v>351</v>
      </c>
    </row>
    <row r="5" ht="24.95" customHeight="1" spans="1:31">
      <c r="A5" s="4" t="s">
        <v>181</v>
      </c>
      <c r="C5" s="5" t="s">
        <v>5127</v>
      </c>
      <c r="D5" s="5" t="s">
        <v>3503</v>
      </c>
      <c r="E5" s="5" t="s">
        <v>2534</v>
      </c>
      <c r="F5" s="5" t="s">
        <v>3509</v>
      </c>
      <c r="G5" s="5" t="s">
        <v>5128</v>
      </c>
      <c r="H5" s="5" t="s">
        <v>5129</v>
      </c>
      <c r="J5" s="6" t="s">
        <v>5130</v>
      </c>
      <c r="L5" s="6" t="s">
        <v>5131</v>
      </c>
      <c r="U5" s="6" t="s">
        <v>4944</v>
      </c>
      <c r="V5" s="7" t="s">
        <v>5132</v>
      </c>
      <c r="W5" s="5" t="s">
        <v>5133</v>
      </c>
      <c r="X5" s="8" t="s">
        <v>5134</v>
      </c>
      <c r="Y5" s="5" t="s">
        <v>5135</v>
      </c>
      <c r="Z5" s="1"/>
      <c r="AA5" s="5" t="s">
        <v>5136</v>
      </c>
      <c r="AE5" s="8" t="s">
        <v>4719</v>
      </c>
    </row>
    <row r="6" ht="24.95" customHeight="1" spans="1:31">
      <c r="A6" s="4" t="s">
        <v>182</v>
      </c>
      <c r="C6" s="5" t="s">
        <v>2313</v>
      </c>
      <c r="D6" s="5" t="s">
        <v>5137</v>
      </c>
      <c r="E6" s="5" t="s">
        <v>2788</v>
      </c>
      <c r="F6" s="5" t="s">
        <v>3135</v>
      </c>
      <c r="G6" s="5" t="s">
        <v>3111</v>
      </c>
      <c r="H6" s="5" t="s">
        <v>5138</v>
      </c>
      <c r="J6" s="6" t="s">
        <v>4468</v>
      </c>
      <c r="L6" s="6" t="s">
        <v>5139</v>
      </c>
      <c r="U6" s="6" t="s">
        <v>4675</v>
      </c>
      <c r="V6" s="7" t="s">
        <v>5140</v>
      </c>
      <c r="W6" s="5" t="s">
        <v>5141</v>
      </c>
      <c r="Y6" s="8" t="s">
        <v>5142</v>
      </c>
      <c r="Z6" s="1"/>
      <c r="AA6" s="11"/>
      <c r="AE6" s="8" t="s">
        <v>4809</v>
      </c>
    </row>
    <row r="7" ht="24.95" customHeight="1" spans="1:27">
      <c r="A7" s="4" t="s">
        <v>536</v>
      </c>
      <c r="C7" s="5" t="s">
        <v>5143</v>
      </c>
      <c r="D7" s="5" t="s">
        <v>3569</v>
      </c>
      <c r="E7" s="5" t="s">
        <v>2690</v>
      </c>
      <c r="F7" s="5" t="s">
        <v>5144</v>
      </c>
      <c r="G7" s="5" t="s">
        <v>5145</v>
      </c>
      <c r="H7" s="5" t="s">
        <v>2539</v>
      </c>
      <c r="J7" s="6" t="s">
        <v>2317</v>
      </c>
      <c r="L7" s="6" t="s">
        <v>5112</v>
      </c>
      <c r="U7" s="6" t="s">
        <v>4807</v>
      </c>
      <c r="V7" s="7" t="s">
        <v>5146</v>
      </c>
      <c r="W7" s="8" t="s">
        <v>5147</v>
      </c>
      <c r="Y7" s="1"/>
      <c r="Z7" s="1"/>
      <c r="AA7" s="11"/>
    </row>
    <row r="8" ht="24.95" customHeight="1" spans="1:27">
      <c r="A8" s="4" t="s">
        <v>5148</v>
      </c>
      <c r="D8" s="5" t="s">
        <v>2370</v>
      </c>
      <c r="F8" s="5" t="s">
        <v>2938</v>
      </c>
      <c r="G8" s="5" t="s">
        <v>5149</v>
      </c>
      <c r="H8" s="5" t="s">
        <v>5150</v>
      </c>
      <c r="J8" s="6" t="s">
        <v>5151</v>
      </c>
      <c r="U8" s="6" t="s">
        <v>5152</v>
      </c>
      <c r="V8" s="7" t="s">
        <v>5153</v>
      </c>
      <c r="W8" s="8" t="s">
        <v>183</v>
      </c>
      <c r="Y8" s="1"/>
      <c r="Z8" s="1"/>
      <c r="AA8" s="1"/>
    </row>
    <row r="9" ht="24.95" customHeight="1" spans="1:27">
      <c r="A9" s="4" t="s">
        <v>5154</v>
      </c>
      <c r="D9" s="5" t="s">
        <v>2523</v>
      </c>
      <c r="F9" s="5" t="s">
        <v>2418</v>
      </c>
      <c r="G9" s="5" t="s">
        <v>5155</v>
      </c>
      <c r="H9" s="5" t="s">
        <v>5156</v>
      </c>
      <c r="U9" s="6" t="s">
        <v>5157</v>
      </c>
      <c r="Y9" s="1"/>
      <c r="Z9" s="1"/>
      <c r="AA9" s="1"/>
    </row>
    <row r="10" ht="24.95" customHeight="1" spans="1:27">
      <c r="A10" s="4" t="s">
        <v>5158</v>
      </c>
      <c r="D10" s="5" t="s">
        <v>2340</v>
      </c>
      <c r="F10" s="5" t="s">
        <v>4205</v>
      </c>
      <c r="G10" s="5" t="s">
        <v>5159</v>
      </c>
      <c r="H10" s="5" t="s">
        <v>2471</v>
      </c>
      <c r="U10" s="6" t="s">
        <v>4837</v>
      </c>
      <c r="Y10" s="1"/>
      <c r="Z10" s="1"/>
      <c r="AA10" s="1"/>
    </row>
    <row r="11" ht="24.95" customHeight="1" spans="1:27">
      <c r="A11" s="4" t="s">
        <v>5160</v>
      </c>
      <c r="F11" s="5" t="s">
        <v>2453</v>
      </c>
      <c r="G11" s="5" t="s">
        <v>5161</v>
      </c>
      <c r="U11" s="6" t="s">
        <v>5162</v>
      </c>
      <c r="Y11" s="1"/>
      <c r="Z11" s="1"/>
      <c r="AA11" s="1"/>
    </row>
    <row r="12" ht="24.95" customHeight="1" spans="1:27">
      <c r="A12" s="4" t="s">
        <v>5163</v>
      </c>
      <c r="F12" s="5" t="s">
        <v>2347</v>
      </c>
      <c r="G12" s="5" t="s">
        <v>5164</v>
      </c>
      <c r="U12" s="6" t="s">
        <v>5165</v>
      </c>
      <c r="Y12" s="1"/>
      <c r="Z12" s="1"/>
      <c r="AA12" s="1"/>
    </row>
    <row r="13" ht="24.95" customHeight="1" spans="1:27">
      <c r="A13" s="4" t="s">
        <v>5166</v>
      </c>
      <c r="G13" s="5" t="s">
        <v>3544</v>
      </c>
      <c r="U13" s="6" t="s">
        <v>5167</v>
      </c>
      <c r="Y13" s="1"/>
      <c r="Z13" s="1"/>
      <c r="AA13" s="1"/>
    </row>
    <row r="14" ht="24.95" customHeight="1" spans="1:27">
      <c r="A14" s="4" t="s">
        <v>5168</v>
      </c>
      <c r="G14" s="5" t="s">
        <v>5169</v>
      </c>
      <c r="U14" s="6" t="s">
        <v>4655</v>
      </c>
      <c r="Y14" s="1"/>
      <c r="Z14" s="1"/>
      <c r="AA14" s="1"/>
    </row>
    <row r="15" ht="24.95" customHeight="1" spans="1:27">
      <c r="A15" s="4" t="s">
        <v>5170</v>
      </c>
      <c r="G15" s="5" t="s">
        <v>5171</v>
      </c>
      <c r="Y15" s="1"/>
      <c r="Z15" s="1"/>
      <c r="AA15" s="1"/>
    </row>
    <row r="16" ht="24.95" customHeight="1" spans="1:27">
      <c r="A16" s="4" t="s">
        <v>5172</v>
      </c>
      <c r="G16" s="5" t="s">
        <v>5173</v>
      </c>
      <c r="Y16" s="1"/>
      <c r="Z16" s="1"/>
      <c r="AA16" s="1"/>
    </row>
    <row r="17" ht="24.95" customHeight="1" spans="1:27">
      <c r="A17" s="4" t="s">
        <v>5174</v>
      </c>
      <c r="G17" s="5" t="s">
        <v>3095</v>
      </c>
      <c r="Y17" s="1"/>
      <c r="Z17" s="1"/>
      <c r="AA17" s="1"/>
    </row>
    <row r="18" ht="24.95" customHeight="1" spans="1:27">
      <c r="A18" s="4" t="s">
        <v>5175</v>
      </c>
      <c r="Y18" s="1"/>
      <c r="Z18" s="1"/>
      <c r="AA18" s="1"/>
    </row>
    <row r="19" ht="24.95" customHeight="1" spans="1:27">
      <c r="A19" s="4" t="s">
        <v>102</v>
      </c>
      <c r="Y19" s="1"/>
      <c r="Z19" s="1"/>
      <c r="AA19" s="1"/>
    </row>
    <row r="20" ht="24.95" customHeight="1" spans="1:27">
      <c r="A20" s="4" t="s">
        <v>5176</v>
      </c>
      <c r="Y20" s="1"/>
      <c r="Z20" s="1"/>
      <c r="AA20" s="1"/>
    </row>
    <row r="21" ht="24.95" customHeight="1" spans="1:27">
      <c r="A21" s="4" t="s">
        <v>5177</v>
      </c>
      <c r="Y21" s="1"/>
      <c r="Z21" s="1"/>
      <c r="AA21" s="1"/>
    </row>
    <row r="22" ht="24.95" customHeight="1" spans="1:27">
      <c r="A22" s="4" t="s">
        <v>5178</v>
      </c>
      <c r="Y22" s="1"/>
      <c r="Z22" s="1"/>
      <c r="AA22" s="1"/>
    </row>
    <row r="23" ht="24.95" customHeight="1" spans="1:27">
      <c r="A23" s="4" t="s">
        <v>1918</v>
      </c>
      <c r="Y23" s="1"/>
      <c r="Z23" s="1"/>
      <c r="AA23" s="1"/>
    </row>
  </sheetData>
  <dataValidations count="1">
    <dataValidation type="list" allowBlank="1" showInputMessage="1" showErrorMessage="1" sqref="I2">
      <formula1>"利息支出"</formula1>
    </dataValidation>
  </dataValidations>
  <pageMargins left="0.75" right="0.75" top="1" bottom="1" header="0.511805555555556" footer="0.511805555555556"/>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9" master="" otherUserPermission="visible">
    <arrUserId title="A6:AI17" rangeCreator="" othersAccessPermission="edit"/>
    <arrUserId title="A6:AI17_1" rangeCreator="" othersAccessPermission="edit"/>
  </rangeList>
  <rangeList sheetStid="5" master="" otherUserPermission="visible"/>
  <rangeList sheetStid="32" master="" otherUserPermission="visible"/>
  <rangeList sheetStid="8" master="" otherUserPermission="visible"/>
  <rangeList sheetStid="6" master="" otherUserPermission="visible"/>
  <rangeList sheetStid="38" master="" otherUserPermission="visible"/>
  <rangeList sheetStid="30" master="" otherUserPermission="visible"/>
  <rangeList sheetStid="9" master="" otherUserPermission="visible"/>
  <rangeList sheetStid="31" master="" otherUserPermission="visible"/>
  <rangeList sheetStid="37" master="" otherUserPermission="visible"/>
  <rangeList sheetStid="43" master="" otherUserPermission="visible"/>
  <rangeList sheetStid="42" master="" otherUserPermission="visible"/>
  <rangeList sheetStid="39"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清算项目基本情况表</vt:lpstr>
      <vt:lpstr>土地增值税税源明细表</vt:lpstr>
      <vt:lpstr>附表1-面积统计表</vt:lpstr>
      <vt:lpstr>附表2-收入统计表</vt:lpstr>
      <vt:lpstr>附表3-扣除项目分摊表</vt:lpstr>
      <vt:lpstr>附表4-项目间分摊信息采集表</vt:lpstr>
      <vt:lpstr>附表5-扣除项目统计表</vt:lpstr>
      <vt:lpstr>附表6-收入明细采集底稿</vt:lpstr>
      <vt:lpstr>附表7-扣除项目明细采集底稿</vt:lpstr>
      <vt:lpstr>附表8-合同明细采集底稿</vt:lpstr>
      <vt:lpstr>成本分摊比例</vt:lpstr>
      <vt:lpstr>工程造价采集表</vt:lpstr>
      <vt:lpstr>数据对照表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aa</cp:lastModifiedBy>
  <dcterms:created xsi:type="dcterms:W3CDTF">2016-12-14T00:54:00Z</dcterms:created>
  <cp:lastPrinted>2021-07-06T13:57:00Z</cp:lastPrinted>
  <dcterms:modified xsi:type="dcterms:W3CDTF">2024-11-28T02:49:51Z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0FE40995BA4D4805AC991B0745833BCE_13</vt:lpwstr>
  </property>
  <property fmtid="{D5CDD505-2E9C-101B-9397-08002B2CF9AE}" pid="4" name="KSOReadingLayout">
    <vt:bool>true</vt:bool>
  </property>
</Properties>
</file>