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05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考勤!$A$5:$AY$6</definedName>
    <definedName name="_xlnm.Print_Area" localSheetId="2">考勤!$A$1:$AZ$13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<sst xmlns="http://schemas.openxmlformats.org/spreadsheetml/2006/main" count="323" uniqueCount="107">
  <si>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</si>
  <si>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</si>
  <si>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</si>
  <si>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</si>
  <si>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</si>
  <si>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</si>
  <si>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</si>
  <si>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</si>
  <si>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</si>
  <si>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</si>
  <si>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</si>
  <si>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</si>
  <si>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</si>
  <si>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</si>
  <si>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</si>
  <si>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</si>
  <si>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</si>
  <si>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</si>
  <si>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</si>
  <si>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</si>
  <si>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</si>
  <si>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</si>
  <si>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</si>
  <si>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</si>
  <si>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</si>
  <si>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</si>
  <si>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</si>
  <si>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阿克苏通力房地产开发有限公司</t>
  </si>
  <si>
    <t>阿克苏通力房产2025年2月工资表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</si>
  <si>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</si>
  <si>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</si>
  <si>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</si>
  <si>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</si>
  <si>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</si>
  <si>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</si>
  <si>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</si>
  <si>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</si>
  <si>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</si>
  <si>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</si>
  <si>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</si>
  <si>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</si>
  <si>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</si>
  <si>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</si>
  <si>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</si>
  <si>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</si>
  <si>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刘念</t>
  </si>
  <si>
    <t>人事运营</t>
  </si>
  <si>
    <t>PB</t>
  </si>
  <si>
    <t>郭满庆</t>
  </si>
  <si>
    <t>开发报建工程师</t>
  </si>
  <si>
    <t>李梦鑫</t>
  </si>
  <si>
    <t>出纳</t>
  </si>
  <si>
    <t>马木提·阿吉</t>
  </si>
  <si>
    <t>商管专员</t>
  </si>
  <si>
    <t>杜芊</t>
  </si>
  <si>
    <t>销售内勤</t>
  </si>
  <si>
    <t>依明·阿扎提</t>
  </si>
  <si>
    <t>销售主管</t>
  </si>
  <si>
    <t>PA</t>
  </si>
  <si>
    <t>合计</t>
  </si>
  <si>
    <t>注：依明·阿扎提本月执行-2416元，其暂未执行的绩效考核共计-20737元（含9月-5089元；10月-11690元；11月-1736元；12月-980元；2025年1-2月-1242元）</t>
  </si>
  <si>
    <t>单位领导：</t>
  </si>
  <si>
    <t>审核：</t>
  </si>
  <si>
    <t>制表：</t>
  </si>
  <si>
    <t>月职工考勤表</t>
  </si>
  <si>
    <t>单位:</t>
  </si>
  <si>
    <t>阿克苏通力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</si>
  <si>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</si>
  <si>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</si>
  <si>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</si>
  <si>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</si>
  <si>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</si>
  <si>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</si>
  <si>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</si>
  <si>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</si>
  <si>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</si>
  <si>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</si>
  <si>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</si>
  <si>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</si>
  <si>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</si>
  <si>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</si>
  <si>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</si>
  <si>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</si>
  <si>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</si>
  <si>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</si>
  <si>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</si>
  <si>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</si>
  <si>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</si>
  <si>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</si>
  <si>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销售</t>
  </si>
  <si>
    <t>注：本月依明·阿扎提事假1天</t>
  </si>
  <si>
    <t>月度应发</t>
  </si>
  <si>
    <t>差额</t>
  </si>
  <si>
    <t>绩效扣款</t>
  </si>
  <si>
    <t>职务序列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</si>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</sst>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8"/>
      <name val="仿宋_GB2312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8"/>
      <name val="Arial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7" fillId="0" borderId="7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8" fillId="0" borderId="0" xfId="51" applyFont="1" applyFill="1" applyBorder="1" applyAlignment="1">
      <alignment horizontal="left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left" vertical="center" wrapText="1"/>
    </xf>
    <xf numFmtId="0" fontId="5" fillId="2" borderId="1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8" fillId="2" borderId="7" xfId="52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 wrapText="1"/>
    </xf>
    <xf numFmtId="0" fontId="13" fillId="2" borderId="1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177" fontId="16" fillId="2" borderId="1" xfId="0" applyNumberFormat="1" applyFont="1" applyFill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left" vertical="center"/>
    </xf>
    <xf numFmtId="176" fontId="17" fillId="0" borderId="0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1">
          <cell r="M1">
            <v>2</v>
          </cell>
        </row>
        <row r="2">
          <cell r="AB2" t="str">
            <v>2025年2月4日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X10"/>
  <sheetViews>
    <sheetView zoomScale="130" zoomScaleNormal="130" workbookViewId="0">
      <selection activeCell="W4" sqref="W4"/>
    </sheetView>
  </sheetViews>
  <sheetFormatPr defaultColWidth="9" defaultRowHeight="14.4"/>
  <cols>
    <col min="1" max="1" width="49.6296296296296" style="1" customWidth="1"/>
    <col min="2" max="2" width="9" style="1"/>
    <col min="3" max="4" width="11.5092592592593" style="1" customWidth="1"/>
    <col min="5" max="7" width="9.37962962962963" style="1" customWidth="1"/>
    <col min="8" max="9" width="9" style="1"/>
    <col min="10" max="10" width="12.6296296296296" style="1" customWidth="1"/>
    <col min="11" max="12" width="9" style="1"/>
    <col min="13" max="15" width="13.75" style="1" customWidth="1"/>
    <col min="16" max="16" width="9.37962962962963" style="1" customWidth="1"/>
    <col min="17" max="19" width="9" style="1"/>
    <col min="20" max="20" width="13.75" style="1" customWidth="1"/>
    <col min="21" max="22" width="9" style="1"/>
    <col min="23" max="23" width="13" style="1" customWidth="1"/>
    <col min="24" max="16384" width="9" style="1"/>
  </cols>
  <sheetData>
    <row r="2" s="85" customFormat="1" ht="50" customHeight="1" spans="1:24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 t="s">
        <v>2</v>
      </c>
      <c r="N2" s="6"/>
      <c r="O2" s="6"/>
      <c r="P2" s="6"/>
      <c r="Q2" s="6" t="s">
        <v>3</v>
      </c>
      <c r="R2" s="6"/>
      <c r="S2" s="6"/>
      <c r="T2" s="6"/>
      <c r="U2" s="6"/>
      <c r="V2" s="6"/>
      <c r="W2" s="6" t="s">
        <v>4</v>
      </c>
      <c r="X2" s="6" t="s">
        <v>5</v>
      </c>
    </row>
    <row r="3" s="85" customFormat="1" ht="50" customHeight="1" spans="1:24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17</v>
      </c>
      <c r="W3" s="6"/>
      <c r="X3" s="6"/>
    </row>
    <row r="4" s="86" customFormat="1" ht="50" customHeight="1" spans="1:24">
      <c r="A4" s="2" t="s">
        <v>27</v>
      </c>
      <c r="B4" s="2">
        <v>6</v>
      </c>
      <c r="C4" s="2">
        <f>工资表!E11</f>
        <v>31150</v>
      </c>
      <c r="D4" s="2">
        <v>19</v>
      </c>
      <c r="E4" s="2">
        <f>工资表!G11</f>
        <v>23370</v>
      </c>
      <c r="F4" s="2">
        <f>工资表!H11</f>
        <v>7780</v>
      </c>
      <c r="G4" s="2">
        <f>工资表!I11</f>
        <v>0</v>
      </c>
      <c r="H4" s="2">
        <v>0</v>
      </c>
      <c r="I4" s="2">
        <f>工资表!K11</f>
        <v>-2415.7894736842</v>
      </c>
      <c r="J4" s="2">
        <f>工资表!L11</f>
        <v>0</v>
      </c>
      <c r="K4" s="2">
        <v>0</v>
      </c>
      <c r="L4" s="2">
        <f>工资表!N11</f>
        <v>-2415.7894736842</v>
      </c>
      <c r="M4" s="2"/>
      <c r="N4" s="2"/>
      <c r="O4" s="2"/>
      <c r="P4" s="8">
        <f>工资表!R11</f>
        <v>28471.052631579</v>
      </c>
      <c r="Q4" s="2">
        <f>工资表!S11</f>
        <v>1999.6</v>
      </c>
      <c r="R4" s="2">
        <f>工资表!T11</f>
        <v>125</v>
      </c>
      <c r="S4" s="2">
        <f>工资表!U11</f>
        <v>499.9</v>
      </c>
      <c r="T4" s="2">
        <f>工资表!V11</f>
        <v>60</v>
      </c>
      <c r="U4" s="2">
        <f>工资表!W11</f>
        <v>6.46</v>
      </c>
      <c r="V4" s="2">
        <f>工资表!X11</f>
        <v>2690.96</v>
      </c>
      <c r="W4" s="8">
        <f>工资表!Y11</f>
        <v>25780.092631579</v>
      </c>
      <c r="X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V2"/>
    <mergeCell ref="W2:W3"/>
    <mergeCell ref="X2:X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</sheetPr>
  <dimension ref="A1:Z13"/>
  <sheetViews>
    <sheetView showZeros="0" tabSelected="1" view="pageBreakPreview" zoomScale="25" zoomScaleNormal="25" workbookViewId="0">
      <pane xSplit="2" ySplit="4" topLeftCell="H5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20" customHeight="1"/>
  <cols>
    <col min="1" max="1" width="28.75" style="1" customWidth="1"/>
    <col min="2" max="2" width="50.7314814814815" style="1" customWidth="1"/>
    <col min="3" max="3" width="90.712962962963" style="1" customWidth="1"/>
    <col min="4" max="4" width="22.7592592592593" style="1" customWidth="1"/>
    <col min="5" max="5" width="32.75" style="1" customWidth="1"/>
    <col min="6" max="6" width="22.7592592592593" style="1" customWidth="1"/>
    <col min="7" max="9" width="32.75" style="1" customWidth="1"/>
    <col min="10" max="10" width="32.75" style="1" hidden="1" customWidth="1"/>
    <col min="11" max="12" width="40.7407407407407" style="1" customWidth="1"/>
    <col min="13" max="14" width="45.7407407407407" style="1" customWidth="1"/>
    <col min="15" max="16" width="40.7407407407407" style="1" customWidth="1"/>
    <col min="17" max="17" width="22.7592592592593" style="1" customWidth="1"/>
    <col min="18" max="18" width="55.7314814814815" style="62" customWidth="1"/>
    <col min="19" max="23" width="32.75" style="1" customWidth="1"/>
    <col min="24" max="24" width="40.7407407407407" style="1" customWidth="1"/>
    <col min="25" max="25" width="55.7314814814815" style="63" customWidth="1"/>
    <col min="26" max="26" width="80.712962962963" style="1" customWidth="1"/>
    <col min="27" max="16384" width="9" style="1"/>
  </cols>
  <sheetData>
    <row r="1" s="57" customFormat="1" ht="100" customHeight="1" spans="1:26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79"/>
      <c r="S1" s="64"/>
      <c r="T1" s="64"/>
      <c r="U1" s="64"/>
      <c r="V1" s="64"/>
      <c r="W1" s="64"/>
      <c r="X1" s="64"/>
      <c r="Y1" s="64"/>
      <c r="Z1" s="64"/>
    </row>
    <row r="2" s="57" customFormat="1" ht="60" customHeight="1" spans="1:26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9"/>
      <c r="S2" s="64"/>
      <c r="T2" s="64"/>
      <c r="U2" s="64"/>
      <c r="V2" s="64"/>
      <c r="W2" s="64"/>
      <c r="X2" s="64"/>
      <c r="Y2" s="64"/>
      <c r="Z2" s="64"/>
    </row>
    <row r="3" s="58" customFormat="1" ht="130" customHeight="1" spans="1:26">
      <c r="A3" s="65" t="s">
        <v>29</v>
      </c>
      <c r="B3" s="65" t="s">
        <v>0</v>
      </c>
      <c r="C3" s="65"/>
      <c r="D3" s="65"/>
      <c r="E3" s="65"/>
      <c r="F3" s="65"/>
      <c r="G3" s="65"/>
      <c r="H3" s="65"/>
      <c r="I3" s="65"/>
      <c r="J3" s="65" t="s">
        <v>1</v>
      </c>
      <c r="K3" s="65"/>
      <c r="L3" s="65"/>
      <c r="M3" s="65"/>
      <c r="N3" s="65"/>
      <c r="O3" s="65" t="s">
        <v>2</v>
      </c>
      <c r="P3" s="65"/>
      <c r="Q3" s="65"/>
      <c r="R3" s="77"/>
      <c r="S3" s="65" t="s">
        <v>3</v>
      </c>
      <c r="T3" s="65"/>
      <c r="U3" s="65"/>
      <c r="V3" s="65"/>
      <c r="W3" s="65"/>
      <c r="X3" s="65"/>
      <c r="Y3" s="65" t="s">
        <v>4</v>
      </c>
      <c r="Z3" s="65" t="s">
        <v>5</v>
      </c>
    </row>
    <row r="4" s="58" customFormat="1" ht="130" customHeight="1" spans="1:26">
      <c r="A4" s="65"/>
      <c r="B4" s="65" t="s">
        <v>30</v>
      </c>
      <c r="C4" s="65" t="s">
        <v>31</v>
      </c>
      <c r="D4" s="66" t="s">
        <v>32</v>
      </c>
      <c r="E4" s="66" t="s">
        <v>33</v>
      </c>
      <c r="F4" s="66" t="s">
        <v>34</v>
      </c>
      <c r="G4" s="66" t="s">
        <v>35</v>
      </c>
      <c r="H4" s="66" t="s">
        <v>36</v>
      </c>
      <c r="I4" s="66" t="s">
        <v>37</v>
      </c>
      <c r="J4" s="66" t="s">
        <v>38</v>
      </c>
      <c r="K4" s="66" t="s">
        <v>39</v>
      </c>
      <c r="L4" s="66" t="s">
        <v>40</v>
      </c>
      <c r="M4" s="65" t="s">
        <v>16</v>
      </c>
      <c r="N4" s="65" t="s">
        <v>17</v>
      </c>
      <c r="O4" s="66" t="s">
        <v>41</v>
      </c>
      <c r="P4" s="66" t="s">
        <v>42</v>
      </c>
      <c r="Q4" s="66" t="s">
        <v>43</v>
      </c>
      <c r="R4" s="77" t="s">
        <v>21</v>
      </c>
      <c r="S4" s="65" t="s">
        <v>22</v>
      </c>
      <c r="T4" s="65" t="s">
        <v>23</v>
      </c>
      <c r="U4" s="65" t="s">
        <v>24</v>
      </c>
      <c r="V4" s="66" t="s">
        <v>44</v>
      </c>
      <c r="W4" s="65" t="s">
        <v>26</v>
      </c>
      <c r="X4" s="65" t="s">
        <v>17</v>
      </c>
      <c r="Y4" s="65"/>
      <c r="Z4" s="65"/>
    </row>
    <row r="5" s="59" customFormat="1" ht="130" customHeight="1" spans="1:26">
      <c r="A5" s="67">
        <v>1</v>
      </c>
      <c r="B5" s="67" t="s">
        <v>45</v>
      </c>
      <c r="C5" s="67" t="s">
        <v>46</v>
      </c>
      <c r="D5" s="67" t="s">
        <v>47</v>
      </c>
      <c r="E5" s="67">
        <v>5500</v>
      </c>
      <c r="F5" s="67">
        <v>19</v>
      </c>
      <c r="G5" s="67">
        <f>E5*VLOOKUP(D5,职务序列取数!B:E,2,0)</f>
        <v>4400</v>
      </c>
      <c r="H5" s="67">
        <f>E5*VLOOKUP(D5,职务序列取数!B:E,3,0)</f>
        <v>1100</v>
      </c>
      <c r="I5" s="67">
        <f>E5*VLOOKUP(D5,职务序列取数!B:E,4,0)</f>
        <v>0</v>
      </c>
      <c r="J5" s="67"/>
      <c r="K5" s="67"/>
      <c r="L5" s="67"/>
      <c r="M5" s="67"/>
      <c r="N5" s="72">
        <f t="shared" ref="N5:N10" si="0">SUM(J5:M5)</f>
        <v>0</v>
      </c>
      <c r="O5" s="73">
        <f t="shared" ref="O5:O10" si="1">G5/F5</f>
        <v>231.578947368421</v>
      </c>
      <c r="P5" s="73">
        <f t="shared" ref="P5:P10" si="2">H5/F5</f>
        <v>57.8947368421053</v>
      </c>
      <c r="Q5" s="80">
        <f>VLOOKUP(B5,考勤!B:AI,34,0)</f>
        <v>19</v>
      </c>
      <c r="R5" s="77">
        <f t="shared" ref="R5:R10" si="3">(O5*Q5)+(P5*Q5)+N5</f>
        <v>5500</v>
      </c>
      <c r="S5" s="67">
        <v>399.92</v>
      </c>
      <c r="T5" s="67">
        <v>25</v>
      </c>
      <c r="U5" s="67">
        <v>99.98</v>
      </c>
      <c r="V5" s="67">
        <v>10</v>
      </c>
      <c r="W5" s="81"/>
      <c r="X5" s="80">
        <f t="shared" ref="X5:X10" si="4">SUM(S5:W5)</f>
        <v>534.9</v>
      </c>
      <c r="Y5" s="77">
        <f t="shared" ref="Y5:Y10" si="5">R5-X5</f>
        <v>4965.1</v>
      </c>
      <c r="Z5" s="67"/>
    </row>
    <row r="6" s="59" customFormat="1" ht="130" customHeight="1" spans="1:26">
      <c r="A6" s="67">
        <v>2</v>
      </c>
      <c r="B6" s="67" t="s">
        <v>48</v>
      </c>
      <c r="C6" s="67" t="s">
        <v>49</v>
      </c>
      <c r="D6" s="67" t="s">
        <v>47</v>
      </c>
      <c r="E6" s="67">
        <v>5400</v>
      </c>
      <c r="F6" s="67">
        <v>19</v>
      </c>
      <c r="G6" s="67">
        <f>E6*VLOOKUP(D6,职务序列取数!B:E,2,0)</f>
        <v>4320</v>
      </c>
      <c r="H6" s="67">
        <f>E6*VLOOKUP(D6,职务序列取数!B:E,3,0)</f>
        <v>1080</v>
      </c>
      <c r="I6" s="67">
        <f>E6*VLOOKUP(D6,职务序列取数!B:E,4,0)</f>
        <v>0</v>
      </c>
      <c r="J6" s="67"/>
      <c r="K6" s="67"/>
      <c r="L6" s="67"/>
      <c r="M6" s="67"/>
      <c r="N6" s="72">
        <f t="shared" si="0"/>
        <v>0</v>
      </c>
      <c r="O6" s="73">
        <f t="shared" si="1"/>
        <v>227.368421052632</v>
      </c>
      <c r="P6" s="73">
        <f t="shared" si="2"/>
        <v>56.8421052631579</v>
      </c>
      <c r="Q6" s="80">
        <f>VLOOKUP(B6,考勤!B:AI,34,0)</f>
        <v>19</v>
      </c>
      <c r="R6" s="77">
        <f t="shared" si="3"/>
        <v>5400.00000000001</v>
      </c>
      <c r="S6" s="67"/>
      <c r="T6" s="67"/>
      <c r="U6" s="67"/>
      <c r="V6" s="67">
        <v>10</v>
      </c>
      <c r="W6" s="81"/>
      <c r="X6" s="80">
        <f t="shared" si="4"/>
        <v>10</v>
      </c>
      <c r="Y6" s="77">
        <f t="shared" si="5"/>
        <v>5390.00000000001</v>
      </c>
      <c r="Z6" s="67"/>
    </row>
    <row r="7" s="59" customFormat="1" ht="130" customHeight="1" spans="1:26">
      <c r="A7" s="67">
        <v>3</v>
      </c>
      <c r="B7" s="67" t="s">
        <v>50</v>
      </c>
      <c r="C7" s="67" t="s">
        <v>51</v>
      </c>
      <c r="D7" s="67" t="s">
        <v>47</v>
      </c>
      <c r="E7" s="67">
        <v>5500</v>
      </c>
      <c r="F7" s="67">
        <v>19</v>
      </c>
      <c r="G7" s="67">
        <f>E7*VLOOKUP(D7,职务序列取数!B:E,2,0)</f>
        <v>4400</v>
      </c>
      <c r="H7" s="67">
        <f>E7*VLOOKUP(D7,职务序列取数!B:E,3,0)</f>
        <v>1100</v>
      </c>
      <c r="I7" s="67">
        <f>E7*VLOOKUP(D7,职务序列取数!B:E,4,0)</f>
        <v>0</v>
      </c>
      <c r="J7" s="67"/>
      <c r="K7" s="67"/>
      <c r="L7" s="67"/>
      <c r="M7" s="67"/>
      <c r="N7" s="72">
        <f t="shared" si="0"/>
        <v>0</v>
      </c>
      <c r="O7" s="73">
        <f t="shared" si="1"/>
        <v>231.578947368421</v>
      </c>
      <c r="P7" s="73">
        <f t="shared" si="2"/>
        <v>57.8947368421053</v>
      </c>
      <c r="Q7" s="80">
        <f>VLOOKUP(B7,考勤!B:AI,34,0)</f>
        <v>19</v>
      </c>
      <c r="R7" s="77">
        <f t="shared" si="3"/>
        <v>5500</v>
      </c>
      <c r="S7" s="67">
        <v>399.92</v>
      </c>
      <c r="T7" s="67">
        <v>25</v>
      </c>
      <c r="U7" s="67">
        <v>99.98</v>
      </c>
      <c r="V7" s="67">
        <v>10</v>
      </c>
      <c r="W7" s="81"/>
      <c r="X7" s="80">
        <f t="shared" si="4"/>
        <v>534.9</v>
      </c>
      <c r="Y7" s="77">
        <f t="shared" si="5"/>
        <v>4965.1</v>
      </c>
      <c r="Z7" s="67"/>
    </row>
    <row r="8" s="59" customFormat="1" ht="130" customHeight="1" spans="1:26">
      <c r="A8" s="67">
        <v>4</v>
      </c>
      <c r="B8" s="67" t="s">
        <v>52</v>
      </c>
      <c r="C8" s="67" t="s">
        <v>53</v>
      </c>
      <c r="D8" s="67" t="s">
        <v>47</v>
      </c>
      <c r="E8" s="67">
        <v>4000</v>
      </c>
      <c r="F8" s="67">
        <v>19</v>
      </c>
      <c r="G8" s="67">
        <f>E8*VLOOKUP(D8,职务序列取数!B:E,2,0)</f>
        <v>3200</v>
      </c>
      <c r="H8" s="67">
        <f>E8*VLOOKUP(D8,职务序列取数!B:E,3,0)</f>
        <v>800</v>
      </c>
      <c r="I8" s="67">
        <f>E8*VLOOKUP(D8,职务序列取数!B:E,4,0)</f>
        <v>0</v>
      </c>
      <c r="J8" s="67"/>
      <c r="K8" s="67"/>
      <c r="L8" s="67"/>
      <c r="M8" s="67"/>
      <c r="N8" s="72">
        <f t="shared" si="0"/>
        <v>0</v>
      </c>
      <c r="O8" s="73">
        <f t="shared" si="1"/>
        <v>168.421052631579</v>
      </c>
      <c r="P8" s="73">
        <f t="shared" si="2"/>
        <v>42.1052631578947</v>
      </c>
      <c r="Q8" s="80">
        <f>VLOOKUP(B8,考勤!B:AI,34,0)</f>
        <v>19</v>
      </c>
      <c r="R8" s="77">
        <f t="shared" si="3"/>
        <v>4000</v>
      </c>
      <c r="S8" s="67">
        <v>399.92</v>
      </c>
      <c r="T8" s="67">
        <v>25</v>
      </c>
      <c r="U8" s="67">
        <v>99.98</v>
      </c>
      <c r="V8" s="67">
        <v>10</v>
      </c>
      <c r="W8" s="81"/>
      <c r="X8" s="80">
        <f t="shared" si="4"/>
        <v>534.9</v>
      </c>
      <c r="Y8" s="77">
        <f t="shared" si="5"/>
        <v>3465.1</v>
      </c>
      <c r="Z8" s="67"/>
    </row>
    <row r="9" s="59" customFormat="1" ht="130" customHeight="1" spans="1:26">
      <c r="A9" s="67">
        <v>5</v>
      </c>
      <c r="B9" s="67" t="s">
        <v>54</v>
      </c>
      <c r="C9" s="67" t="s">
        <v>55</v>
      </c>
      <c r="D9" s="67" t="s">
        <v>47</v>
      </c>
      <c r="E9" s="67">
        <v>5750</v>
      </c>
      <c r="F9" s="67">
        <v>19</v>
      </c>
      <c r="G9" s="67">
        <f>E9*VLOOKUP(D9,职务序列取数!B:E,2,0)</f>
        <v>4600</v>
      </c>
      <c r="H9" s="67">
        <f>E9*VLOOKUP(D9,职务序列取数!B:E,3,0)</f>
        <v>1150</v>
      </c>
      <c r="I9" s="67">
        <f>E9*VLOOKUP(D9,职务序列取数!B:E,4,0)</f>
        <v>0</v>
      </c>
      <c r="J9" s="67"/>
      <c r="K9" s="67"/>
      <c r="L9" s="67"/>
      <c r="M9" s="67"/>
      <c r="N9" s="72">
        <f t="shared" si="0"/>
        <v>0</v>
      </c>
      <c r="O9" s="73">
        <f t="shared" si="1"/>
        <v>242.105263157895</v>
      </c>
      <c r="P9" s="73">
        <f t="shared" si="2"/>
        <v>60.5263157894737</v>
      </c>
      <c r="Q9" s="80">
        <f>VLOOKUP(B9,考勤!B:AI,34,0)</f>
        <v>19</v>
      </c>
      <c r="R9" s="77">
        <f t="shared" si="3"/>
        <v>5750</v>
      </c>
      <c r="S9" s="67">
        <v>399.92</v>
      </c>
      <c r="T9" s="67">
        <v>25</v>
      </c>
      <c r="U9" s="67">
        <v>99.98</v>
      </c>
      <c r="V9" s="67">
        <v>10</v>
      </c>
      <c r="W9" s="81">
        <v>6.46</v>
      </c>
      <c r="X9" s="80">
        <f t="shared" si="4"/>
        <v>541.36</v>
      </c>
      <c r="Y9" s="77">
        <f t="shared" si="5"/>
        <v>5208.64</v>
      </c>
      <c r="Z9" s="67"/>
    </row>
    <row r="10" s="59" customFormat="1" ht="130" customHeight="1" spans="1:26">
      <c r="A10" s="67">
        <v>6</v>
      </c>
      <c r="B10" s="67" t="s">
        <v>56</v>
      </c>
      <c r="C10" s="67" t="s">
        <v>57</v>
      </c>
      <c r="D10" s="67" t="s">
        <v>58</v>
      </c>
      <c r="E10" s="67">
        <v>5000</v>
      </c>
      <c r="F10" s="67">
        <v>19</v>
      </c>
      <c r="G10" s="67">
        <v>2450</v>
      </c>
      <c r="H10" s="67">
        <v>2550</v>
      </c>
      <c r="I10" s="67">
        <f>E10*VLOOKUP(D10,职务序列取数!B:E,4,0)</f>
        <v>0</v>
      </c>
      <c r="J10" s="67"/>
      <c r="K10" s="74">
        <f>-P10*Q10</f>
        <v>-2415.7894736842</v>
      </c>
      <c r="L10" s="67"/>
      <c r="M10" s="67"/>
      <c r="N10" s="75">
        <f t="shared" si="0"/>
        <v>-2415.7894736842</v>
      </c>
      <c r="O10" s="73">
        <f t="shared" si="1"/>
        <v>128.947368421053</v>
      </c>
      <c r="P10" s="73">
        <f t="shared" si="2"/>
        <v>134.210526315789</v>
      </c>
      <c r="Q10" s="80">
        <f>VLOOKUP(B10,考勤!B:AI,34,0)</f>
        <v>18</v>
      </c>
      <c r="R10" s="77">
        <f t="shared" si="3"/>
        <v>2321.05263157895</v>
      </c>
      <c r="S10" s="67">
        <v>399.92</v>
      </c>
      <c r="T10" s="67">
        <v>25</v>
      </c>
      <c r="U10" s="67">
        <v>99.98</v>
      </c>
      <c r="V10" s="67">
        <v>10</v>
      </c>
      <c r="W10" s="81"/>
      <c r="X10" s="80">
        <f t="shared" si="4"/>
        <v>534.9</v>
      </c>
      <c r="Y10" s="77">
        <f t="shared" si="5"/>
        <v>1786.15263157895</v>
      </c>
      <c r="Z10" s="67"/>
    </row>
    <row r="11" s="60" customFormat="1" ht="130" customHeight="1" spans="1:26">
      <c r="A11" s="65"/>
      <c r="B11" s="68" t="s">
        <v>59</v>
      </c>
      <c r="C11" s="69"/>
      <c r="D11" s="65"/>
      <c r="E11" s="65">
        <f>SUM(E5:E10)</f>
        <v>31150</v>
      </c>
      <c r="F11" s="65">
        <v>19</v>
      </c>
      <c r="G11" s="65">
        <f>SUM(G5:G10)</f>
        <v>23370</v>
      </c>
      <c r="H11" s="65">
        <f>SUM(H5:H10)</f>
        <v>7780</v>
      </c>
      <c r="I11" s="65">
        <f>SUM(I5:I10)</f>
        <v>0</v>
      </c>
      <c r="J11" s="65">
        <f>SUM(J5:J5)</f>
        <v>0</v>
      </c>
      <c r="K11" s="76">
        <f>SUM(K5:K10)</f>
        <v>-2415.7894736842</v>
      </c>
      <c r="L11" s="77">
        <f>SUM(L5:L5)</f>
        <v>0</v>
      </c>
      <c r="M11" s="77">
        <f>SUM(M5:M5)</f>
        <v>0</v>
      </c>
      <c r="N11" s="76">
        <f>SUM(N5:N10)</f>
        <v>-2415.7894736842</v>
      </c>
      <c r="O11" s="65"/>
      <c r="P11" s="65"/>
      <c r="Q11" s="65"/>
      <c r="R11" s="77">
        <f t="shared" ref="R11:Y11" si="6">SUM(R5:R10)</f>
        <v>28471.052631579</v>
      </c>
      <c r="S11" s="65">
        <f t="shared" si="6"/>
        <v>1999.6</v>
      </c>
      <c r="T11" s="65">
        <f t="shared" si="6"/>
        <v>125</v>
      </c>
      <c r="U11" s="65">
        <f t="shared" si="6"/>
        <v>499.9</v>
      </c>
      <c r="V11" s="65">
        <f t="shared" si="6"/>
        <v>60</v>
      </c>
      <c r="W11" s="65">
        <f t="shared" si="6"/>
        <v>6.46</v>
      </c>
      <c r="X11" s="65">
        <f t="shared" si="6"/>
        <v>2690.96</v>
      </c>
      <c r="Y11" s="77">
        <f t="shared" si="6"/>
        <v>25780.092631579</v>
      </c>
      <c r="Z11" s="65"/>
    </row>
    <row r="12" s="61" customFormat="1" ht="108" customHeight="1" spans="1:26">
      <c r="A12" s="70" t="s">
        <v>60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8"/>
      <c r="O12" s="71"/>
      <c r="P12" s="71"/>
      <c r="Q12" s="78"/>
      <c r="R12" s="78"/>
      <c r="S12" s="71"/>
      <c r="T12" s="71"/>
      <c r="U12" s="71"/>
      <c r="V12" s="71"/>
      <c r="W12" s="78"/>
      <c r="X12" s="78"/>
      <c r="Y12" s="71"/>
      <c r="Z12" s="83"/>
    </row>
    <row r="13" s="61" customFormat="1" ht="150" customHeight="1" spans="2:25">
      <c r="B13" s="61" t="s">
        <v>61</v>
      </c>
      <c r="N13" s="61" t="s">
        <v>62</v>
      </c>
      <c r="R13" s="82"/>
      <c r="V13" s="61" t="s">
        <v>63</v>
      </c>
      <c r="Y13" s="84"/>
    </row>
  </sheetData>
  <mergeCells count="10">
    <mergeCell ref="A1:Z1"/>
    <mergeCell ref="B3:I3"/>
    <mergeCell ref="J3:N3"/>
    <mergeCell ref="O3:R3"/>
    <mergeCell ref="S3:X3"/>
    <mergeCell ref="B11:C11"/>
    <mergeCell ref="A12:Z12"/>
    <mergeCell ref="A3:A4"/>
    <mergeCell ref="Y3:Y4"/>
    <mergeCell ref="Z3:Z4"/>
  </mergeCells>
  <printOptions horizontalCentered="1"/>
  <pageMargins left="0" right="0" top="0.751388888888889" bottom="0.751388888888889" header="0.298611111111111" footer="0.298611111111111"/>
  <pageSetup paperSize="9" scale="14" orientation="landscape" horizontalDpi="600"/>
  <headerFooter/>
  <ignoredErrors>
    <ignoredError sqref="K11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4"/>
  <sheetViews>
    <sheetView showZeros="0" view="pageBreakPreview" zoomScale="115" zoomScaleNormal="115" workbookViewId="0">
      <pane xSplit="3" ySplit="5" topLeftCell="D6" activePane="bottomRight" state="frozen"/>
      <selection/>
      <selection pane="topRight"/>
      <selection pane="bottomLeft"/>
      <selection pane="bottomRight" activeCell="J8" sqref="J8"/>
    </sheetView>
  </sheetViews>
  <sheetFormatPr defaultColWidth="2.87962962962963" defaultRowHeight="15" customHeight="1"/>
  <cols>
    <col min="1" max="1" width="4.83333333333333" style="10" customWidth="1"/>
    <col min="2" max="2" width="7" style="10" customWidth="1"/>
    <col min="3" max="3" width="15.6666666666667" style="10" customWidth="1"/>
    <col min="4" max="5" width="4.11111111111111" style="12" customWidth="1"/>
    <col min="6" max="10" width="4.11111111111111" style="10" customWidth="1"/>
    <col min="11" max="14" width="4.11111111111111" style="12" customWidth="1"/>
    <col min="15" max="17" width="4.11111111111111" style="10" customWidth="1"/>
    <col min="18" max="19" width="4.11111111111111" style="12" customWidth="1"/>
    <col min="20" max="24" width="4.11111111111111" style="10" customWidth="1"/>
    <col min="25" max="26" width="4.11111111111111" style="12" customWidth="1"/>
    <col min="27" max="31" width="4.11111111111111" style="10" customWidth="1"/>
    <col min="32" max="33" width="4.11111111111111" style="12" customWidth="1"/>
    <col min="34" max="34" width="4.11111111111111" style="10" customWidth="1"/>
    <col min="35" max="35" width="4.25" style="10" customWidth="1"/>
    <col min="36" max="36" width="2.87962962962963" style="10" customWidth="1"/>
    <col min="37" max="39" width="3.21296296296296" style="10"/>
    <col min="40" max="44" width="3" style="10" customWidth="1"/>
    <col min="45" max="47" width="3.12962962962963" style="10" customWidth="1"/>
    <col min="48" max="48" width="3.21296296296296" style="10" customWidth="1"/>
    <col min="49" max="51" width="3.12962962962963" style="10" customWidth="1"/>
    <col min="52" max="52" width="8.62962962962963" style="10" customWidth="1"/>
    <col min="53" max="255" width="2.87962962962963" style="10"/>
    <col min="256" max="16384" width="2.87962962962963" style="13"/>
  </cols>
  <sheetData>
    <row r="1" ht="34.5" customHeight="1" spans="1:52">
      <c r="A1" s="14" t="str">
        <f>[1]封面!A10</f>
        <v>2025年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f>[1]工资表!M1</f>
        <v>2</v>
      </c>
      <c r="W1" s="15"/>
      <c r="X1" s="37" t="s">
        <v>64</v>
      </c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</row>
    <row r="2" customHeight="1" spans="1:51">
      <c r="A2" s="16"/>
      <c r="B2" s="17" t="s">
        <v>65</v>
      </c>
      <c r="C2" s="16" t="s">
        <v>66</v>
      </c>
      <c r="D2" s="16"/>
      <c r="E2" s="16"/>
      <c r="F2" s="16"/>
      <c r="G2" s="16"/>
      <c r="H2" s="16"/>
      <c r="I2" s="16"/>
      <c r="J2" s="35"/>
      <c r="K2" s="36"/>
      <c r="L2" s="36"/>
      <c r="M2" s="36"/>
      <c r="N2" s="36"/>
      <c r="O2" s="35"/>
      <c r="P2" s="35"/>
      <c r="Q2" s="35"/>
      <c r="R2" s="36"/>
      <c r="S2" s="36"/>
      <c r="T2" s="35"/>
      <c r="U2" s="35"/>
      <c r="V2" s="35"/>
      <c r="W2" s="35"/>
      <c r="X2" s="35"/>
      <c r="Y2" s="36"/>
      <c r="Z2" s="36"/>
      <c r="AA2" s="35"/>
      <c r="AB2" s="35"/>
      <c r="AC2" s="35"/>
      <c r="AD2" s="35"/>
      <c r="AE2" s="35"/>
      <c r="AF2" s="36"/>
      <c r="AG2" s="36"/>
      <c r="AH2" s="35"/>
      <c r="AI2" s="35"/>
      <c r="AJ2" s="40"/>
      <c r="AK2" s="41" t="str">
        <f>[1]工资表!AB2</f>
        <v>2025年2月4日</v>
      </c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</row>
    <row r="3" s="9" customFormat="1" ht="30" customHeight="1" spans="1:255">
      <c r="A3" s="18" t="s">
        <v>29</v>
      </c>
      <c r="B3" s="18" t="s">
        <v>30</v>
      </c>
      <c r="C3" s="18" t="s">
        <v>67</v>
      </c>
      <c r="D3" s="19" t="s">
        <v>68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2"/>
      <c r="AI3" s="18" t="s">
        <v>20</v>
      </c>
      <c r="AJ3" s="18" t="s">
        <v>69</v>
      </c>
      <c r="AK3" s="43" t="s">
        <v>70</v>
      </c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18" t="s">
        <v>71</v>
      </c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  <c r="IU3" s="54"/>
    </row>
    <row r="4" s="9" customFormat="1" ht="20.1" customHeight="1" spans="1:255">
      <c r="A4" s="21"/>
      <c r="B4" s="21"/>
      <c r="C4" s="21"/>
      <c r="D4" s="22">
        <f>V1</f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8" t="s">
        <v>72</v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45"/>
      <c r="AI4" s="21"/>
      <c r="AJ4" s="21"/>
      <c r="AK4" s="46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21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  <c r="EE4" s="54"/>
      <c r="EF4" s="54"/>
      <c r="EG4" s="54"/>
      <c r="EH4" s="54"/>
      <c r="EI4" s="54"/>
      <c r="EJ4" s="54"/>
      <c r="EK4" s="54"/>
      <c r="EL4" s="54"/>
      <c r="EM4" s="54"/>
      <c r="EN4" s="54"/>
      <c r="EO4" s="54"/>
      <c r="EP4" s="54"/>
      <c r="EQ4" s="54"/>
      <c r="ER4" s="54"/>
      <c r="ES4" s="54"/>
      <c r="ET4" s="54"/>
      <c r="EU4" s="54"/>
      <c r="EV4" s="54"/>
      <c r="EW4" s="54"/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  <c r="FL4" s="54"/>
      <c r="FM4" s="54"/>
      <c r="FN4" s="54"/>
      <c r="FO4" s="54"/>
      <c r="FP4" s="54"/>
      <c r="FQ4" s="54"/>
      <c r="FR4" s="54"/>
      <c r="FS4" s="54"/>
      <c r="FT4" s="54"/>
      <c r="FU4" s="54"/>
      <c r="FV4" s="54"/>
      <c r="FW4" s="54"/>
      <c r="FX4" s="54"/>
      <c r="FY4" s="54"/>
      <c r="FZ4" s="54"/>
      <c r="GA4" s="54"/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  <c r="GS4" s="54"/>
      <c r="GT4" s="54"/>
      <c r="GU4" s="54"/>
      <c r="GV4" s="54"/>
      <c r="GW4" s="54"/>
      <c r="GX4" s="54"/>
      <c r="GY4" s="54"/>
      <c r="GZ4" s="54"/>
      <c r="HA4" s="54"/>
      <c r="HB4" s="54"/>
      <c r="HC4" s="54"/>
      <c r="HD4" s="54"/>
      <c r="HE4" s="54"/>
      <c r="HF4" s="54"/>
      <c r="HG4" s="54"/>
      <c r="HH4" s="54"/>
      <c r="HI4" s="54"/>
      <c r="HJ4" s="54"/>
      <c r="HK4" s="54"/>
      <c r="HL4" s="54"/>
      <c r="HM4" s="54"/>
      <c r="HN4" s="54"/>
      <c r="HO4" s="54"/>
      <c r="HP4" s="54"/>
      <c r="HQ4" s="54"/>
      <c r="HR4" s="54"/>
      <c r="HS4" s="54"/>
      <c r="HT4" s="54"/>
      <c r="HU4" s="54"/>
      <c r="HV4" s="54"/>
      <c r="HW4" s="54"/>
      <c r="HX4" s="54"/>
      <c r="HY4" s="54"/>
      <c r="HZ4" s="54"/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  <c r="IU4" s="54"/>
    </row>
    <row r="5" s="9" customFormat="1" ht="78" customHeight="1" spans="1:255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87" t="s">
        <v>73</v>
      </c>
      <c r="AL5" s="48" t="s">
        <v>74</v>
      </c>
      <c r="AM5" s="48" t="s">
        <v>75</v>
      </c>
      <c r="AN5" s="48" t="s">
        <v>76</v>
      </c>
      <c r="AO5" s="48" t="s">
        <v>77</v>
      </c>
      <c r="AP5" s="48" t="s">
        <v>78</v>
      </c>
      <c r="AQ5" s="48" t="s">
        <v>79</v>
      </c>
      <c r="AR5" s="48" t="s">
        <v>80</v>
      </c>
      <c r="AS5" s="53" t="s">
        <v>81</v>
      </c>
      <c r="AT5" s="53" t="s">
        <v>82</v>
      </c>
      <c r="AU5" s="53" t="s">
        <v>83</v>
      </c>
      <c r="AV5" s="53" t="s">
        <v>84</v>
      </c>
      <c r="AW5" s="53" t="s">
        <v>85</v>
      </c>
      <c r="AX5" s="53" t="s">
        <v>86</v>
      </c>
      <c r="AY5" s="53" t="s">
        <v>87</v>
      </c>
      <c r="AZ5" s="2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  <c r="GX5" s="54"/>
      <c r="GY5" s="54"/>
      <c r="GZ5" s="54"/>
      <c r="HA5" s="54"/>
      <c r="HB5" s="54"/>
      <c r="HC5" s="54"/>
      <c r="HD5" s="54"/>
      <c r="HE5" s="54"/>
      <c r="HF5" s="54"/>
      <c r="HG5" s="54"/>
      <c r="HH5" s="54"/>
      <c r="HI5" s="54"/>
      <c r="HJ5" s="54"/>
      <c r="HK5" s="54"/>
      <c r="HL5" s="54"/>
      <c r="HM5" s="54"/>
      <c r="HN5" s="54"/>
      <c r="HO5" s="54"/>
      <c r="HP5" s="54"/>
      <c r="HQ5" s="54"/>
      <c r="HR5" s="54"/>
      <c r="HS5" s="54"/>
      <c r="HT5" s="54"/>
      <c r="HU5" s="54"/>
      <c r="HV5" s="54"/>
      <c r="HW5" s="54"/>
      <c r="HX5" s="54"/>
      <c r="HY5" s="54"/>
      <c r="HZ5" s="54"/>
      <c r="IA5" s="54"/>
      <c r="IB5" s="54"/>
      <c r="IC5" s="54"/>
      <c r="ID5" s="54"/>
      <c r="IE5" s="54"/>
      <c r="IF5" s="54"/>
      <c r="IG5" s="54"/>
      <c r="IH5" s="54"/>
      <c r="II5" s="54"/>
      <c r="IJ5" s="54"/>
      <c r="IK5" s="54"/>
      <c r="IL5" s="54"/>
      <c r="IM5" s="54"/>
      <c r="IN5" s="54"/>
      <c r="IO5" s="54"/>
      <c r="IP5" s="54"/>
      <c r="IQ5" s="54"/>
      <c r="IR5" s="54"/>
      <c r="IS5" s="54"/>
      <c r="IT5" s="54"/>
      <c r="IU5" s="54"/>
    </row>
    <row r="6" s="10" customFormat="1" ht="32" customHeight="1" spans="1:52">
      <c r="A6" s="26">
        <v>1</v>
      </c>
      <c r="B6" s="27" t="s">
        <v>45</v>
      </c>
      <c r="C6" s="28" t="s">
        <v>46</v>
      </c>
      <c r="D6" s="29" t="s">
        <v>75</v>
      </c>
      <c r="E6" s="29" t="s">
        <v>75</v>
      </c>
      <c r="F6" s="29" t="s">
        <v>75</v>
      </c>
      <c r="G6" s="29" t="s">
        <v>75</v>
      </c>
      <c r="H6" s="30" t="s">
        <v>88</v>
      </c>
      <c r="I6" s="30" t="s">
        <v>88</v>
      </c>
      <c r="J6" s="30" t="s">
        <v>88</v>
      </c>
      <c r="K6" s="30" t="s">
        <v>88</v>
      </c>
      <c r="L6" s="29" t="s">
        <v>75</v>
      </c>
      <c r="M6" s="30" t="s">
        <v>88</v>
      </c>
      <c r="N6" s="30" t="s">
        <v>88</v>
      </c>
      <c r="O6" s="30" t="s">
        <v>88</v>
      </c>
      <c r="P6" s="30" t="s">
        <v>88</v>
      </c>
      <c r="Q6" s="30" t="s">
        <v>88</v>
      </c>
      <c r="R6" s="29" t="s">
        <v>75</v>
      </c>
      <c r="S6" s="29" t="s">
        <v>75</v>
      </c>
      <c r="T6" s="30" t="s">
        <v>88</v>
      </c>
      <c r="U6" s="30" t="s">
        <v>88</v>
      </c>
      <c r="V6" s="30" t="s">
        <v>88</v>
      </c>
      <c r="W6" s="30" t="s">
        <v>88</v>
      </c>
      <c r="X6" s="30" t="s">
        <v>88</v>
      </c>
      <c r="Y6" s="29" t="s">
        <v>75</v>
      </c>
      <c r="Z6" s="29" t="s">
        <v>75</v>
      </c>
      <c r="AA6" s="30" t="s">
        <v>88</v>
      </c>
      <c r="AB6" s="30" t="s">
        <v>88</v>
      </c>
      <c r="AC6" s="30" t="s">
        <v>88</v>
      </c>
      <c r="AD6" s="30" t="s">
        <v>88</v>
      </c>
      <c r="AE6" s="30" t="s">
        <v>88</v>
      </c>
      <c r="AF6" s="30"/>
      <c r="AG6" s="30"/>
      <c r="AH6" s="30"/>
      <c r="AI6" s="49">
        <v>19</v>
      </c>
      <c r="AJ6" s="49">
        <v>9</v>
      </c>
      <c r="AK6" s="50">
        <f>COUNTIF($D7:$AE7,"√")</f>
        <v>19</v>
      </c>
      <c r="AL6" s="50">
        <f t="shared" ref="AL6:AL11" si="0">COUNTIF($D7:$AE7,"出差")</f>
        <v>0</v>
      </c>
      <c r="AM6" s="50">
        <f>COUNTIF($D7:$AE7,"公休")</f>
        <v>9</v>
      </c>
      <c r="AN6" s="50">
        <v>0</v>
      </c>
      <c r="AO6" s="50">
        <v>0</v>
      </c>
      <c r="AP6" s="50">
        <v>0</v>
      </c>
      <c r="AQ6" s="50">
        <v>0</v>
      </c>
      <c r="AR6" s="50">
        <v>0</v>
      </c>
      <c r="AS6" s="50">
        <v>0</v>
      </c>
      <c r="AT6" s="50">
        <v>0</v>
      </c>
      <c r="AU6" s="50">
        <v>0</v>
      </c>
      <c r="AV6" s="50">
        <v>0</v>
      </c>
      <c r="AW6" s="50">
        <v>0</v>
      </c>
      <c r="AX6" s="50">
        <v>0</v>
      </c>
      <c r="AY6" s="50">
        <v>0</v>
      </c>
      <c r="AZ6" s="55"/>
    </row>
    <row r="7" s="10" customFormat="1" ht="32" customHeight="1" spans="1:52">
      <c r="A7" s="26">
        <v>2</v>
      </c>
      <c r="B7" s="27" t="s">
        <v>48</v>
      </c>
      <c r="C7" s="28" t="s">
        <v>49</v>
      </c>
      <c r="D7" s="29" t="s">
        <v>75</v>
      </c>
      <c r="E7" s="29" t="s">
        <v>75</v>
      </c>
      <c r="F7" s="29" t="s">
        <v>75</v>
      </c>
      <c r="G7" s="29" t="s">
        <v>75</v>
      </c>
      <c r="H7" s="30" t="s">
        <v>88</v>
      </c>
      <c r="I7" s="30" t="s">
        <v>88</v>
      </c>
      <c r="J7" s="30" t="s">
        <v>88</v>
      </c>
      <c r="K7" s="30" t="s">
        <v>88</v>
      </c>
      <c r="L7" s="29" t="s">
        <v>75</v>
      </c>
      <c r="M7" s="30" t="s">
        <v>88</v>
      </c>
      <c r="N7" s="30" t="s">
        <v>88</v>
      </c>
      <c r="O7" s="30" t="s">
        <v>88</v>
      </c>
      <c r="P7" s="30" t="s">
        <v>88</v>
      </c>
      <c r="Q7" s="30" t="s">
        <v>88</v>
      </c>
      <c r="R7" s="29" t="s">
        <v>75</v>
      </c>
      <c r="S7" s="29" t="s">
        <v>75</v>
      </c>
      <c r="T7" s="30" t="s">
        <v>88</v>
      </c>
      <c r="U7" s="30" t="s">
        <v>88</v>
      </c>
      <c r="V7" s="30" t="s">
        <v>88</v>
      </c>
      <c r="W7" s="30" t="s">
        <v>88</v>
      </c>
      <c r="X7" s="30" t="s">
        <v>88</v>
      </c>
      <c r="Y7" s="29" t="s">
        <v>75</v>
      </c>
      <c r="Z7" s="29" t="s">
        <v>75</v>
      </c>
      <c r="AA7" s="30" t="s">
        <v>88</v>
      </c>
      <c r="AB7" s="30" t="s">
        <v>88</v>
      </c>
      <c r="AC7" s="30" t="s">
        <v>88</v>
      </c>
      <c r="AD7" s="30" t="s">
        <v>88</v>
      </c>
      <c r="AE7" s="30" t="s">
        <v>88</v>
      </c>
      <c r="AF7" s="30"/>
      <c r="AG7" s="30"/>
      <c r="AH7" s="30"/>
      <c r="AI7" s="49">
        <v>19</v>
      </c>
      <c r="AJ7" s="49">
        <v>9</v>
      </c>
      <c r="AK7" s="50">
        <f>COUNTIF($D8:$AE8,"√")</f>
        <v>19</v>
      </c>
      <c r="AL7" s="50">
        <f t="shared" si="0"/>
        <v>0</v>
      </c>
      <c r="AM7" s="50">
        <f>COUNTIF($D8:$AE8,"公休")</f>
        <v>9</v>
      </c>
      <c r="AN7" s="50">
        <v>0</v>
      </c>
      <c r="AO7" s="50">
        <v>0</v>
      </c>
      <c r="AP7" s="50">
        <v>0</v>
      </c>
      <c r="AQ7" s="50">
        <v>0</v>
      </c>
      <c r="AR7" s="50">
        <v>0</v>
      </c>
      <c r="AS7" s="50">
        <v>0</v>
      </c>
      <c r="AT7" s="50">
        <v>0</v>
      </c>
      <c r="AU7" s="50">
        <v>0</v>
      </c>
      <c r="AV7" s="50">
        <v>0</v>
      </c>
      <c r="AW7" s="50">
        <v>0</v>
      </c>
      <c r="AX7" s="50">
        <v>0</v>
      </c>
      <c r="AY7" s="50">
        <v>0</v>
      </c>
      <c r="AZ7" s="55"/>
    </row>
    <row r="8" s="10" customFormat="1" ht="32" customHeight="1" spans="1:52">
      <c r="A8" s="26">
        <v>3</v>
      </c>
      <c r="B8" s="27" t="s">
        <v>50</v>
      </c>
      <c r="C8" s="28" t="s">
        <v>51</v>
      </c>
      <c r="D8" s="29" t="s">
        <v>75</v>
      </c>
      <c r="E8" s="29" t="s">
        <v>75</v>
      </c>
      <c r="F8" s="29" t="s">
        <v>75</v>
      </c>
      <c r="G8" s="29" t="s">
        <v>75</v>
      </c>
      <c r="H8" s="30" t="s">
        <v>88</v>
      </c>
      <c r="I8" s="30" t="s">
        <v>88</v>
      </c>
      <c r="J8" s="30" t="s">
        <v>88</v>
      </c>
      <c r="K8" s="30" t="s">
        <v>88</v>
      </c>
      <c r="L8" s="29" t="s">
        <v>75</v>
      </c>
      <c r="M8" s="30" t="s">
        <v>88</v>
      </c>
      <c r="N8" s="30" t="s">
        <v>88</v>
      </c>
      <c r="O8" s="30" t="s">
        <v>88</v>
      </c>
      <c r="P8" s="30" t="s">
        <v>88</v>
      </c>
      <c r="Q8" s="30" t="s">
        <v>88</v>
      </c>
      <c r="R8" s="29" t="s">
        <v>75</v>
      </c>
      <c r="S8" s="29" t="s">
        <v>75</v>
      </c>
      <c r="T8" s="30" t="s">
        <v>88</v>
      </c>
      <c r="U8" s="30" t="s">
        <v>88</v>
      </c>
      <c r="V8" s="30" t="s">
        <v>88</v>
      </c>
      <c r="W8" s="30" t="s">
        <v>88</v>
      </c>
      <c r="X8" s="30" t="s">
        <v>88</v>
      </c>
      <c r="Y8" s="29" t="s">
        <v>75</v>
      </c>
      <c r="Z8" s="29" t="s">
        <v>75</v>
      </c>
      <c r="AA8" s="30" t="s">
        <v>88</v>
      </c>
      <c r="AB8" s="30" t="s">
        <v>88</v>
      </c>
      <c r="AC8" s="30" t="s">
        <v>88</v>
      </c>
      <c r="AD8" s="30" t="s">
        <v>88</v>
      </c>
      <c r="AE8" s="30" t="s">
        <v>88</v>
      </c>
      <c r="AF8" s="30"/>
      <c r="AG8" s="30"/>
      <c r="AH8" s="30"/>
      <c r="AI8" s="49">
        <v>19</v>
      </c>
      <c r="AJ8" s="49">
        <v>9</v>
      </c>
      <c r="AK8" s="50">
        <f>COUNTIF($D9:$AE9,"√")</f>
        <v>19</v>
      </c>
      <c r="AL8" s="50">
        <f t="shared" si="0"/>
        <v>0</v>
      </c>
      <c r="AM8" s="50">
        <f>COUNTIF($D9:$AE9,"公休")</f>
        <v>9</v>
      </c>
      <c r="AN8" s="50">
        <v>0</v>
      </c>
      <c r="AO8" s="50">
        <v>0</v>
      </c>
      <c r="AP8" s="50">
        <v>0</v>
      </c>
      <c r="AQ8" s="50">
        <v>0</v>
      </c>
      <c r="AR8" s="50">
        <v>0</v>
      </c>
      <c r="AS8" s="50">
        <v>0</v>
      </c>
      <c r="AT8" s="50">
        <v>0</v>
      </c>
      <c r="AU8" s="50">
        <v>0</v>
      </c>
      <c r="AV8" s="50">
        <v>0</v>
      </c>
      <c r="AW8" s="50">
        <v>0</v>
      </c>
      <c r="AX8" s="50">
        <v>0</v>
      </c>
      <c r="AY8" s="50">
        <v>0</v>
      </c>
      <c r="AZ8" s="55"/>
    </row>
    <row r="9" s="10" customFormat="1" ht="32" customHeight="1" spans="1:52">
      <c r="A9" s="26">
        <v>4</v>
      </c>
      <c r="B9" s="27" t="s">
        <v>52</v>
      </c>
      <c r="C9" s="28" t="s">
        <v>89</v>
      </c>
      <c r="D9" s="29" t="s">
        <v>75</v>
      </c>
      <c r="E9" s="29" t="s">
        <v>75</v>
      </c>
      <c r="F9" s="29" t="s">
        <v>75</v>
      </c>
      <c r="G9" s="29" t="s">
        <v>75</v>
      </c>
      <c r="H9" s="30" t="s">
        <v>88</v>
      </c>
      <c r="I9" s="30" t="s">
        <v>88</v>
      </c>
      <c r="J9" s="30" t="s">
        <v>88</v>
      </c>
      <c r="K9" s="30" t="s">
        <v>88</v>
      </c>
      <c r="L9" s="29" t="s">
        <v>75</v>
      </c>
      <c r="M9" s="30" t="s">
        <v>88</v>
      </c>
      <c r="N9" s="30" t="s">
        <v>88</v>
      </c>
      <c r="O9" s="30" t="s">
        <v>88</v>
      </c>
      <c r="P9" s="30" t="s">
        <v>88</v>
      </c>
      <c r="Q9" s="30" t="s">
        <v>88</v>
      </c>
      <c r="R9" s="29" t="s">
        <v>75</v>
      </c>
      <c r="S9" s="29" t="s">
        <v>75</v>
      </c>
      <c r="T9" s="30" t="s">
        <v>88</v>
      </c>
      <c r="U9" s="30" t="s">
        <v>88</v>
      </c>
      <c r="V9" s="30" t="s">
        <v>88</v>
      </c>
      <c r="W9" s="30" t="s">
        <v>88</v>
      </c>
      <c r="X9" s="30" t="s">
        <v>88</v>
      </c>
      <c r="Y9" s="29" t="s">
        <v>75</v>
      </c>
      <c r="Z9" s="29" t="s">
        <v>75</v>
      </c>
      <c r="AA9" s="30" t="s">
        <v>88</v>
      </c>
      <c r="AB9" s="30" t="s">
        <v>88</v>
      </c>
      <c r="AC9" s="30" t="s">
        <v>88</v>
      </c>
      <c r="AD9" s="30" t="s">
        <v>88</v>
      </c>
      <c r="AE9" s="30" t="s">
        <v>88</v>
      </c>
      <c r="AF9" s="30"/>
      <c r="AG9" s="30"/>
      <c r="AH9" s="30"/>
      <c r="AI9" s="49">
        <v>19</v>
      </c>
      <c r="AJ9" s="49">
        <v>9</v>
      </c>
      <c r="AK9" s="50">
        <f>COUNTIF($D10:$AE10,"√")</f>
        <v>19</v>
      </c>
      <c r="AL9" s="50">
        <f t="shared" si="0"/>
        <v>0</v>
      </c>
      <c r="AM9" s="50">
        <f>COUNTIF($D10:$AE10,"公休")</f>
        <v>9</v>
      </c>
      <c r="AN9" s="50">
        <v>0</v>
      </c>
      <c r="AO9" s="50">
        <v>0</v>
      </c>
      <c r="AP9" s="50">
        <v>0</v>
      </c>
      <c r="AQ9" s="50">
        <v>0</v>
      </c>
      <c r="AR9" s="50">
        <v>0</v>
      </c>
      <c r="AS9" s="50">
        <v>0</v>
      </c>
      <c r="AT9" s="50">
        <v>0</v>
      </c>
      <c r="AU9" s="50">
        <v>0</v>
      </c>
      <c r="AV9" s="50">
        <v>0</v>
      </c>
      <c r="AW9" s="50">
        <v>0</v>
      </c>
      <c r="AX9" s="50">
        <v>0</v>
      </c>
      <c r="AY9" s="50">
        <v>0</v>
      </c>
      <c r="AZ9" s="55"/>
    </row>
    <row r="10" s="10" customFormat="1" ht="32" customHeight="1" spans="1:52">
      <c r="A10" s="26">
        <v>5</v>
      </c>
      <c r="B10" s="31" t="s">
        <v>54</v>
      </c>
      <c r="C10" s="28" t="s">
        <v>55</v>
      </c>
      <c r="D10" s="29" t="s">
        <v>75</v>
      </c>
      <c r="E10" s="29" t="s">
        <v>75</v>
      </c>
      <c r="F10" s="29" t="s">
        <v>75</v>
      </c>
      <c r="G10" s="29" t="s">
        <v>75</v>
      </c>
      <c r="H10" s="30" t="s">
        <v>88</v>
      </c>
      <c r="I10" s="30" t="s">
        <v>88</v>
      </c>
      <c r="J10" s="30" t="s">
        <v>88</v>
      </c>
      <c r="K10" s="30" t="s">
        <v>88</v>
      </c>
      <c r="L10" s="29" t="s">
        <v>75</v>
      </c>
      <c r="M10" s="30" t="s">
        <v>88</v>
      </c>
      <c r="N10" s="30" t="s">
        <v>88</v>
      </c>
      <c r="O10" s="30" t="s">
        <v>88</v>
      </c>
      <c r="P10" s="30" t="s">
        <v>88</v>
      </c>
      <c r="Q10" s="30" t="s">
        <v>88</v>
      </c>
      <c r="R10" s="29" t="s">
        <v>75</v>
      </c>
      <c r="S10" s="29" t="s">
        <v>75</v>
      </c>
      <c r="T10" s="30" t="s">
        <v>88</v>
      </c>
      <c r="U10" s="30" t="s">
        <v>88</v>
      </c>
      <c r="V10" s="30" t="s">
        <v>88</v>
      </c>
      <c r="W10" s="30" t="s">
        <v>88</v>
      </c>
      <c r="X10" s="30" t="s">
        <v>88</v>
      </c>
      <c r="Y10" s="29" t="s">
        <v>75</v>
      </c>
      <c r="Z10" s="29" t="s">
        <v>75</v>
      </c>
      <c r="AA10" s="30" t="s">
        <v>88</v>
      </c>
      <c r="AB10" s="30" t="s">
        <v>88</v>
      </c>
      <c r="AC10" s="30" t="s">
        <v>88</v>
      </c>
      <c r="AD10" s="30" t="s">
        <v>88</v>
      </c>
      <c r="AE10" s="30" t="s">
        <v>88</v>
      </c>
      <c r="AF10" s="30"/>
      <c r="AG10" s="30"/>
      <c r="AH10" s="30"/>
      <c r="AI10" s="49">
        <v>19</v>
      </c>
      <c r="AJ10" s="49">
        <v>9</v>
      </c>
      <c r="AK10" s="50">
        <f>COUNTIF($D10:$AE10,"√")</f>
        <v>19</v>
      </c>
      <c r="AL10" s="50">
        <f t="shared" si="0"/>
        <v>0</v>
      </c>
      <c r="AM10" s="50">
        <f>COUNTIF($D10:AE10,"公休")</f>
        <v>9</v>
      </c>
      <c r="AN10" s="50">
        <v>0</v>
      </c>
      <c r="AO10" s="50">
        <v>0</v>
      </c>
      <c r="AP10" s="50">
        <v>0</v>
      </c>
      <c r="AQ10" s="50">
        <v>0</v>
      </c>
      <c r="AR10" s="50">
        <v>0</v>
      </c>
      <c r="AS10" s="50">
        <v>0</v>
      </c>
      <c r="AT10" s="50">
        <v>0</v>
      </c>
      <c r="AU10" s="50">
        <v>0</v>
      </c>
      <c r="AV10" s="50">
        <v>0</v>
      </c>
      <c r="AW10" s="50">
        <v>0</v>
      </c>
      <c r="AX10" s="50">
        <v>0</v>
      </c>
      <c r="AY10" s="50">
        <v>0</v>
      </c>
      <c r="AZ10" s="55"/>
    </row>
    <row r="11" s="10" customFormat="1" ht="32" customHeight="1" spans="1:52">
      <c r="A11" s="26">
        <v>6</v>
      </c>
      <c r="B11" s="31" t="s">
        <v>56</v>
      </c>
      <c r="C11" s="28" t="s">
        <v>89</v>
      </c>
      <c r="D11" s="29" t="s">
        <v>75</v>
      </c>
      <c r="E11" s="29" t="s">
        <v>75</v>
      </c>
      <c r="F11" s="29" t="s">
        <v>75</v>
      </c>
      <c r="G11" s="29" t="s">
        <v>75</v>
      </c>
      <c r="H11" s="29" t="s">
        <v>77</v>
      </c>
      <c r="I11" s="30" t="s">
        <v>88</v>
      </c>
      <c r="J11" s="30" t="s">
        <v>88</v>
      </c>
      <c r="K11" s="30" t="s">
        <v>88</v>
      </c>
      <c r="L11" s="29" t="s">
        <v>75</v>
      </c>
      <c r="M11" s="30" t="s">
        <v>88</v>
      </c>
      <c r="N11" s="30" t="s">
        <v>88</v>
      </c>
      <c r="O11" s="30" t="s">
        <v>88</v>
      </c>
      <c r="P11" s="30" t="s">
        <v>88</v>
      </c>
      <c r="Q11" s="30" t="s">
        <v>88</v>
      </c>
      <c r="R11" s="29" t="s">
        <v>75</v>
      </c>
      <c r="S11" s="29" t="s">
        <v>75</v>
      </c>
      <c r="T11" s="30" t="s">
        <v>88</v>
      </c>
      <c r="U11" s="30" t="s">
        <v>88</v>
      </c>
      <c r="V11" s="30" t="s">
        <v>88</v>
      </c>
      <c r="W11" s="30" t="s">
        <v>88</v>
      </c>
      <c r="X11" s="30" t="s">
        <v>88</v>
      </c>
      <c r="Y11" s="29" t="s">
        <v>75</v>
      </c>
      <c r="Z11" s="29" t="s">
        <v>75</v>
      </c>
      <c r="AA11" s="30" t="s">
        <v>88</v>
      </c>
      <c r="AB11" s="30" t="s">
        <v>88</v>
      </c>
      <c r="AC11" s="30" t="s">
        <v>88</v>
      </c>
      <c r="AD11" s="30" t="s">
        <v>88</v>
      </c>
      <c r="AE11" s="30" t="s">
        <v>88</v>
      </c>
      <c r="AF11" s="30"/>
      <c r="AG11" s="30"/>
      <c r="AH11" s="30"/>
      <c r="AI11" s="49">
        <f>AK11</f>
        <v>18</v>
      </c>
      <c r="AJ11" s="49">
        <v>9</v>
      </c>
      <c r="AK11" s="50">
        <f>COUNTIF($D11:$AE11,"√")</f>
        <v>18</v>
      </c>
      <c r="AL11" s="50">
        <f t="shared" si="0"/>
        <v>0</v>
      </c>
      <c r="AM11" s="50">
        <f>COUNTIF($D11:AE11,"公休")</f>
        <v>9</v>
      </c>
      <c r="AN11" s="50">
        <v>0</v>
      </c>
      <c r="AO11" s="50">
        <f>COUNTIF($D11:$AE11,"事假")</f>
        <v>1</v>
      </c>
      <c r="AP11" s="50">
        <v>0</v>
      </c>
      <c r="AQ11" s="50">
        <v>0</v>
      </c>
      <c r="AR11" s="50">
        <v>0</v>
      </c>
      <c r="AS11" s="50">
        <v>0</v>
      </c>
      <c r="AT11" s="50">
        <v>0</v>
      </c>
      <c r="AU11" s="50">
        <v>0</v>
      </c>
      <c r="AV11" s="50">
        <v>0</v>
      </c>
      <c r="AW11" s="50">
        <v>0</v>
      </c>
      <c r="AX11" s="50">
        <v>0</v>
      </c>
      <c r="AY11" s="50">
        <v>0</v>
      </c>
      <c r="AZ11" s="55"/>
    </row>
    <row r="12" s="11" customFormat="1" ht="20" customHeight="1" spans="1:251">
      <c r="A12" s="10"/>
      <c r="B12" s="32" t="s">
        <v>90</v>
      </c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51"/>
      <c r="AJ12" s="52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6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ht="24" customHeight="1" spans="4:35">
      <c r="D13" s="10"/>
      <c r="E13" s="10" t="s">
        <v>61</v>
      </c>
      <c r="K13" s="10"/>
      <c r="L13" s="10"/>
      <c r="M13" s="10"/>
      <c r="N13" s="10"/>
      <c r="R13" s="10"/>
      <c r="S13" s="10"/>
      <c r="U13" s="39"/>
      <c r="V13" s="39" t="s">
        <v>62</v>
      </c>
      <c r="Y13" s="10"/>
      <c r="Z13" s="10"/>
      <c r="AF13" s="10"/>
      <c r="AG13" s="10"/>
      <c r="AI13" s="10" t="s">
        <v>63</v>
      </c>
    </row>
    <row r="14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showZeros="0" zoomScale="160" zoomScaleNormal="160" workbookViewId="0">
      <selection activeCell="E8" sqref="E8"/>
    </sheetView>
  </sheetViews>
  <sheetFormatPr defaultColWidth="9" defaultRowHeight="30" customHeight="1" outlineLevelRow="7" outlineLevelCol="6"/>
  <cols>
    <col min="1" max="1" width="9" style="1"/>
    <col min="2" max="2" width="13.6759259259259" style="1" customWidth="1"/>
    <col min="3" max="3" width="12.8796296296296" style="1" customWidth="1"/>
    <col min="4" max="4" width="17.6296296296296" style="5" customWidth="1"/>
    <col min="5" max="5" width="18.5092592592593" style="5" customWidth="1"/>
    <col min="6" max="6" width="12.6296296296296" style="5"/>
    <col min="7" max="7" width="18.75" style="1" customWidth="1"/>
    <col min="8" max="16384" width="9" style="1"/>
  </cols>
  <sheetData>
    <row r="1" ht="15" customHeight="1"/>
    <row r="2" ht="15" customHeight="1" spans="1:7">
      <c r="A2" s="6" t="s">
        <v>29</v>
      </c>
      <c r="B2" s="6" t="s">
        <v>30</v>
      </c>
      <c r="C2" s="6" t="s">
        <v>20</v>
      </c>
      <c r="D2" s="7" t="s">
        <v>8</v>
      </c>
      <c r="E2" s="7" t="s">
        <v>91</v>
      </c>
      <c r="F2" s="7" t="s">
        <v>92</v>
      </c>
      <c r="G2" s="6" t="s">
        <v>5</v>
      </c>
    </row>
    <row r="3" ht="15" customHeight="1" spans="1:7">
      <c r="A3" s="2">
        <v>1</v>
      </c>
      <c r="B3" s="2" t="s">
        <v>45</v>
      </c>
      <c r="C3" s="2">
        <v>19</v>
      </c>
      <c r="D3" s="8">
        <f>(VLOOKUP(B3,工资表!B5:G5,6,0)+VLOOKUP(B3,工资表!B5:H5,7,0))/工资表!F5*VLOOKUP(B3,考勤!B6:AI6,34,0)</f>
        <v>5500</v>
      </c>
      <c r="E3" s="8">
        <f>VLOOKUP(B3,工资表!B5:R5,17,0)</f>
        <v>5500</v>
      </c>
      <c r="F3" s="8">
        <f t="shared" ref="F3:F20" si="0">D3-E3</f>
        <v>0</v>
      </c>
      <c r="G3" s="2"/>
    </row>
    <row r="4" ht="15" customHeight="1" spans="1:7">
      <c r="A4" s="2">
        <v>2</v>
      </c>
      <c r="B4" s="2" t="s">
        <v>48</v>
      </c>
      <c r="C4" s="2">
        <v>19</v>
      </c>
      <c r="D4" s="8">
        <f>(VLOOKUP(B4,工资表!B6:G6,6,0)+VLOOKUP(B4,工资表!B6:H6,7,0))/工资表!F6*VLOOKUP(B4,考勤!B7:AI7,34,0)</f>
        <v>5400</v>
      </c>
      <c r="E4" s="8">
        <f>VLOOKUP(B4,工资表!B6:R6,17,0)</f>
        <v>5400.00000000001</v>
      </c>
      <c r="F4" s="8">
        <f t="shared" si="0"/>
        <v>-8.18545231595635e-12</v>
      </c>
      <c r="G4" s="2"/>
    </row>
    <row r="5" ht="15" customHeight="1" spans="1:7">
      <c r="A5" s="2">
        <v>3</v>
      </c>
      <c r="B5" s="2" t="s">
        <v>50</v>
      </c>
      <c r="C5" s="2">
        <v>19</v>
      </c>
      <c r="D5" s="8">
        <f>(VLOOKUP(B5,工资表!B7:G7,6,0)+VLOOKUP(B5,工资表!B7:H7,7,0))/工资表!F7*VLOOKUP(B5,考勤!B8:AI8,34,0)</f>
        <v>5500</v>
      </c>
      <c r="E5" s="8">
        <f>VLOOKUP(B5,工资表!B7:R7,17,0)</f>
        <v>5500</v>
      </c>
      <c r="F5" s="8">
        <f t="shared" si="0"/>
        <v>0</v>
      </c>
      <c r="G5" s="2"/>
    </row>
    <row r="6" ht="15" customHeight="1" spans="1:7">
      <c r="A6" s="2">
        <v>3</v>
      </c>
      <c r="B6" s="2" t="s">
        <v>52</v>
      </c>
      <c r="C6" s="2">
        <v>19</v>
      </c>
      <c r="D6" s="8">
        <f>(VLOOKUP(B6,工资表!B8:G8,6,0)+VLOOKUP(B6,工资表!B8:H8,7,0))/工资表!F8*VLOOKUP(B6,考勤!B9:AI9,34,0)</f>
        <v>4000</v>
      </c>
      <c r="E6" s="8">
        <f>VLOOKUP(B6,工资表!B8:R8,17,0)</f>
        <v>4000</v>
      </c>
      <c r="F6" s="8">
        <f t="shared" si="0"/>
        <v>0</v>
      </c>
      <c r="G6" s="2"/>
    </row>
    <row r="7" ht="15" customHeight="1" spans="1:7">
      <c r="A7" s="2">
        <v>3</v>
      </c>
      <c r="B7" s="2" t="s">
        <v>54</v>
      </c>
      <c r="C7" s="2">
        <v>19</v>
      </c>
      <c r="D7" s="8">
        <f>(VLOOKUP(B7,工资表!B9:G9,6,0)+VLOOKUP(B7,工资表!B9:H9,7,0))/工资表!F9*VLOOKUP(B7,考勤!B10:AI10,34,0)</f>
        <v>5750</v>
      </c>
      <c r="E7" s="8">
        <f>VLOOKUP(B7,工资表!B9:R9,17,0)</f>
        <v>5750</v>
      </c>
      <c r="F7" s="8">
        <f t="shared" si="0"/>
        <v>0</v>
      </c>
      <c r="G7" s="2"/>
    </row>
    <row r="8" ht="15" customHeight="1" spans="1:7">
      <c r="A8" s="2">
        <v>3</v>
      </c>
      <c r="B8" s="2" t="s">
        <v>56</v>
      </c>
      <c r="C8" s="2">
        <v>19</v>
      </c>
      <c r="D8" s="8">
        <f>(VLOOKUP(B8,工资表!B10:G10,6,0)+VLOOKUP(B8,工资表!B10:H10,7,0))/工资表!F10*VLOOKUP(B8,考勤!B11:AI11,34,0)</f>
        <v>4736.84210526316</v>
      </c>
      <c r="E8" s="8">
        <f>VLOOKUP(B8,工资表!B10:R10,17,0)</f>
        <v>2321.05263157895</v>
      </c>
      <c r="F8" s="8">
        <f t="shared" si="0"/>
        <v>2415.78947368421</v>
      </c>
      <c r="G8" s="2" t="s">
        <v>93</v>
      </c>
    </row>
  </sheetData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E10" sqref="E10"/>
    </sheetView>
  </sheetViews>
  <sheetFormatPr defaultColWidth="9" defaultRowHeight="30" customHeight="1" outlineLevelCol="4"/>
  <cols>
    <col min="1" max="2" width="9" style="1"/>
    <col min="3" max="4" width="17.1296296296296" style="1" customWidth="1"/>
    <col min="5" max="5" width="12.8796296296296" style="1" customWidth="1"/>
    <col min="6" max="16384" width="9" style="1"/>
  </cols>
  <sheetData>
    <row r="2" customHeight="1" spans="2:5">
      <c r="B2" s="2" t="s">
        <v>94</v>
      </c>
      <c r="C2" s="2" t="s">
        <v>95</v>
      </c>
      <c r="D2" s="2" t="s">
        <v>96</v>
      </c>
      <c r="E2" s="2" t="s">
        <v>97</v>
      </c>
    </row>
    <row r="3" customHeight="1" spans="2:5">
      <c r="B3" s="2" t="s">
        <v>98</v>
      </c>
      <c r="C3" s="3">
        <v>1</v>
      </c>
      <c r="D3" s="2">
        <v>0</v>
      </c>
      <c r="E3" s="2">
        <v>0</v>
      </c>
    </row>
    <row r="4" customHeight="1" spans="2:5">
      <c r="B4" s="2" t="s">
        <v>99</v>
      </c>
      <c r="C4" s="4">
        <v>0.375</v>
      </c>
      <c r="D4" s="4">
        <v>0.375</v>
      </c>
      <c r="E4" s="3">
        <v>0.25</v>
      </c>
    </row>
    <row r="5" customHeight="1" spans="2:5">
      <c r="B5" s="2" t="s">
        <v>100</v>
      </c>
      <c r="C5" s="4">
        <v>0.375</v>
      </c>
      <c r="D5" s="4">
        <v>0.375</v>
      </c>
      <c r="E5" s="3">
        <v>0.25</v>
      </c>
    </row>
    <row r="6" customHeight="1" spans="2:5">
      <c r="B6" s="2" t="s">
        <v>101</v>
      </c>
      <c r="C6" s="4">
        <v>0.375</v>
      </c>
      <c r="D6" s="4">
        <v>0.375</v>
      </c>
      <c r="E6" s="3">
        <v>0.25</v>
      </c>
    </row>
    <row r="7" customHeight="1" spans="2:5">
      <c r="B7" s="2" t="s">
        <v>102</v>
      </c>
      <c r="C7" s="4">
        <v>0.375</v>
      </c>
      <c r="D7" s="4">
        <v>0.375</v>
      </c>
      <c r="E7" s="3">
        <v>0.25</v>
      </c>
    </row>
    <row r="8" customHeight="1" spans="2:5">
      <c r="B8" s="2" t="s">
        <v>103</v>
      </c>
      <c r="C8" s="3">
        <v>0.51</v>
      </c>
      <c r="D8" s="3">
        <v>0.34</v>
      </c>
      <c r="E8" s="3">
        <v>0.15</v>
      </c>
    </row>
    <row r="9" customHeight="1" spans="2:5">
      <c r="B9" s="2" t="s">
        <v>104</v>
      </c>
      <c r="C9" s="3">
        <v>0.51</v>
      </c>
      <c r="D9" s="3">
        <v>0.34</v>
      </c>
      <c r="E9" s="3">
        <v>0.15</v>
      </c>
    </row>
    <row r="10" customHeight="1" spans="2:5">
      <c r="B10" s="2" t="s">
        <v>105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106</v>
      </c>
      <c r="C11" s="3">
        <v>0.7</v>
      </c>
      <c r="D11" s="3">
        <v>0.3</v>
      </c>
      <c r="E11" s="3">
        <v>0</v>
      </c>
    </row>
    <row r="12" customHeight="1" spans="2:5">
      <c r="B12" s="2" t="s">
        <v>47</v>
      </c>
      <c r="C12" s="3">
        <v>0.8</v>
      </c>
      <c r="D12" s="3">
        <v>0.2</v>
      </c>
      <c r="E12" s="3">
        <v>0</v>
      </c>
    </row>
    <row r="13" customHeight="1" spans="2:5">
      <c r="B13" s="2" t="s">
        <v>58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WPS_1598868827</cp:lastModifiedBy>
  <dcterms:created xsi:type="dcterms:W3CDTF">2023-05-12T11:15:00Z</dcterms:created>
  <dcterms:modified xsi:type="dcterms:W3CDTF">2025-03-12T10:17:00Z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C7F0621673654207ABFEA73ED46EAD1B_13</vt:lpwstr>
  </property>
</Properties>
</file>